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05" yWindow="-105" windowWidth="13905" windowHeight="10620" tabRatio="911" activeTab="9"/>
  </bookViews>
  <sheets>
    <sheet name="пр.1дох.22" sheetId="1" r:id="rId1"/>
    <sheet name="Пр.1.1. дох.23-24" sheetId="19" r:id="rId2"/>
    <sheet name="пр.2 Рд,пр 22" sheetId="2" r:id="rId3"/>
    <sheet name="пр.2 Рд,пр 23-24" sheetId="31" r:id="rId4"/>
    <sheet name="Пр.3 Рд,пр, ЦС,ВР 22" sheetId="3" r:id="rId5"/>
    <sheet name="Пр.3.1 Рд,пр, ЦС,ВР 23-24" sheetId="30" r:id="rId6"/>
    <sheet name="Пр.4 ведом.22" sheetId="4" r:id="rId7"/>
    <sheet name="Пр.4.1 ведом.23-24 " sheetId="29" r:id="rId8"/>
    <sheet name="пр.5 МП 22" sheetId="5" r:id="rId9"/>
    <sheet name="пр.5.1. МП 23-24" sheetId="32" r:id="rId10"/>
    <sheet name="пр.6 публ. 22" sheetId="6" state="hidden" r:id="rId11"/>
    <sheet name="пр.6.1 публ. 23-24" sheetId="33" state="hidden" r:id="rId12"/>
    <sheet name="пр.6 ист-ки 22" sheetId="7" r:id="rId13"/>
    <sheet name="пр.8.1.ист-ки 23-24 " sheetId="18" state="hidden" r:id="rId14"/>
  </sheets>
  <externalReferences>
    <externalReference r:id="rId15"/>
  </externalReferences>
  <definedNames>
    <definedName name="_xlnm._FilterDatabase" localSheetId="0" hidden="1">пр.1дох.22!$A$1:$C$199</definedName>
    <definedName name="_xlnm._FilterDatabase" localSheetId="4" hidden="1">'Пр.3 Рд,пр, ЦС,ВР 22'!$A$7:$F$1090</definedName>
    <definedName name="_xlnm._FilterDatabase" localSheetId="5" hidden="1">'Пр.3.1 Рд,пр, ЦС,ВР 23-24'!$A$7:$F$1086</definedName>
    <definedName name="_xlnm._FilterDatabase" localSheetId="6" hidden="1">'Пр.4 ведом.22'!$A$8:$G$1249</definedName>
    <definedName name="_xlnm._FilterDatabase" localSheetId="7" hidden="1">'Пр.4.1 ведом.23-24 '!$A$7:$K$1212</definedName>
    <definedName name="_xlnm.Print_Area" localSheetId="1">'Пр.1.1. дох.23-24'!$A$1:$D$159</definedName>
    <definedName name="_xlnm.Print_Area" localSheetId="0">пр.1дох.22!$A$1:$C$199</definedName>
    <definedName name="_xlnm.Print_Area" localSheetId="2">'пр.2 Рд,пр 22'!$A$1:$D$53</definedName>
    <definedName name="_xlnm.Print_Area" localSheetId="3">'пр.2 Рд,пр 23-24'!$A$1:$E$54</definedName>
    <definedName name="_xlnm.Print_Area" localSheetId="4">'Пр.3 Рд,пр, ЦС,ВР 22'!$A$1:$F$1088</definedName>
    <definedName name="_xlnm.Print_Area" localSheetId="5">'Пр.3.1 Рд,пр, ЦС,ВР 23-24'!$A$1:$G$1084</definedName>
    <definedName name="_xlnm.Print_Area" localSheetId="6">'Пр.4 ведом.22'!$A$1:$G$1212</definedName>
    <definedName name="_xlnm.Print_Area" localSheetId="7">'Пр.4.1 ведом.23-24 '!$A$1:$H$1212</definedName>
    <definedName name="_xlnm.Print_Area" localSheetId="8">'пр.5 МП 22'!$A$1:$G$990</definedName>
    <definedName name="_xlnm.Print_Area" localSheetId="9">'пр.5.1. МП 23-24'!$A$1:$H$983</definedName>
    <definedName name="_xlnm.Print_Area" localSheetId="12">'пр.6 ист-ки 22'!$A$1:$C$17</definedName>
  </definedNames>
  <calcPr calcId="145621"/>
</workbook>
</file>

<file path=xl/calcChain.xml><?xml version="1.0" encoding="utf-8"?>
<calcChain xmlns="http://schemas.openxmlformats.org/spreadsheetml/2006/main">
  <c r="G554" i="29" l="1"/>
  <c r="H555" i="29"/>
  <c r="G1024" i="29"/>
  <c r="G1225" i="29" l="1"/>
  <c r="H1224" i="29"/>
  <c r="G1224" i="29"/>
  <c r="H691" i="29"/>
  <c r="G691" i="29"/>
  <c r="H410" i="29"/>
  <c r="G410" i="29"/>
  <c r="H408" i="29"/>
  <c r="G408" i="29"/>
  <c r="G243" i="29"/>
  <c r="H219" i="29"/>
  <c r="G219" i="29"/>
  <c r="H217" i="29"/>
  <c r="H80" i="29"/>
  <c r="G80" i="29"/>
  <c r="H78" i="29"/>
  <c r="G78" i="29"/>
  <c r="G73" i="29"/>
  <c r="G721" i="29" l="1"/>
  <c r="G721" i="4"/>
  <c r="H780" i="29"/>
  <c r="G780" i="29"/>
  <c r="G780" i="4"/>
  <c r="G691" i="4"/>
  <c r="H626" i="29" l="1"/>
  <c r="G626" i="29"/>
  <c r="G626" i="4"/>
  <c r="H333" i="29" l="1"/>
  <c r="H334" i="29"/>
  <c r="G333" i="29"/>
  <c r="G332" i="4"/>
  <c r="G79" i="4" l="1"/>
  <c r="G77" i="4"/>
  <c r="D122" i="19" l="1"/>
  <c r="H83" i="29"/>
  <c r="G82" i="4"/>
  <c r="H336" i="29"/>
  <c r="G336" i="29"/>
  <c r="G335" i="4"/>
  <c r="H783" i="29"/>
  <c r="G783" i="29"/>
  <c r="G783" i="4"/>
  <c r="H697" i="29"/>
  <c r="G697" i="29"/>
  <c r="G697" i="4"/>
  <c r="H629" i="29" l="1"/>
  <c r="G629" i="29"/>
  <c r="G629" i="4"/>
  <c r="H100" i="32" l="1"/>
  <c r="H610" i="32"/>
  <c r="C89" i="19" l="1"/>
  <c r="H1024" i="29"/>
  <c r="D101" i="19" l="1"/>
  <c r="C101" i="19"/>
  <c r="C114" i="19"/>
  <c r="C122" i="19"/>
  <c r="G396" i="4" l="1"/>
  <c r="G434" i="4" l="1"/>
  <c r="G142" i="30" l="1"/>
  <c r="H121" i="29"/>
  <c r="G850" i="30"/>
  <c r="H1269" i="29"/>
  <c r="G1269" i="29"/>
  <c r="H965" i="32"/>
  <c r="G965" i="32"/>
  <c r="G229" i="30"/>
  <c r="F229" i="30"/>
  <c r="G121" i="29"/>
  <c r="H248" i="29"/>
  <c r="G248" i="29"/>
  <c r="H157" i="29"/>
  <c r="G157" i="29"/>
  <c r="H156" i="29"/>
  <c r="G156" i="29"/>
  <c r="H155" i="29"/>
  <c r="G155" i="29"/>
  <c r="H154" i="29"/>
  <c r="G154" i="29"/>
  <c r="H966" i="32"/>
  <c r="G966" i="32"/>
  <c r="G228" i="30"/>
  <c r="G227" i="30" s="1"/>
  <c r="G226" i="30" s="1"/>
  <c r="G225" i="30" s="1"/>
  <c r="F228" i="30"/>
  <c r="F227" i="30" s="1"/>
  <c r="F226" i="30" s="1"/>
  <c r="F225" i="30" s="1"/>
  <c r="H964" i="32"/>
  <c r="H963" i="32" s="1"/>
  <c r="H962" i="32" s="1"/>
  <c r="H961" i="32" s="1"/>
  <c r="H960" i="32" s="1"/>
  <c r="H959" i="32" s="1"/>
  <c r="G973" i="5"/>
  <c r="G966" i="5"/>
  <c r="G967" i="5"/>
  <c r="G968" i="5"/>
  <c r="G969" i="5"/>
  <c r="G970" i="5"/>
  <c r="G971" i="5"/>
  <c r="G972" i="5"/>
  <c r="G1269" i="4"/>
  <c r="G120" i="4"/>
  <c r="F228" i="3"/>
  <c r="F227" i="3" s="1"/>
  <c r="F226" i="3" s="1"/>
  <c r="F225" i="3" s="1"/>
  <c r="F224" i="3" s="1"/>
  <c r="G156" i="4"/>
  <c r="G155" i="4" s="1"/>
  <c r="G154" i="4" s="1"/>
  <c r="G153" i="4" s="1"/>
  <c r="G964" i="32" l="1"/>
  <c r="G963" i="32" s="1"/>
  <c r="G962" i="32" s="1"/>
  <c r="G961" i="32" s="1"/>
  <c r="G960" i="32" s="1"/>
  <c r="G959" i="32" s="1"/>
  <c r="H721" i="29" l="1"/>
  <c r="H653" i="29"/>
  <c r="G653" i="29"/>
  <c r="G653" i="4"/>
  <c r="G639" i="4"/>
  <c r="K79" i="1" l="1"/>
  <c r="C146" i="1"/>
  <c r="C130" i="1"/>
  <c r="C103" i="1"/>
  <c r="C91" i="1"/>
  <c r="C55" i="1"/>
  <c r="C56" i="1"/>
  <c r="C53" i="1"/>
  <c r="C52" i="1"/>
  <c r="C17" i="1"/>
  <c r="C13" i="1"/>
  <c r="C59" i="1" l="1"/>
  <c r="C16" i="1" l="1"/>
  <c r="G757" i="29" l="1"/>
  <c r="G1135" i="4" l="1"/>
  <c r="G529" i="4"/>
  <c r="G503" i="4"/>
  <c r="G1130" i="4"/>
  <c r="G1201" i="4"/>
  <c r="G1165" i="4"/>
  <c r="G1163" i="4"/>
  <c r="G1145" i="4"/>
  <c r="G1012" i="4"/>
  <c r="G946" i="4"/>
  <c r="G909" i="4"/>
  <c r="G907" i="4"/>
  <c r="G904" i="4"/>
  <c r="G817" i="4"/>
  <c r="G812" i="4"/>
  <c r="G773" i="4"/>
  <c r="G684" i="4"/>
  <c r="G622" i="4"/>
  <c r="G566" i="4"/>
  <c r="G564" i="4"/>
  <c r="G553" i="4"/>
  <c r="G548" i="4"/>
  <c r="G482" i="4"/>
  <c r="G480" i="4"/>
  <c r="G460" i="4"/>
  <c r="G423" i="4"/>
  <c r="G380" i="4"/>
  <c r="G377" i="4"/>
  <c r="G308" i="4"/>
  <c r="G183" i="4"/>
  <c r="G176" i="4"/>
  <c r="G131" i="4"/>
  <c r="G55" i="4"/>
  <c r="G53" i="4"/>
  <c r="G37" i="4"/>
  <c r="G18" i="4"/>
  <c r="G16" i="4"/>
  <c r="H503" i="29"/>
  <c r="G503" i="29"/>
  <c r="D95" i="19"/>
  <c r="C95" i="19"/>
  <c r="C95" i="1"/>
  <c r="C102" i="1"/>
  <c r="C101" i="1"/>
  <c r="G259" i="4"/>
  <c r="G438" i="4"/>
  <c r="H733" i="29"/>
  <c r="G733" i="29"/>
  <c r="G733" i="4"/>
  <c r="G757" i="4"/>
  <c r="H1130" i="29"/>
  <c r="G1130" i="29"/>
  <c r="H657" i="29"/>
  <c r="G657" i="29"/>
  <c r="G1012" i="29"/>
  <c r="H294" i="29"/>
  <c r="G294" i="29"/>
  <c r="C113" i="19"/>
  <c r="G207" i="29"/>
  <c r="G206" i="4"/>
  <c r="C122" i="1"/>
  <c r="G657" i="4"/>
  <c r="G256" i="4"/>
  <c r="G407" i="4"/>
  <c r="G409" i="4"/>
  <c r="G885" i="4"/>
  <c r="G889" i="4"/>
  <c r="H177" i="29" l="1"/>
  <c r="G177" i="29"/>
  <c r="H180" i="29"/>
  <c r="G180" i="29"/>
  <c r="H257" i="29" l="1"/>
  <c r="G257" i="29"/>
  <c r="H254" i="29"/>
  <c r="G254" i="29"/>
  <c r="H207" i="29"/>
  <c r="G253" i="4"/>
  <c r="G1024" i="4"/>
  <c r="H896" i="32" l="1"/>
  <c r="H895" i="32" s="1"/>
  <c r="H894" i="32" s="1"/>
  <c r="G896" i="32"/>
  <c r="G897" i="32" s="1"/>
  <c r="H677" i="32"/>
  <c r="H676" i="32" s="1"/>
  <c r="H675" i="32" s="1"/>
  <c r="G677" i="32"/>
  <c r="G676" i="32" s="1"/>
  <c r="G675" i="32" s="1"/>
  <c r="H597" i="32"/>
  <c r="H596" i="32" s="1"/>
  <c r="G597" i="32"/>
  <c r="G596" i="32" s="1"/>
  <c r="H572" i="32"/>
  <c r="H571" i="32" s="1"/>
  <c r="H570" i="32" s="1"/>
  <c r="G572" i="32"/>
  <c r="G571" i="32" s="1"/>
  <c r="G570" i="32" s="1"/>
  <c r="H573" i="32"/>
  <c r="G678" i="32" l="1"/>
  <c r="H678" i="32"/>
  <c r="G573" i="32"/>
  <c r="H897" i="32"/>
  <c r="G895" i="32"/>
  <c r="G894" i="32" s="1"/>
  <c r="H555" i="32"/>
  <c r="H554" i="32" s="1"/>
  <c r="H553" i="32" s="1"/>
  <c r="G555" i="32"/>
  <c r="G554" i="32" s="1"/>
  <c r="G553" i="32" s="1"/>
  <c r="H502" i="32"/>
  <c r="H503" i="32" s="1"/>
  <c r="G886" i="30"/>
  <c r="G885" i="30" s="1"/>
  <c r="G884" i="30" s="1"/>
  <c r="F886" i="30"/>
  <c r="F885" i="30" s="1"/>
  <c r="F884" i="30" s="1"/>
  <c r="G878" i="30"/>
  <c r="G877" i="30" s="1"/>
  <c r="G876" i="30" s="1"/>
  <c r="F878" i="30"/>
  <c r="F877" i="30" s="1"/>
  <c r="F876" i="30" s="1"/>
  <c r="G842" i="30"/>
  <c r="G841" i="30" s="1"/>
  <c r="F842" i="30"/>
  <c r="F841" i="30" s="1"/>
  <c r="G836" i="30"/>
  <c r="G835" i="30" s="1"/>
  <c r="G834" i="30" s="1"/>
  <c r="F836" i="30"/>
  <c r="F835" i="30" s="1"/>
  <c r="F834" i="30" s="1"/>
  <c r="G829" i="30"/>
  <c r="G828" i="30" s="1"/>
  <c r="G827" i="30" s="1"/>
  <c r="F829" i="30"/>
  <c r="F828" i="30" s="1"/>
  <c r="F827" i="30" s="1"/>
  <c r="H451" i="29"/>
  <c r="G451" i="29"/>
  <c r="H453" i="29"/>
  <c r="H452" i="29" s="1"/>
  <c r="G453" i="29"/>
  <c r="G452" i="29" s="1"/>
  <c r="H443" i="29"/>
  <c r="G443" i="29"/>
  <c r="H445" i="29"/>
  <c r="H444" i="29" s="1"/>
  <c r="G445" i="29"/>
  <c r="G444" i="29" s="1"/>
  <c r="H409" i="29"/>
  <c r="G409" i="29"/>
  <c r="H401" i="29"/>
  <c r="G401" i="29"/>
  <c r="H403" i="29"/>
  <c r="H402" i="29" s="1"/>
  <c r="G403" i="29"/>
  <c r="G402" i="29" s="1"/>
  <c r="H392" i="29"/>
  <c r="G392" i="29"/>
  <c r="H396" i="29"/>
  <c r="H395" i="29" s="1"/>
  <c r="G396" i="29"/>
  <c r="G395" i="29" s="1"/>
  <c r="G810" i="30"/>
  <c r="G809" i="30" s="1"/>
  <c r="G808" i="30" s="1"/>
  <c r="G378" i="29"/>
  <c r="F810" i="30" s="1"/>
  <c r="F809" i="30" s="1"/>
  <c r="F808" i="30" s="1"/>
  <c r="H385" i="29"/>
  <c r="H383" i="29"/>
  <c r="G385" i="29"/>
  <c r="G383" i="29"/>
  <c r="G381" i="29"/>
  <c r="H377" i="29"/>
  <c r="H376" i="29" s="1"/>
  <c r="G903" i="5"/>
  <c r="G904" i="5" s="1"/>
  <c r="G684" i="5"/>
  <c r="G683" i="5" s="1"/>
  <c r="G682" i="5" s="1"/>
  <c r="G603" i="5"/>
  <c r="G602" i="5" s="1"/>
  <c r="G556" i="32" l="1"/>
  <c r="H556" i="32"/>
  <c r="G902" i="5"/>
  <c r="G901" i="5" s="1"/>
  <c r="G502" i="32"/>
  <c r="G503" i="32" s="1"/>
  <c r="G377" i="29"/>
  <c r="G376" i="29" s="1"/>
  <c r="H501" i="32"/>
  <c r="H500" i="32" s="1"/>
  <c r="H440" i="29"/>
  <c r="H439" i="29" s="1"/>
  <c r="G440" i="29"/>
  <c r="G439" i="29" s="1"/>
  <c r="G685" i="5"/>
  <c r="G578" i="5"/>
  <c r="G577" i="5" s="1"/>
  <c r="G576" i="5" s="1"/>
  <c r="G561" i="5"/>
  <c r="G562" i="5" s="1"/>
  <c r="F890" i="3"/>
  <c r="F889" i="3" s="1"/>
  <c r="F888" i="3" s="1"/>
  <c r="F882" i="3"/>
  <c r="F881" i="3" s="1"/>
  <c r="F880" i="3" s="1"/>
  <c r="F845" i="3"/>
  <c r="F844" i="3" s="1"/>
  <c r="F839" i="3"/>
  <c r="F838" i="3" s="1"/>
  <c r="F837" i="3" s="1"/>
  <c r="F832" i="3"/>
  <c r="F831" i="3" s="1"/>
  <c r="F830" i="3" s="1"/>
  <c r="G443" i="4"/>
  <c r="G445" i="4"/>
  <c r="G444" i="4" s="1"/>
  <c r="G451" i="4"/>
  <c r="G453" i="4"/>
  <c r="G452" i="4" s="1"/>
  <c r="G408" i="4"/>
  <c r="G400" i="4"/>
  <c r="G402" i="4"/>
  <c r="G401" i="4" s="1"/>
  <c r="G391" i="4"/>
  <c r="G395" i="4"/>
  <c r="G394" i="4" s="1"/>
  <c r="G376" i="4"/>
  <c r="G375" i="4" s="1"/>
  <c r="G384" i="4"/>
  <c r="G382" i="4"/>
  <c r="G513" i="5"/>
  <c r="G512" i="5" s="1"/>
  <c r="G440" i="4" l="1"/>
  <c r="G439" i="4" s="1"/>
  <c r="G501" i="32"/>
  <c r="G500" i="32" s="1"/>
  <c r="G509" i="5"/>
  <c r="F813" i="3"/>
  <c r="F812" i="3" s="1"/>
  <c r="F811" i="3" s="1"/>
  <c r="G579" i="5"/>
  <c r="G560" i="5"/>
  <c r="G559" i="5" s="1"/>
  <c r="G510" i="5" l="1"/>
  <c r="G508" i="5"/>
  <c r="G507" i="5" s="1"/>
  <c r="H1095" i="29"/>
  <c r="H1193" i="29"/>
  <c r="H63" i="29"/>
  <c r="G63" i="29"/>
  <c r="G1095" i="29"/>
  <c r="G857" i="4" l="1"/>
  <c r="H931" i="29" l="1"/>
  <c r="G931" i="29"/>
  <c r="H933" i="29"/>
  <c r="G933" i="29"/>
  <c r="G933" i="4"/>
  <c r="G931" i="4"/>
  <c r="H639" i="29" l="1"/>
  <c r="G639" i="29"/>
  <c r="H66" i="29"/>
  <c r="G66" i="29"/>
  <c r="H973" i="29" l="1"/>
  <c r="G973" i="29"/>
  <c r="H970" i="29"/>
  <c r="G970" i="29"/>
  <c r="G968" i="29"/>
  <c r="H957" i="29"/>
  <c r="G957" i="29"/>
  <c r="H954" i="29"/>
  <c r="G954" i="29"/>
  <c r="G952" i="29"/>
  <c r="H189" i="29"/>
  <c r="G260" i="30" s="1"/>
  <c r="G189" i="29"/>
  <c r="F260" i="30" s="1"/>
  <c r="H186" i="29"/>
  <c r="G257" i="30" s="1"/>
  <c r="G186" i="29"/>
  <c r="F257" i="30" s="1"/>
  <c r="G184" i="29"/>
  <c r="F255" i="30" s="1"/>
  <c r="H135" i="29"/>
  <c r="G172" i="30" s="1"/>
  <c r="G135" i="29"/>
  <c r="F172" i="30" s="1"/>
  <c r="H132" i="29"/>
  <c r="G169" i="30" s="1"/>
  <c r="G132" i="29"/>
  <c r="F169" i="30" s="1"/>
  <c r="G130" i="29"/>
  <c r="F167" i="30" s="1"/>
  <c r="G884" i="4"/>
  <c r="G188" i="4"/>
  <c r="F259" i="3" s="1"/>
  <c r="G185" i="4"/>
  <c r="F256" i="3" s="1"/>
  <c r="F254" i="3"/>
  <c r="G134" i="4"/>
  <c r="F171" i="3" s="1"/>
  <c r="F168" i="3"/>
  <c r="G129" i="4"/>
  <c r="F166" i="3" s="1"/>
  <c r="G952" i="4"/>
  <c r="G954" i="4"/>
  <c r="G957" i="4"/>
  <c r="G968" i="4"/>
  <c r="G973" i="4"/>
  <c r="G970" i="4"/>
  <c r="F256" i="30" l="1"/>
  <c r="H972" i="29"/>
  <c r="H971" i="29" s="1"/>
  <c r="G972" i="29"/>
  <c r="G971" i="29" s="1"/>
  <c r="H969" i="29"/>
  <c r="G969" i="29"/>
  <c r="H968" i="29"/>
  <c r="G967" i="29"/>
  <c r="H956" i="29"/>
  <c r="H955" i="29" s="1"/>
  <c r="G956" i="29"/>
  <c r="G955" i="29" s="1"/>
  <c r="H953" i="29"/>
  <c r="G953" i="29"/>
  <c r="H952" i="29"/>
  <c r="G951" i="29"/>
  <c r="F255" i="3"/>
  <c r="F253" i="3"/>
  <c r="G956" i="4"/>
  <c r="G955" i="4" s="1"/>
  <c r="G953" i="4"/>
  <c r="G951" i="4"/>
  <c r="G972" i="4"/>
  <c r="G971" i="4" s="1"/>
  <c r="G969" i="4"/>
  <c r="G967" i="4"/>
  <c r="G950" i="4" l="1"/>
  <c r="G949" i="4" s="1"/>
  <c r="F252" i="3"/>
  <c r="H951" i="29"/>
  <c r="H967" i="29"/>
  <c r="H966" i="29" s="1"/>
  <c r="H965" i="29" s="1"/>
  <c r="G950" i="29"/>
  <c r="G949" i="29" s="1"/>
  <c r="G966" i="29"/>
  <c r="G965" i="29" s="1"/>
  <c r="H950" i="29"/>
  <c r="H949" i="29" s="1"/>
  <c r="G966" i="4"/>
  <c r="G965" i="4" s="1"/>
  <c r="G857" i="29"/>
  <c r="H56" i="29"/>
  <c r="H54" i="29"/>
  <c r="G56" i="29"/>
  <c r="G54" i="29"/>
  <c r="H39" i="33" l="1"/>
  <c r="H38" i="33" s="1"/>
  <c r="H37" i="33" s="1"/>
  <c r="H36" i="33" s="1"/>
  <c r="H35" i="33" s="1"/>
  <c r="G39" i="33"/>
  <c r="G38" i="33" s="1"/>
  <c r="G37" i="33" s="1"/>
  <c r="G36" i="33" s="1"/>
  <c r="G35" i="33" s="1"/>
  <c r="H33" i="33"/>
  <c r="G33" i="33"/>
  <c r="H27" i="33"/>
  <c r="H26" i="33" s="1"/>
  <c r="H25" i="33" s="1"/>
  <c r="H24" i="33" s="1"/>
  <c r="H23" i="33" s="1"/>
  <c r="G27" i="33"/>
  <c r="G26" i="33" s="1"/>
  <c r="G25" i="33" s="1"/>
  <c r="G24" i="33" s="1"/>
  <c r="G23" i="33" s="1"/>
  <c r="H15" i="33"/>
  <c r="H14" i="33" s="1"/>
  <c r="H13" i="33" s="1"/>
  <c r="H12" i="33" s="1"/>
  <c r="H11" i="33" s="1"/>
  <c r="H16" i="33" s="1"/>
  <c r="G15" i="33"/>
  <c r="G14" i="33" s="1"/>
  <c r="G13" i="33" s="1"/>
  <c r="G12" i="33" s="1"/>
  <c r="G11" i="33" s="1"/>
  <c r="G16" i="33" s="1"/>
  <c r="H44" i="33"/>
  <c r="H43" i="33" s="1"/>
  <c r="H42" i="33" s="1"/>
  <c r="H41" i="33" s="1"/>
  <c r="H40" i="33"/>
  <c r="H34" i="33"/>
  <c r="H32" i="33" s="1"/>
  <c r="H31" i="33" s="1"/>
  <c r="H30" i="33" s="1"/>
  <c r="H29" i="33" s="1"/>
  <c r="H28" i="33"/>
  <c r="H21" i="33"/>
  <c r="H20" i="33" s="1"/>
  <c r="H19" i="33" s="1"/>
  <c r="H18" i="33" s="1"/>
  <c r="H17" i="33" s="1"/>
  <c r="G44" i="33"/>
  <c r="G43" i="33"/>
  <c r="G42" i="33" s="1"/>
  <c r="G41" i="33" s="1"/>
  <c r="G40" i="33"/>
  <c r="G34" i="33"/>
  <c r="G28" i="33"/>
  <c r="G21" i="33"/>
  <c r="G20" i="33" s="1"/>
  <c r="G19" i="33" s="1"/>
  <c r="G18" i="33" s="1"/>
  <c r="G17" i="33" s="1"/>
  <c r="G32" i="33" l="1"/>
  <c r="G31" i="33" s="1"/>
  <c r="G30" i="33" s="1"/>
  <c r="G29" i="33" s="1"/>
  <c r="G47" i="33" s="1"/>
  <c r="H47" i="33"/>
  <c r="G795" i="4"/>
  <c r="G779" i="30"/>
  <c r="G778" i="30" s="1"/>
  <c r="F779" i="30"/>
  <c r="F778" i="30" s="1"/>
  <c r="G775" i="30"/>
  <c r="G774" i="30" s="1"/>
  <c r="F775" i="30"/>
  <c r="F774" i="30" s="1"/>
  <c r="H824" i="29"/>
  <c r="G824" i="29"/>
  <c r="H819" i="29"/>
  <c r="G777" i="30" s="1"/>
  <c r="G776" i="30" s="1"/>
  <c r="G819" i="29"/>
  <c r="G818" i="29" s="1"/>
  <c r="H816" i="29"/>
  <c r="H820" i="29"/>
  <c r="G820" i="29"/>
  <c r="G816" i="29"/>
  <c r="F1038" i="30"/>
  <c r="F1037" i="30" s="1"/>
  <c r="H914" i="29"/>
  <c r="G914" i="29"/>
  <c r="H911" i="29"/>
  <c r="G1042" i="30" s="1"/>
  <c r="G1041" i="30" s="1"/>
  <c r="G911" i="29"/>
  <c r="F1042" i="30" s="1"/>
  <c r="F1041" i="30" s="1"/>
  <c r="H909" i="29"/>
  <c r="G1040" i="30" s="1"/>
  <c r="G1039" i="30" s="1"/>
  <c r="G909" i="29"/>
  <c r="G908" i="29" s="1"/>
  <c r="H907" i="29"/>
  <c r="H906" i="29" s="1"/>
  <c r="G906" i="29"/>
  <c r="F1042" i="3"/>
  <c r="F1041" i="3" s="1"/>
  <c r="F1044" i="3"/>
  <c r="F1043" i="3" s="1"/>
  <c r="F1046" i="3"/>
  <c r="F1045" i="3" s="1"/>
  <c r="G914" i="4"/>
  <c r="G910" i="4"/>
  <c r="G908" i="4"/>
  <c r="G906" i="4"/>
  <c r="F782" i="3"/>
  <c r="F781" i="3" s="1"/>
  <c r="F780" i="3"/>
  <c r="F779" i="3" s="1"/>
  <c r="F778" i="3"/>
  <c r="F777" i="3" s="1"/>
  <c r="G824" i="4"/>
  <c r="G818" i="4"/>
  <c r="G820" i="4"/>
  <c r="G816" i="4"/>
  <c r="G910" i="29" l="1"/>
  <c r="G905" i="29" s="1"/>
  <c r="H908" i="29"/>
  <c r="G339" i="5"/>
  <c r="F697" i="3"/>
  <c r="F696" i="3" s="1"/>
  <c r="F695" i="3" s="1"/>
  <c r="F694" i="3" s="1"/>
  <c r="F777" i="30"/>
  <c r="F776" i="30" s="1"/>
  <c r="F773" i="30" s="1"/>
  <c r="H818" i="29"/>
  <c r="H815" i="29" s="1"/>
  <c r="G815" i="4"/>
  <c r="G905" i="4"/>
  <c r="G773" i="30"/>
  <c r="G815" i="29"/>
  <c r="H910" i="29"/>
  <c r="F1040" i="30"/>
  <c r="F1039" i="30" s="1"/>
  <c r="F1036" i="30" s="1"/>
  <c r="G1038" i="30"/>
  <c r="G1037" i="30" s="1"/>
  <c r="G1036" i="30" s="1"/>
  <c r="F1040" i="3"/>
  <c r="F776" i="3"/>
  <c r="H905" i="29" l="1"/>
  <c r="G340" i="5"/>
  <c r="G338" i="5"/>
  <c r="G337" i="5" s="1"/>
  <c r="G336" i="5" s="1"/>
  <c r="G335" i="5" s="1"/>
  <c r="G334" i="5" s="1"/>
  <c r="H946" i="29"/>
  <c r="H990" i="29"/>
  <c r="H992" i="29"/>
  <c r="G946" i="29"/>
  <c r="G992" i="29"/>
  <c r="G9" i="29" l="1"/>
  <c r="H857" i="29"/>
  <c r="H9" i="29"/>
  <c r="G992" i="4"/>
  <c r="H834" i="32" l="1"/>
  <c r="H833" i="32" s="1"/>
  <c r="G834" i="32"/>
  <c r="G835" i="32" s="1"/>
  <c r="H784" i="32"/>
  <c r="H785" i="32" s="1"/>
  <c r="G784" i="32"/>
  <c r="G785" i="32" s="1"/>
  <c r="H226" i="32"/>
  <c r="H973" i="32"/>
  <c r="H972" i="32" s="1"/>
  <c r="H971" i="32" s="1"/>
  <c r="H970" i="32" s="1"/>
  <c r="H969" i="32" s="1"/>
  <c r="G973" i="32"/>
  <c r="G972" i="32" s="1"/>
  <c r="G971" i="32" s="1"/>
  <c r="G970" i="32" s="1"/>
  <c r="G969" i="32" s="1"/>
  <c r="G967" i="32" s="1"/>
  <c r="H957" i="32"/>
  <c r="H956" i="32" s="1"/>
  <c r="H955" i="32" s="1"/>
  <c r="H954" i="32" s="1"/>
  <c r="H953" i="32" s="1"/>
  <c r="G957" i="32"/>
  <c r="G956" i="32" s="1"/>
  <c r="G955" i="32" s="1"/>
  <c r="G954" i="32" s="1"/>
  <c r="G953" i="32" s="1"/>
  <c r="H915" i="32"/>
  <c r="G915" i="32"/>
  <c r="G914" i="32" s="1"/>
  <c r="G913" i="32" s="1"/>
  <c r="G912" i="32" s="1"/>
  <c r="G911" i="32" s="1"/>
  <c r="G910" i="32" s="1"/>
  <c r="H908" i="32"/>
  <c r="H907" i="32" s="1"/>
  <c r="H906" i="32" s="1"/>
  <c r="H905" i="32" s="1"/>
  <c r="H904" i="32" s="1"/>
  <c r="G908" i="32"/>
  <c r="G907" i="32" s="1"/>
  <c r="G906" i="32" s="1"/>
  <c r="H902" i="32"/>
  <c r="H903" i="32" s="1"/>
  <c r="G902" i="32"/>
  <c r="H892" i="32"/>
  <c r="H893" i="32" s="1"/>
  <c r="G892" i="32"/>
  <c r="H886" i="32"/>
  <c r="H887" i="32" s="1"/>
  <c r="G886" i="32"/>
  <c r="H882" i="32"/>
  <c r="H881" i="32" s="1"/>
  <c r="H880" i="32" s="1"/>
  <c r="G882" i="32"/>
  <c r="H877" i="32"/>
  <c r="G877" i="32"/>
  <c r="G876" i="32" s="1"/>
  <c r="G875" i="32" s="1"/>
  <c r="G874" i="32" s="1"/>
  <c r="H872" i="32"/>
  <c r="H871" i="32" s="1"/>
  <c r="H870" i="32" s="1"/>
  <c r="H869" i="32" s="1"/>
  <c r="G872" i="32"/>
  <c r="H865" i="32"/>
  <c r="G865" i="32"/>
  <c r="G866" i="32" s="1"/>
  <c r="H861" i="32"/>
  <c r="G861" i="32"/>
  <c r="G862" i="32" s="1"/>
  <c r="H837" i="32"/>
  <c r="G837" i="32"/>
  <c r="H841" i="32"/>
  <c r="G841" i="32"/>
  <c r="H747" i="32"/>
  <c r="G747" i="32"/>
  <c r="H721" i="32"/>
  <c r="G721" i="32"/>
  <c r="H703" i="32"/>
  <c r="G703" i="32"/>
  <c r="H682" i="32"/>
  <c r="H681" i="32" s="1"/>
  <c r="H680" i="32" s="1"/>
  <c r="G682" i="32"/>
  <c r="G681" i="32" s="1"/>
  <c r="G680" i="32" s="1"/>
  <c r="H673" i="32"/>
  <c r="H672" i="32" s="1"/>
  <c r="H671" i="32" s="1"/>
  <c r="H670" i="32" s="1"/>
  <c r="G673" i="32"/>
  <c r="G674" i="32" s="1"/>
  <c r="H667" i="32"/>
  <c r="H666" i="32" s="1"/>
  <c r="H665" i="32" s="1"/>
  <c r="H664" i="32" s="1"/>
  <c r="G667" i="32"/>
  <c r="G666" i="32" s="1"/>
  <c r="G665" i="32" s="1"/>
  <c r="G664" i="32" s="1"/>
  <c r="H662" i="32"/>
  <c r="H663" i="32" s="1"/>
  <c r="G662" i="32"/>
  <c r="H657" i="32"/>
  <c r="H656" i="32" s="1"/>
  <c r="H655" i="32" s="1"/>
  <c r="H654" i="32" s="1"/>
  <c r="G657" i="32"/>
  <c r="G658" i="32" s="1"/>
  <c r="H645" i="32"/>
  <c r="H644" i="32" s="1"/>
  <c r="H643" i="32" s="1"/>
  <c r="H642" i="32" s="1"/>
  <c r="H641" i="32" s="1"/>
  <c r="G645" i="32"/>
  <c r="G644" i="32" s="1"/>
  <c r="G643" i="32" s="1"/>
  <c r="G642" i="32" s="1"/>
  <c r="G641" i="32" s="1"/>
  <c r="H615" i="32"/>
  <c r="H614" i="32" s="1"/>
  <c r="H613" i="32" s="1"/>
  <c r="H612" i="32" s="1"/>
  <c r="H611" i="32" s="1"/>
  <c r="G615" i="32"/>
  <c r="G616" i="32" s="1"/>
  <c r="H608" i="32"/>
  <c r="G608" i="32"/>
  <c r="H601" i="32"/>
  <c r="H602" i="32" s="1"/>
  <c r="G601" i="32"/>
  <c r="G602" i="32" s="1"/>
  <c r="H595" i="32"/>
  <c r="H598" i="32" s="1"/>
  <c r="G595" i="32"/>
  <c r="G598" i="32" s="1"/>
  <c r="H589" i="32"/>
  <c r="H590" i="32" s="1"/>
  <c r="G589" i="32"/>
  <c r="G590" i="32" s="1"/>
  <c r="H585" i="32"/>
  <c r="H586" i="32" s="1"/>
  <c r="G585" i="32"/>
  <c r="G584" i="32" s="1"/>
  <c r="G583" i="32" s="1"/>
  <c r="H578" i="32"/>
  <c r="G578" i="32"/>
  <c r="G577" i="32" s="1"/>
  <c r="G576" i="32" s="1"/>
  <c r="G575" i="32" s="1"/>
  <c r="G574" i="32" s="1"/>
  <c r="H568" i="32"/>
  <c r="G568" i="32"/>
  <c r="G569" i="32" s="1"/>
  <c r="H562" i="32"/>
  <c r="G562" i="32"/>
  <c r="G561" i="32" s="1"/>
  <c r="G560" i="32" s="1"/>
  <c r="G559" i="32" s="1"/>
  <c r="G558" i="32" s="1"/>
  <c r="H548" i="32"/>
  <c r="G548" i="32"/>
  <c r="G549" i="32" s="1"/>
  <c r="H539" i="32"/>
  <c r="H538" i="32" s="1"/>
  <c r="G539" i="32"/>
  <c r="H535" i="32"/>
  <c r="H534" i="32" s="1"/>
  <c r="G535" i="32"/>
  <c r="H528" i="32"/>
  <c r="G528" i="32"/>
  <c r="G527" i="32" s="1"/>
  <c r="H525" i="32"/>
  <c r="H526" i="32" s="1"/>
  <c r="G525" i="32"/>
  <c r="G522" i="32"/>
  <c r="G521" i="32" s="1"/>
  <c r="H492" i="32"/>
  <c r="G492" i="32"/>
  <c r="G493" i="32" s="1"/>
  <c r="H489" i="32"/>
  <c r="H488" i="32" s="1"/>
  <c r="G489" i="32"/>
  <c r="G486" i="32"/>
  <c r="G485" i="32" s="1"/>
  <c r="H457" i="32"/>
  <c r="H458" i="32" s="1"/>
  <c r="G457" i="32"/>
  <c r="G456" i="32" s="1"/>
  <c r="H454" i="32"/>
  <c r="G454" i="32"/>
  <c r="H447" i="32"/>
  <c r="H446" i="32" s="1"/>
  <c r="H445" i="32" s="1"/>
  <c r="H444" i="32" s="1"/>
  <c r="H443" i="32" s="1"/>
  <c r="H442" i="32" s="1"/>
  <c r="G447" i="32"/>
  <c r="G446" i="32" s="1"/>
  <c r="G445" i="32" s="1"/>
  <c r="G444" i="32" s="1"/>
  <c r="G443" i="32" s="1"/>
  <c r="G442" i="32" s="1"/>
  <c r="H425" i="32"/>
  <c r="H426" i="32" s="1"/>
  <c r="G425" i="32"/>
  <c r="G424" i="32" s="1"/>
  <c r="G423" i="32" s="1"/>
  <c r="G410" i="32"/>
  <c r="H402" i="32"/>
  <c r="H403" i="32" s="1"/>
  <c r="G402" i="32"/>
  <c r="H394" i="32"/>
  <c r="H395" i="32" s="1"/>
  <c r="G394" i="32"/>
  <c r="G395" i="32" s="1"/>
  <c r="H383" i="32"/>
  <c r="H382" i="32" s="1"/>
  <c r="G383" i="32"/>
  <c r="G384" i="32" s="1"/>
  <c r="H380" i="32"/>
  <c r="H381" i="32" s="1"/>
  <c r="G380" i="32"/>
  <c r="G381" i="32" s="1"/>
  <c r="H375" i="32"/>
  <c r="H374" i="32" s="1"/>
  <c r="H373" i="32" s="1"/>
  <c r="G375" i="32"/>
  <c r="G374" i="32" s="1"/>
  <c r="G373" i="32" s="1"/>
  <c r="H368" i="32"/>
  <c r="H369" i="32" s="1"/>
  <c r="G368" i="32"/>
  <c r="G369" i="32" s="1"/>
  <c r="H360" i="32"/>
  <c r="H361" i="32" s="1"/>
  <c r="G360" i="32"/>
  <c r="G361" i="32" s="1"/>
  <c r="H352" i="32"/>
  <c r="H353" i="32" s="1"/>
  <c r="H273" i="32"/>
  <c r="H272" i="32" s="1"/>
  <c r="H271" i="32" s="1"/>
  <c r="H270" i="32" s="1"/>
  <c r="G273" i="32"/>
  <c r="G272" i="32" s="1"/>
  <c r="G271" i="32" s="1"/>
  <c r="G270" i="32" s="1"/>
  <c r="H268" i="32"/>
  <c r="H269" i="32" s="1"/>
  <c r="G268" i="32"/>
  <c r="G269" i="32" s="1"/>
  <c r="H259" i="32"/>
  <c r="H260" i="32" s="1"/>
  <c r="G259" i="32"/>
  <c r="G260" i="32" s="1"/>
  <c r="H255" i="32"/>
  <c r="H254" i="32" s="1"/>
  <c r="H253" i="32" s="1"/>
  <c r="G255" i="32"/>
  <c r="G254" i="32" s="1"/>
  <c r="G253" i="32" s="1"/>
  <c r="H237" i="32"/>
  <c r="H236" i="32" s="1"/>
  <c r="H235" i="32" s="1"/>
  <c r="H222" i="32" s="1"/>
  <c r="G237" i="32"/>
  <c r="G236" i="32" s="1"/>
  <c r="G235" i="32" s="1"/>
  <c r="H219" i="32"/>
  <c r="H220" i="32" s="1"/>
  <c r="G219" i="32"/>
  <c r="G218" i="32" s="1"/>
  <c r="G217" i="32" s="1"/>
  <c r="H204" i="32"/>
  <c r="H205" i="32" s="1"/>
  <c r="G204" i="32"/>
  <c r="G205" i="32" s="1"/>
  <c r="H200" i="32"/>
  <c r="G200" i="32"/>
  <c r="G201" i="32" s="1"/>
  <c r="H191" i="32"/>
  <c r="H192" i="32" s="1"/>
  <c r="G191" i="32"/>
  <c r="G192" i="32" s="1"/>
  <c r="H183" i="32"/>
  <c r="H182" i="32" s="1"/>
  <c r="H181" i="32" s="1"/>
  <c r="G183" i="32"/>
  <c r="G182" i="32" s="1"/>
  <c r="G181" i="32" s="1"/>
  <c r="H174" i="32"/>
  <c r="H175" i="32" s="1"/>
  <c r="G174" i="32"/>
  <c r="G175" i="32" s="1"/>
  <c r="H66" i="32"/>
  <c r="H65" i="32" s="1"/>
  <c r="H64" i="32" s="1"/>
  <c r="H63" i="32" s="1"/>
  <c r="H62" i="32" s="1"/>
  <c r="H61" i="32" s="1"/>
  <c r="H60" i="32" s="1"/>
  <c r="H67" i="32" s="1"/>
  <c r="G66" i="32"/>
  <c r="G65" i="32" s="1"/>
  <c r="G64" i="32" s="1"/>
  <c r="G63" i="32" s="1"/>
  <c r="G62" i="32" s="1"/>
  <c r="G61" i="32" s="1"/>
  <c r="G60" i="32" s="1"/>
  <c r="G67" i="32" s="1"/>
  <c r="H145" i="32"/>
  <c r="H146" i="32" s="1"/>
  <c r="G145" i="32"/>
  <c r="G146" i="32" s="1"/>
  <c r="H139" i="32"/>
  <c r="H138" i="32" s="1"/>
  <c r="H137" i="32" s="1"/>
  <c r="H136" i="32" s="1"/>
  <c r="H135" i="32" s="1"/>
  <c r="G139" i="32"/>
  <c r="G140" i="32" s="1"/>
  <c r="H132" i="32"/>
  <c r="H133" i="32" s="1"/>
  <c r="G132" i="32"/>
  <c r="G131" i="32" s="1"/>
  <c r="H122" i="32"/>
  <c r="H123" i="32" s="1"/>
  <c r="G122" i="32"/>
  <c r="G123" i="32" s="1"/>
  <c r="H81" i="32"/>
  <c r="H82" i="32" s="1"/>
  <c r="G81" i="32"/>
  <c r="H58" i="32"/>
  <c r="G58" i="32"/>
  <c r="G59" i="32" s="1"/>
  <c r="H48" i="32"/>
  <c r="G48" i="32"/>
  <c r="G47" i="32" s="1"/>
  <c r="G46" i="32" s="1"/>
  <c r="H37" i="32"/>
  <c r="H36" i="32" s="1"/>
  <c r="H35" i="32" s="1"/>
  <c r="G37" i="32"/>
  <c r="H25" i="32"/>
  <c r="H26" i="32" s="1"/>
  <c r="G25" i="32"/>
  <c r="G24" i="32" s="1"/>
  <c r="H22" i="32"/>
  <c r="H982" i="32"/>
  <c r="H949" i="32"/>
  <c r="H948" i="32" s="1"/>
  <c r="H947" i="32" s="1"/>
  <c r="H946" i="32" s="1"/>
  <c r="H945" i="32" s="1"/>
  <c r="H942" i="32"/>
  <c r="H941" i="32"/>
  <c r="H940" i="32" s="1"/>
  <c r="H939" i="32" s="1"/>
  <c r="H938" i="32" s="1"/>
  <c r="H937" i="32" s="1"/>
  <c r="H936" i="32" s="1"/>
  <c r="H926" i="32"/>
  <c r="H927" i="32" s="1"/>
  <c r="H922" i="32"/>
  <c r="H923" i="32" s="1"/>
  <c r="H891" i="32"/>
  <c r="H890" i="32" s="1"/>
  <c r="H853" i="32"/>
  <c r="H849" i="32"/>
  <c r="H845" i="32"/>
  <c r="H826" i="32"/>
  <c r="H827" i="32" s="1"/>
  <c r="H819" i="32"/>
  <c r="H812" i="32"/>
  <c r="H813" i="32" s="1"/>
  <c r="H805" i="32"/>
  <c r="H798" i="32"/>
  <c r="H799" i="32" s="1"/>
  <c r="H791" i="32"/>
  <c r="H776" i="32"/>
  <c r="H777" i="32" s="1"/>
  <c r="H754" i="32"/>
  <c r="H753" i="32" s="1"/>
  <c r="H752" i="32" s="1"/>
  <c r="H751" i="32" s="1"/>
  <c r="H750" i="32" s="1"/>
  <c r="H749" i="32" s="1"/>
  <c r="H743" i="32"/>
  <c r="H732" i="32"/>
  <c r="H733" i="32" s="1"/>
  <c r="H728" i="32"/>
  <c r="H729" i="32" s="1"/>
  <c r="H717" i="32"/>
  <c r="H713" i="32"/>
  <c r="H710" i="32"/>
  <c r="H711" i="32" s="1"/>
  <c r="H696" i="32"/>
  <c r="H695" i="32" s="1"/>
  <c r="H694" i="32" s="1"/>
  <c r="H693" i="32" s="1"/>
  <c r="H692" i="32" s="1"/>
  <c r="H691" i="32" s="1"/>
  <c r="H689" i="32"/>
  <c r="H687" i="32"/>
  <c r="H686" i="32" s="1"/>
  <c r="H685" i="32" s="1"/>
  <c r="H684" i="32" s="1"/>
  <c r="H652" i="32"/>
  <c r="H651" i="32" s="1"/>
  <c r="H650" i="32" s="1"/>
  <c r="H649" i="32" s="1"/>
  <c r="H648" i="32" s="1"/>
  <c r="H647" i="32" s="1"/>
  <c r="H637" i="32"/>
  <c r="H638" i="32" s="1"/>
  <c r="H633" i="32"/>
  <c r="H634" i="32" s="1"/>
  <c r="H626" i="32"/>
  <c r="H619" i="32"/>
  <c r="H620" i="32" s="1"/>
  <c r="H551" i="32"/>
  <c r="H552" i="32" s="1"/>
  <c r="H542" i="32"/>
  <c r="H516" i="32"/>
  <c r="H515" i="32" s="1"/>
  <c r="H514" i="32" s="1"/>
  <c r="H517" i="32" s="1"/>
  <c r="H496" i="32"/>
  <c r="H495" i="32" s="1"/>
  <c r="H494" i="32" s="1"/>
  <c r="H497" i="32" s="1"/>
  <c r="H471" i="32"/>
  <c r="H470" i="32" s="1"/>
  <c r="H469" i="32" s="1"/>
  <c r="H468" i="32" s="1"/>
  <c r="H467" i="32" s="1"/>
  <c r="H466" i="32" s="1"/>
  <c r="H472" i="32" s="1"/>
  <c r="H464" i="32"/>
  <c r="H436" i="32"/>
  <c r="H429" i="32"/>
  <c r="H430" i="32" s="1"/>
  <c r="H421" i="32"/>
  <c r="H422" i="32" s="1"/>
  <c r="H417" i="32"/>
  <c r="H418" i="32" s="1"/>
  <c r="H387" i="32"/>
  <c r="H388" i="32" s="1"/>
  <c r="H346" i="32"/>
  <c r="H345" i="32" s="1"/>
  <c r="H344" i="32" s="1"/>
  <c r="H343" i="32" s="1"/>
  <c r="H342" i="32" s="1"/>
  <c r="H341" i="32" s="1"/>
  <c r="H347" i="32" s="1"/>
  <c r="H339" i="32"/>
  <c r="H338" i="32" s="1"/>
  <c r="H337" i="32" s="1"/>
  <c r="H336" i="32" s="1"/>
  <c r="H335" i="32" s="1"/>
  <c r="H334" i="32" s="1"/>
  <c r="H340" i="32" s="1"/>
  <c r="H332" i="32"/>
  <c r="H333" i="32" s="1"/>
  <c r="H325" i="32"/>
  <c r="H326" i="32" s="1"/>
  <c r="H320" i="32"/>
  <c r="H321" i="32" s="1"/>
  <c r="H313" i="32"/>
  <c r="H312" i="32" s="1"/>
  <c r="H311" i="32" s="1"/>
  <c r="H310" i="32" s="1"/>
  <c r="H309" i="32" s="1"/>
  <c r="H308" i="32" s="1"/>
  <c r="H314" i="32" s="1"/>
  <c r="H306" i="32"/>
  <c r="H305" i="32" s="1"/>
  <c r="H304" i="32" s="1"/>
  <c r="H264" i="32"/>
  <c r="H265" i="32" s="1"/>
  <c r="H251" i="32"/>
  <c r="H252" i="32" s="1"/>
  <c r="H233" i="32"/>
  <c r="H234" i="32" s="1"/>
  <c r="H230" i="32"/>
  <c r="H224" i="32"/>
  <c r="H223" i="32" s="1"/>
  <c r="H215" i="32"/>
  <c r="H216" i="32" s="1"/>
  <c r="H211" i="32"/>
  <c r="H212" i="32" s="1"/>
  <c r="H167" i="32"/>
  <c r="H166" i="32" s="1"/>
  <c r="H165" i="32" s="1"/>
  <c r="H168" i="32" s="1"/>
  <c r="H129" i="32"/>
  <c r="H130" i="32" s="1"/>
  <c r="H119" i="32"/>
  <c r="H120" i="32" s="1"/>
  <c r="H111" i="32"/>
  <c r="H112" i="32" s="1"/>
  <c r="H95" i="32"/>
  <c r="H96" i="32" s="1"/>
  <c r="H88" i="32"/>
  <c r="H89" i="32" s="1"/>
  <c r="H74" i="32"/>
  <c r="H41" i="32"/>
  <c r="H42" i="32" s="1"/>
  <c r="H28" i="32"/>
  <c r="H15" i="32"/>
  <c r="H16" i="32" s="1"/>
  <c r="G949" i="32"/>
  <c r="G948" i="32" s="1"/>
  <c r="G947" i="32" s="1"/>
  <c r="G946" i="32" s="1"/>
  <c r="G945" i="32" s="1"/>
  <c r="G943" i="32" s="1"/>
  <c r="G950" i="32" s="1"/>
  <c r="G942" i="32"/>
  <c r="G941" i="32"/>
  <c r="G940" i="32" s="1"/>
  <c r="G939" i="32" s="1"/>
  <c r="G938" i="32" s="1"/>
  <c r="G937" i="32" s="1"/>
  <c r="G936" i="32" s="1"/>
  <c r="G926" i="32"/>
  <c r="G853" i="32"/>
  <c r="G849" i="32"/>
  <c r="G845" i="32"/>
  <c r="G783" i="32"/>
  <c r="G782" i="32" s="1"/>
  <c r="G781" i="32" s="1"/>
  <c r="G780" i="32" s="1"/>
  <c r="G779" i="32" s="1"/>
  <c r="G754" i="32"/>
  <c r="G755" i="32" s="1"/>
  <c r="G717" i="32"/>
  <c r="G696" i="32"/>
  <c r="G695" i="32" s="1"/>
  <c r="G694" i="32" s="1"/>
  <c r="G697" i="32" s="1"/>
  <c r="G689" i="32"/>
  <c r="G687" i="32"/>
  <c r="G686" i="32" s="1"/>
  <c r="G685" i="32" s="1"/>
  <c r="G684" i="32" s="1"/>
  <c r="G652" i="32"/>
  <c r="G651" i="32" s="1"/>
  <c r="G650" i="32" s="1"/>
  <c r="G649" i="32" s="1"/>
  <c r="G648" i="32" s="1"/>
  <c r="G647" i="32" s="1"/>
  <c r="G638" i="32"/>
  <c r="G636" i="32"/>
  <c r="G635" i="32" s="1"/>
  <c r="G634" i="32"/>
  <c r="G632" i="32"/>
  <c r="G631" i="32" s="1"/>
  <c r="G620" i="32"/>
  <c r="G618" i="32"/>
  <c r="G617" i="32" s="1"/>
  <c r="G542" i="32"/>
  <c r="G543" i="32" s="1"/>
  <c r="G516" i="32"/>
  <c r="G515" i="32" s="1"/>
  <c r="G514" i="32" s="1"/>
  <c r="G517" i="32" s="1"/>
  <c r="K498" i="32"/>
  <c r="G496" i="32"/>
  <c r="G495" i="32" s="1"/>
  <c r="G494" i="32" s="1"/>
  <c r="G497" i="32" s="1"/>
  <c r="G471" i="32"/>
  <c r="G470" i="32" s="1"/>
  <c r="G469" i="32" s="1"/>
  <c r="G468" i="32" s="1"/>
  <c r="G467" i="32" s="1"/>
  <c r="G466" i="32" s="1"/>
  <c r="G472" i="32" s="1"/>
  <c r="G436" i="32"/>
  <c r="G429" i="32"/>
  <c r="G430" i="32" s="1"/>
  <c r="G421" i="32"/>
  <c r="G422" i="32" s="1"/>
  <c r="G417" i="32"/>
  <c r="G418" i="32" s="1"/>
  <c r="G387" i="32"/>
  <c r="G388" i="32" s="1"/>
  <c r="G346" i="32"/>
  <c r="G345" i="32" s="1"/>
  <c r="G344" i="32" s="1"/>
  <c r="G343" i="32" s="1"/>
  <c r="G342" i="32" s="1"/>
  <c r="G341" i="32" s="1"/>
  <c r="G347" i="32" s="1"/>
  <c r="G339" i="32"/>
  <c r="G338" i="32" s="1"/>
  <c r="G337" i="32" s="1"/>
  <c r="G336" i="32" s="1"/>
  <c r="G335" i="32" s="1"/>
  <c r="G334" i="32" s="1"/>
  <c r="G340" i="32" s="1"/>
  <c r="G332" i="32"/>
  <c r="G333" i="32" s="1"/>
  <c r="G325" i="32"/>
  <c r="G326" i="32" s="1"/>
  <c r="G320" i="32"/>
  <c r="G321" i="32" s="1"/>
  <c r="G313" i="32"/>
  <c r="G312" i="32" s="1"/>
  <c r="G311" i="32" s="1"/>
  <c r="G310" i="32" s="1"/>
  <c r="G309" i="32" s="1"/>
  <c r="G308" i="32" s="1"/>
  <c r="G314" i="32" s="1"/>
  <c r="G306" i="32"/>
  <c r="G305" i="32" s="1"/>
  <c r="G304" i="32" s="1"/>
  <c r="G264" i="32"/>
  <c r="G265" i="32" s="1"/>
  <c r="G251" i="32"/>
  <c r="G252" i="32" s="1"/>
  <c r="G233" i="32"/>
  <c r="G234" i="32" s="1"/>
  <c r="G230" i="32"/>
  <c r="G225" i="32"/>
  <c r="G226" i="32" s="1"/>
  <c r="G215" i="32"/>
  <c r="G216" i="32" s="1"/>
  <c r="G211" i="32"/>
  <c r="G212" i="32" s="1"/>
  <c r="G167" i="32"/>
  <c r="G166" i="32" s="1"/>
  <c r="G165" i="32" s="1"/>
  <c r="G168" i="32" s="1"/>
  <c r="G129" i="32"/>
  <c r="G130" i="32" s="1"/>
  <c r="G119" i="32"/>
  <c r="G120" i="32" s="1"/>
  <c r="G112" i="32"/>
  <c r="G95" i="32"/>
  <c r="G88" i="32"/>
  <c r="G89" i="32" s="1"/>
  <c r="G74" i="32"/>
  <c r="G73" i="32" s="1"/>
  <c r="G72" i="32" s="1"/>
  <c r="G71" i="32" s="1"/>
  <c r="G70" i="32" s="1"/>
  <c r="G69" i="32" s="1"/>
  <c r="G28" i="32"/>
  <c r="G15" i="32"/>
  <c r="G16" i="32" s="1"/>
  <c r="G20" i="30"/>
  <c r="G19" i="30" s="1"/>
  <c r="G18" i="30" s="1"/>
  <c r="F20" i="30"/>
  <c r="F19" i="30" s="1"/>
  <c r="F18" i="30" s="1"/>
  <c r="E45" i="31"/>
  <c r="E16" i="31"/>
  <c r="E55" i="31"/>
  <c r="E19" i="31"/>
  <c r="D19" i="31"/>
  <c r="G8" i="30"/>
  <c r="F8" i="30"/>
  <c r="G115" i="30"/>
  <c r="G114" i="30" s="1"/>
  <c r="G113" i="30" s="1"/>
  <c r="G110" i="30"/>
  <c r="G109" i="30" s="1"/>
  <c r="G15" i="30"/>
  <c r="G14" i="30" s="1"/>
  <c r="G934" i="30"/>
  <c r="G933" i="30" s="1"/>
  <c r="G932" i="30" s="1"/>
  <c r="G931" i="30" s="1"/>
  <c r="G930" i="30" s="1"/>
  <c r="G929" i="30" s="1"/>
  <c r="E43" i="31" s="1"/>
  <c r="F934" i="30"/>
  <c r="F933" i="30" s="1"/>
  <c r="F932" i="30" s="1"/>
  <c r="F931" i="30" s="1"/>
  <c r="F930" i="30" s="1"/>
  <c r="F929" i="30" s="1"/>
  <c r="D43" i="31" s="1"/>
  <c r="G941" i="30"/>
  <c r="G940" i="30" s="1"/>
  <c r="G939" i="30" s="1"/>
  <c r="G938" i="30" s="1"/>
  <c r="G937" i="30" s="1"/>
  <c r="F941" i="30"/>
  <c r="F940" i="30" s="1"/>
  <c r="F939" i="30" s="1"/>
  <c r="F938" i="30" s="1"/>
  <c r="F937" i="30" s="1"/>
  <c r="G1083" i="30"/>
  <c r="G1082" i="30" s="1"/>
  <c r="G1081" i="30" s="1"/>
  <c r="G1080" i="30" s="1"/>
  <c r="G1079" i="30" s="1"/>
  <c r="F1083" i="30"/>
  <c r="F1082" i="30" s="1"/>
  <c r="F1081" i="30" s="1"/>
  <c r="F1080" i="30" s="1"/>
  <c r="F1079" i="30" s="1"/>
  <c r="G1078" i="30"/>
  <c r="G1077" i="30" s="1"/>
  <c r="G1076" i="30" s="1"/>
  <c r="F1078" i="30"/>
  <c r="F1077" i="30" s="1"/>
  <c r="F1076" i="30" s="1"/>
  <c r="G1075" i="30"/>
  <c r="G1074" i="30" s="1"/>
  <c r="F1075" i="30"/>
  <c r="F1074" i="30" s="1"/>
  <c r="G1073" i="30"/>
  <c r="G1072" i="30" s="1"/>
  <c r="F1073" i="30"/>
  <c r="F1072" i="30" s="1"/>
  <c r="F1071" i="30"/>
  <c r="F1070" i="30" s="1"/>
  <c r="G1064" i="30"/>
  <c r="G1063" i="30" s="1"/>
  <c r="F1064" i="30"/>
  <c r="F1063" i="30" s="1"/>
  <c r="G1062" i="30"/>
  <c r="G1061" i="30" s="1"/>
  <c r="F1062" i="30"/>
  <c r="F1061" i="30" s="1"/>
  <c r="G1057" i="30"/>
  <c r="G1056" i="30" s="1"/>
  <c r="G1055" i="30" s="1"/>
  <c r="F1057" i="30"/>
  <c r="F1056" i="30" s="1"/>
  <c r="F1055" i="30" s="1"/>
  <c r="F1050" i="30"/>
  <c r="F1049" i="30" s="1"/>
  <c r="G1045" i="30"/>
  <c r="G1044" i="30" s="1"/>
  <c r="G1043" i="30" s="1"/>
  <c r="F1045" i="30"/>
  <c r="F1044" i="30" s="1"/>
  <c r="F1043" i="30" s="1"/>
  <c r="F1035" i="30"/>
  <c r="F1034" i="30" s="1"/>
  <c r="F1033" i="30" s="1"/>
  <c r="G1029" i="30"/>
  <c r="G1028" i="30" s="1"/>
  <c r="G1027" i="30" s="1"/>
  <c r="G1026" i="30" s="1"/>
  <c r="G1025" i="30" s="1"/>
  <c r="F1029" i="30"/>
  <c r="F1028" i="30" s="1"/>
  <c r="F1027" i="30" s="1"/>
  <c r="F1026" i="30" s="1"/>
  <c r="F1025" i="30" s="1"/>
  <c r="G1020" i="30"/>
  <c r="G1019" i="30" s="1"/>
  <c r="G1018" i="30" s="1"/>
  <c r="G1017" i="30" s="1"/>
  <c r="F1020" i="30"/>
  <c r="F1019" i="30" s="1"/>
  <c r="F1018" i="30" s="1"/>
  <c r="F1017" i="30" s="1"/>
  <c r="G1016" i="30"/>
  <c r="G1015" i="30" s="1"/>
  <c r="G1014" i="30" s="1"/>
  <c r="G1013" i="30" s="1"/>
  <c r="F1016" i="30"/>
  <c r="F1015" i="30" s="1"/>
  <c r="F1014" i="30" s="1"/>
  <c r="F1013" i="30" s="1"/>
  <c r="G1012" i="30"/>
  <c r="G1011" i="30" s="1"/>
  <c r="G1010" i="30" s="1"/>
  <c r="G1009" i="30" s="1"/>
  <c r="F1012" i="30"/>
  <c r="F1011" i="30" s="1"/>
  <c r="F1010" i="30" s="1"/>
  <c r="F1009" i="30" s="1"/>
  <c r="G998" i="30"/>
  <c r="G997" i="30" s="1"/>
  <c r="G996" i="30" s="1"/>
  <c r="F998" i="30"/>
  <c r="F988" i="30"/>
  <c r="F987" i="30" s="1"/>
  <c r="F986" i="30" s="1"/>
  <c r="F985" i="30" s="1"/>
  <c r="G976" i="30"/>
  <c r="G975" i="30" s="1"/>
  <c r="F976" i="30"/>
  <c r="F975" i="30" s="1"/>
  <c r="G974" i="30"/>
  <c r="G973" i="30" s="1"/>
  <c r="F974" i="30"/>
  <c r="F973" i="30" s="1"/>
  <c r="G963" i="30"/>
  <c r="F963" i="30"/>
  <c r="G958" i="30"/>
  <c r="G957" i="30" s="1"/>
  <c r="G956" i="30" s="1"/>
  <c r="G955" i="30" s="1"/>
  <c r="F958" i="30"/>
  <c r="F957" i="30" s="1"/>
  <c r="F956" i="30" s="1"/>
  <c r="F955" i="30" s="1"/>
  <c r="G954" i="30"/>
  <c r="G953" i="30" s="1"/>
  <c r="F954" i="30"/>
  <c r="F953" i="30" s="1"/>
  <c r="G948" i="30"/>
  <c r="G947" i="30" s="1"/>
  <c r="F948" i="30"/>
  <c r="F947" i="30" s="1"/>
  <c r="G927" i="30"/>
  <c r="G926" i="30" s="1"/>
  <c r="G925" i="30" s="1"/>
  <c r="G923" i="30" s="1"/>
  <c r="F927" i="30"/>
  <c r="F926" i="30" s="1"/>
  <c r="F925" i="30" s="1"/>
  <c r="F923" i="30" s="1"/>
  <c r="G922" i="30"/>
  <c r="G921" i="30" s="1"/>
  <c r="G920" i="30" s="1"/>
  <c r="G919" i="30" s="1"/>
  <c r="G918" i="30" s="1"/>
  <c r="G917" i="30" s="1"/>
  <c r="F922" i="30"/>
  <c r="F921" i="30" s="1"/>
  <c r="F920" i="30" s="1"/>
  <c r="F919" i="30" s="1"/>
  <c r="F918" i="30" s="1"/>
  <c r="F917" i="30" s="1"/>
  <c r="G912" i="30"/>
  <c r="G911" i="30" s="1"/>
  <c r="F912" i="30"/>
  <c r="F911" i="30" s="1"/>
  <c r="G910" i="30"/>
  <c r="G909" i="30" s="1"/>
  <c r="F910" i="30"/>
  <c r="F909" i="30" s="1"/>
  <c r="F908" i="30"/>
  <c r="F907" i="30" s="1"/>
  <c r="G905" i="30"/>
  <c r="G904" i="30" s="1"/>
  <c r="G903" i="30" s="1"/>
  <c r="F905" i="30"/>
  <c r="F904" i="30" s="1"/>
  <c r="F903" i="30" s="1"/>
  <c r="G900" i="30"/>
  <c r="G899" i="30" s="1"/>
  <c r="G898" i="30" s="1"/>
  <c r="F900" i="30"/>
  <c r="F899" i="30" s="1"/>
  <c r="F898" i="30" s="1"/>
  <c r="F897" i="30"/>
  <c r="F896" i="30" s="1"/>
  <c r="F895" i="30" s="1"/>
  <c r="G894" i="30"/>
  <c r="G893" i="30" s="1"/>
  <c r="F894" i="30"/>
  <c r="F893" i="30" s="1"/>
  <c r="F892" i="30"/>
  <c r="F891" i="30" s="1"/>
  <c r="G883" i="30"/>
  <c r="G882" i="30" s="1"/>
  <c r="G881" i="30" s="1"/>
  <c r="F883" i="30"/>
  <c r="F882" i="30" s="1"/>
  <c r="F881" i="30" s="1"/>
  <c r="G875" i="30"/>
  <c r="G874" i="30" s="1"/>
  <c r="G873" i="30" s="1"/>
  <c r="F875" i="30"/>
  <c r="F874" i="30" s="1"/>
  <c r="F873" i="30" s="1"/>
  <c r="G870" i="30"/>
  <c r="G869" i="30" s="1"/>
  <c r="G868" i="30" s="1"/>
  <c r="F870" i="30"/>
  <c r="F869" i="30" s="1"/>
  <c r="F868" i="30" s="1"/>
  <c r="G867" i="30"/>
  <c r="G866" i="30" s="1"/>
  <c r="G865" i="30" s="1"/>
  <c r="F867" i="30"/>
  <c r="F866" i="30" s="1"/>
  <c r="F865" i="30" s="1"/>
  <c r="F856" i="30"/>
  <c r="F855" i="30" s="1"/>
  <c r="F854" i="30" s="1"/>
  <c r="G853" i="30"/>
  <c r="G852" i="30" s="1"/>
  <c r="G851" i="30" s="1"/>
  <c r="F853" i="30"/>
  <c r="F852" i="30" s="1"/>
  <c r="F851" i="30" s="1"/>
  <c r="G849" i="30"/>
  <c r="G848" i="30" s="1"/>
  <c r="G847" i="30" s="1"/>
  <c r="G846" i="30" s="1"/>
  <c r="F849" i="30"/>
  <c r="F848" i="30" s="1"/>
  <c r="F847" i="30" s="1"/>
  <c r="F846" i="30" s="1"/>
  <c r="G845" i="30"/>
  <c r="G844" i="30" s="1"/>
  <c r="G843" i="30" s="1"/>
  <c r="F845" i="30"/>
  <c r="F844" i="30" s="1"/>
  <c r="F843" i="30" s="1"/>
  <c r="G840" i="30"/>
  <c r="G839" i="30" s="1"/>
  <c r="G838" i="30" s="1"/>
  <c r="F840" i="30"/>
  <c r="F839" i="30" s="1"/>
  <c r="F838" i="30" s="1"/>
  <c r="G833" i="30"/>
  <c r="G832" i="30" s="1"/>
  <c r="G831" i="30" s="1"/>
  <c r="G830" i="30" s="1"/>
  <c r="F833" i="30"/>
  <c r="F832" i="30" s="1"/>
  <c r="F831" i="30" s="1"/>
  <c r="F830" i="30" s="1"/>
  <c r="G824" i="30"/>
  <c r="G823" i="30" s="1"/>
  <c r="F824" i="30"/>
  <c r="F823" i="30" s="1"/>
  <c r="G803" i="30"/>
  <c r="G802" i="30" s="1"/>
  <c r="G801" i="30" s="1"/>
  <c r="F803" i="30"/>
  <c r="F802" i="30" s="1"/>
  <c r="F801" i="30" s="1"/>
  <c r="G800" i="30"/>
  <c r="G799" i="30" s="1"/>
  <c r="F800" i="30"/>
  <c r="F799" i="30" s="1"/>
  <c r="G796" i="30"/>
  <c r="G795" i="30" s="1"/>
  <c r="F796" i="30"/>
  <c r="F795" i="30" s="1"/>
  <c r="G792" i="30"/>
  <c r="G791" i="30" s="1"/>
  <c r="F792" i="30"/>
  <c r="F791" i="30" s="1"/>
  <c r="G782" i="30"/>
  <c r="G781" i="30" s="1"/>
  <c r="G780" i="30" s="1"/>
  <c r="F782" i="30"/>
  <c r="F781" i="30" s="1"/>
  <c r="F780" i="30" s="1"/>
  <c r="G772" i="30"/>
  <c r="G771" i="30" s="1"/>
  <c r="F772" i="30"/>
  <c r="F771" i="30" s="1"/>
  <c r="G770" i="30"/>
  <c r="G769" i="30" s="1"/>
  <c r="F770" i="30"/>
  <c r="F769" i="30" s="1"/>
  <c r="G759" i="30"/>
  <c r="G758" i="30" s="1"/>
  <c r="G757" i="30" s="1"/>
  <c r="G756" i="30" s="1"/>
  <c r="F759" i="30"/>
  <c r="F758" i="30" s="1"/>
  <c r="F757" i="30" s="1"/>
  <c r="F756" i="30" s="1"/>
  <c r="G753" i="30"/>
  <c r="G752" i="30" s="1"/>
  <c r="F753" i="30"/>
  <c r="F752" i="30" s="1"/>
  <c r="G746" i="30"/>
  <c r="G745" i="30" s="1"/>
  <c r="G744" i="30" s="1"/>
  <c r="F746" i="30"/>
  <c r="F745" i="30" s="1"/>
  <c r="F744" i="30" s="1"/>
  <c r="G739" i="30"/>
  <c r="G738" i="30" s="1"/>
  <c r="G737" i="30" s="1"/>
  <c r="F739" i="30"/>
  <c r="F738" i="30" s="1"/>
  <c r="F737" i="30" s="1"/>
  <c r="G736" i="30"/>
  <c r="G735" i="30" s="1"/>
  <c r="G734" i="30" s="1"/>
  <c r="F736" i="30"/>
  <c r="F735" i="30" s="1"/>
  <c r="F734" i="30" s="1"/>
  <c r="G731" i="30"/>
  <c r="F731" i="30"/>
  <c r="F730" i="30" s="1"/>
  <c r="F729" i="30" s="1"/>
  <c r="F727" i="30" s="1"/>
  <c r="G726" i="30"/>
  <c r="G725" i="30" s="1"/>
  <c r="G724" i="30" s="1"/>
  <c r="F726" i="30"/>
  <c r="F725" i="30" s="1"/>
  <c r="F724" i="30" s="1"/>
  <c r="G723" i="30"/>
  <c r="G722" i="30" s="1"/>
  <c r="G721" i="30" s="1"/>
  <c r="F723" i="30"/>
  <c r="F722" i="30" s="1"/>
  <c r="F721" i="30" s="1"/>
  <c r="G719" i="30"/>
  <c r="G718" i="30" s="1"/>
  <c r="G717" i="30" s="1"/>
  <c r="G716" i="30" s="1"/>
  <c r="F719" i="30"/>
  <c r="F718" i="30" s="1"/>
  <c r="F717" i="30" s="1"/>
  <c r="F716" i="30" s="1"/>
  <c r="G713" i="30"/>
  <c r="G712" i="30" s="1"/>
  <c r="F713" i="30"/>
  <c r="F712" i="30" s="1"/>
  <c r="G710" i="30"/>
  <c r="G709" i="30" s="1"/>
  <c r="G708" i="30" s="1"/>
  <c r="F710" i="30"/>
  <c r="F709" i="30" s="1"/>
  <c r="F708" i="30" s="1"/>
  <c r="G703" i="30"/>
  <c r="G702" i="30" s="1"/>
  <c r="F703" i="30"/>
  <c r="F702" i="30" s="1"/>
  <c r="G701" i="30"/>
  <c r="G700" i="30" s="1"/>
  <c r="F701" i="30"/>
  <c r="F700" i="30" s="1"/>
  <c r="F699" i="30"/>
  <c r="F698" i="30" s="1"/>
  <c r="G694" i="30"/>
  <c r="G693" i="30" s="1"/>
  <c r="G692" i="30" s="1"/>
  <c r="G691" i="30" s="1"/>
  <c r="F694" i="30"/>
  <c r="F693" i="30" s="1"/>
  <c r="F692" i="30" s="1"/>
  <c r="F691" i="30" s="1"/>
  <c r="G686" i="30"/>
  <c r="G685" i="30" s="1"/>
  <c r="G684" i="30" s="1"/>
  <c r="F686" i="30"/>
  <c r="F685" i="30" s="1"/>
  <c r="F684" i="30" s="1"/>
  <c r="G683" i="30"/>
  <c r="G682" i="30" s="1"/>
  <c r="G681" i="30" s="1"/>
  <c r="F683" i="30"/>
  <c r="F682" i="30" s="1"/>
  <c r="F681" i="30" s="1"/>
  <c r="G670" i="30"/>
  <c r="G669" i="30" s="1"/>
  <c r="G668" i="30" s="1"/>
  <c r="G667" i="30" s="1"/>
  <c r="G666" i="30" s="1"/>
  <c r="F670" i="30"/>
  <c r="F669" i="30" s="1"/>
  <c r="F668" i="30" s="1"/>
  <c r="F667" i="30" s="1"/>
  <c r="F666" i="30" s="1"/>
  <c r="G665" i="30"/>
  <c r="G664" i="30" s="1"/>
  <c r="G663" i="30" s="1"/>
  <c r="G662" i="30" s="1"/>
  <c r="G661" i="30" s="1"/>
  <c r="F665" i="30"/>
  <c r="F664" i="30" s="1"/>
  <c r="F663" i="30" s="1"/>
  <c r="F662" i="30" s="1"/>
  <c r="F661" i="30" s="1"/>
  <c r="G660" i="30"/>
  <c r="G659" i="30" s="1"/>
  <c r="G658" i="30" s="1"/>
  <c r="G657" i="30" s="1"/>
  <c r="G620" i="30"/>
  <c r="G619" i="30" s="1"/>
  <c r="G618" i="30" s="1"/>
  <c r="F620" i="30"/>
  <c r="F619" i="30" s="1"/>
  <c r="F618" i="30" s="1"/>
  <c r="G613" i="30"/>
  <c r="G612" i="30" s="1"/>
  <c r="G611" i="30" s="1"/>
  <c r="F613" i="30"/>
  <c r="F612" i="30" s="1"/>
  <c r="F611" i="30" s="1"/>
  <c r="G597" i="30"/>
  <c r="G596" i="30" s="1"/>
  <c r="G595" i="30" s="1"/>
  <c r="F597" i="30"/>
  <c r="F596" i="30" s="1"/>
  <c r="F595" i="30" s="1"/>
  <c r="G591" i="30"/>
  <c r="G590" i="30" s="1"/>
  <c r="G589" i="30" s="1"/>
  <c r="F591" i="30"/>
  <c r="F590" i="30" s="1"/>
  <c r="F589" i="30" s="1"/>
  <c r="G581" i="30"/>
  <c r="G580" i="30" s="1"/>
  <c r="G579" i="30" s="1"/>
  <c r="G578" i="30" s="1"/>
  <c r="G577" i="30" s="1"/>
  <c r="F581" i="30"/>
  <c r="F580" i="30" s="1"/>
  <c r="F579" i="30" s="1"/>
  <c r="F578" i="30" s="1"/>
  <c r="F577" i="30" s="1"/>
  <c r="G576" i="30"/>
  <c r="G575" i="30" s="1"/>
  <c r="G574" i="30" s="1"/>
  <c r="G573" i="30" s="1"/>
  <c r="G572" i="30" s="1"/>
  <c r="F576" i="30"/>
  <c r="F575" i="30" s="1"/>
  <c r="F574" i="30" s="1"/>
  <c r="F573" i="30" s="1"/>
  <c r="F572" i="30" s="1"/>
  <c r="G555" i="30"/>
  <c r="G554" i="30" s="1"/>
  <c r="G553" i="30" s="1"/>
  <c r="F555" i="30"/>
  <c r="F554" i="30" s="1"/>
  <c r="F553" i="30" s="1"/>
  <c r="G552" i="30"/>
  <c r="G551" i="30" s="1"/>
  <c r="G550" i="30" s="1"/>
  <c r="F552" i="30"/>
  <c r="F551" i="30" s="1"/>
  <c r="F550" i="30" s="1"/>
  <c r="G545" i="30"/>
  <c r="G544" i="30" s="1"/>
  <c r="G543" i="30" s="1"/>
  <c r="F545" i="30"/>
  <c r="F544" i="30" s="1"/>
  <c r="F543" i="30" s="1"/>
  <c r="G532" i="30"/>
  <c r="G531" i="30" s="1"/>
  <c r="G530" i="30" s="1"/>
  <c r="F532" i="30"/>
  <c r="F531" i="30" s="1"/>
  <c r="F530" i="30" s="1"/>
  <c r="G509" i="30"/>
  <c r="F509" i="30"/>
  <c r="F499" i="30"/>
  <c r="F498" i="30" s="1"/>
  <c r="G496" i="30"/>
  <c r="G495" i="30" s="1"/>
  <c r="G494" i="30" s="1"/>
  <c r="F496" i="30"/>
  <c r="F495" i="30" s="1"/>
  <c r="F494" i="30" s="1"/>
  <c r="F488" i="30"/>
  <c r="F487" i="30" s="1"/>
  <c r="F486" i="30" s="1"/>
  <c r="G483" i="30"/>
  <c r="G482" i="30" s="1"/>
  <c r="F483" i="30"/>
  <c r="F482" i="30" s="1"/>
  <c r="F481" i="30"/>
  <c r="F480" i="30" s="1"/>
  <c r="G462" i="30"/>
  <c r="G461" i="30" s="1"/>
  <c r="G460" i="30" s="1"/>
  <c r="G459" i="30" s="1"/>
  <c r="F462" i="30"/>
  <c r="F461" i="30" s="1"/>
  <c r="F460" i="30" s="1"/>
  <c r="F459" i="30" s="1"/>
  <c r="G458" i="30"/>
  <c r="G457" i="30" s="1"/>
  <c r="G456" i="30" s="1"/>
  <c r="F458" i="30"/>
  <c r="F457" i="30" s="1"/>
  <c r="F456" i="30" s="1"/>
  <c r="G440" i="30"/>
  <c r="G439" i="30" s="1"/>
  <c r="G438" i="30" s="1"/>
  <c r="F440" i="30"/>
  <c r="F439" i="30" s="1"/>
  <c r="F438" i="30" s="1"/>
  <c r="G428" i="30"/>
  <c r="G427" i="30" s="1"/>
  <c r="G426" i="30" s="1"/>
  <c r="F428" i="30"/>
  <c r="F427" i="30" s="1"/>
  <c r="F426" i="30" s="1"/>
  <c r="G419" i="30"/>
  <c r="G418" i="30" s="1"/>
  <c r="G417" i="30" s="1"/>
  <c r="G416" i="30" s="1"/>
  <c r="G415" i="30" s="1"/>
  <c r="F419" i="30"/>
  <c r="F418" i="30" s="1"/>
  <c r="F417" i="30" s="1"/>
  <c r="F416" i="30" s="1"/>
  <c r="F415" i="30" s="1"/>
  <c r="G408" i="30"/>
  <c r="G407" i="30" s="1"/>
  <c r="G406" i="30" s="1"/>
  <c r="G405" i="30" s="1"/>
  <c r="F408" i="30"/>
  <c r="F407" i="30" s="1"/>
  <c r="F406" i="30" s="1"/>
  <c r="F405" i="30" s="1"/>
  <c r="G404" i="30"/>
  <c r="G403" i="30" s="1"/>
  <c r="G402" i="30" s="1"/>
  <c r="G401" i="30" s="1"/>
  <c r="F404" i="30"/>
  <c r="F403" i="30" s="1"/>
  <c r="F402" i="30" s="1"/>
  <c r="F401" i="30" s="1"/>
  <c r="G400" i="30"/>
  <c r="G399" i="30" s="1"/>
  <c r="G398" i="30" s="1"/>
  <c r="G397" i="30" s="1"/>
  <c r="F400" i="30"/>
  <c r="F399" i="30" s="1"/>
  <c r="F398" i="30" s="1"/>
  <c r="F397" i="30" s="1"/>
  <c r="G396" i="30"/>
  <c r="G395" i="30" s="1"/>
  <c r="G394" i="30" s="1"/>
  <c r="G393" i="30" s="1"/>
  <c r="F396" i="30"/>
  <c r="F395" i="30" s="1"/>
  <c r="F394" i="30" s="1"/>
  <c r="F393" i="30" s="1"/>
  <c r="G392" i="30"/>
  <c r="G391" i="30" s="1"/>
  <c r="G390" i="30" s="1"/>
  <c r="G389" i="30" s="1"/>
  <c r="F392" i="30"/>
  <c r="F391" i="30" s="1"/>
  <c r="F390" i="30" s="1"/>
  <c r="F389" i="30" s="1"/>
  <c r="G388" i="30"/>
  <c r="G387" i="30" s="1"/>
  <c r="G386" i="30" s="1"/>
  <c r="G385" i="30" s="1"/>
  <c r="F388" i="30"/>
  <c r="F387" i="30" s="1"/>
  <c r="F386" i="30" s="1"/>
  <c r="F385" i="30" s="1"/>
  <c r="G384" i="30"/>
  <c r="G383" i="30" s="1"/>
  <c r="G382" i="30" s="1"/>
  <c r="G381" i="30" s="1"/>
  <c r="F384" i="30"/>
  <c r="F383" i="30" s="1"/>
  <c r="F382" i="30" s="1"/>
  <c r="F381" i="30" s="1"/>
  <c r="G348" i="30"/>
  <c r="G347" i="30" s="1"/>
  <c r="G346" i="30" s="1"/>
  <c r="G345" i="30"/>
  <c r="G344" i="30" s="1"/>
  <c r="G343" i="30" s="1"/>
  <c r="F345" i="30"/>
  <c r="F344" i="30" s="1"/>
  <c r="F343" i="30" s="1"/>
  <c r="G342" i="30"/>
  <c r="G341" i="30" s="1"/>
  <c r="G340" i="30" s="1"/>
  <c r="F342" i="30"/>
  <c r="F341" i="30" s="1"/>
  <c r="F340" i="30" s="1"/>
  <c r="G330" i="30"/>
  <c r="G329" i="30" s="1"/>
  <c r="G328" i="30" s="1"/>
  <c r="G327" i="30" s="1"/>
  <c r="G326" i="30" s="1"/>
  <c r="F330" i="30"/>
  <c r="F329" i="30" s="1"/>
  <c r="F328" i="30" s="1"/>
  <c r="F327" i="30" s="1"/>
  <c r="F326" i="30" s="1"/>
  <c r="G317" i="30"/>
  <c r="G316" i="30" s="1"/>
  <c r="G315" i="30" s="1"/>
  <c r="G314" i="30" s="1"/>
  <c r="F316" i="30"/>
  <c r="F315" i="30" s="1"/>
  <c r="F314" i="30" s="1"/>
  <c r="F317" i="30"/>
  <c r="G307" i="30"/>
  <c r="G306" i="30" s="1"/>
  <c r="F307" i="30"/>
  <c r="F306" i="30" s="1"/>
  <c r="G305" i="30"/>
  <c r="G304" i="30" s="1"/>
  <c r="F305" i="30"/>
  <c r="F304" i="30" s="1"/>
  <c r="G297" i="30"/>
  <c r="G296" i="30" s="1"/>
  <c r="F297" i="30"/>
  <c r="F296" i="30" s="1"/>
  <c r="G295" i="30"/>
  <c r="G294" i="30" s="1"/>
  <c r="G285" i="30"/>
  <c r="G284" i="30" s="1"/>
  <c r="G283" i="30" s="1"/>
  <c r="G282" i="30" s="1"/>
  <c r="G281" i="30" s="1"/>
  <c r="G280" i="30" s="1"/>
  <c r="E25" i="31" s="1"/>
  <c r="F285" i="30"/>
  <c r="F284" i="30" s="1"/>
  <c r="F283" i="30" s="1"/>
  <c r="F282" i="30" s="1"/>
  <c r="F281" i="30" s="1"/>
  <c r="F280" i="30" s="1"/>
  <c r="D25" i="31" s="1"/>
  <c r="F275" i="30"/>
  <c r="F274" i="30" s="1"/>
  <c r="F273" i="30" s="1"/>
  <c r="F272" i="30" s="1"/>
  <c r="G251" i="30"/>
  <c r="G250" i="30" s="1"/>
  <c r="G249" i="30" s="1"/>
  <c r="F251" i="30"/>
  <c r="F250" i="30" s="1"/>
  <c r="F249" i="30" s="1"/>
  <c r="G259" i="30"/>
  <c r="G258" i="30" s="1"/>
  <c r="F259" i="30"/>
  <c r="F258" i="30" s="1"/>
  <c r="G256" i="30"/>
  <c r="F254" i="30"/>
  <c r="F253" i="30" s="1"/>
  <c r="G248" i="30"/>
  <c r="G247" i="30" s="1"/>
  <c r="G246" i="30" s="1"/>
  <c r="F248" i="30"/>
  <c r="F247" i="30" s="1"/>
  <c r="F246" i="30" s="1"/>
  <c r="G234" i="30"/>
  <c r="G233" i="30" s="1"/>
  <c r="G232" i="30" s="1"/>
  <c r="G231" i="30" s="1"/>
  <c r="G230" i="30" s="1"/>
  <c r="F234" i="30"/>
  <c r="F233" i="30" s="1"/>
  <c r="F232" i="30" s="1"/>
  <c r="F231" i="30" s="1"/>
  <c r="F230" i="30" s="1"/>
  <c r="G224" i="30"/>
  <c r="G223" i="30" s="1"/>
  <c r="G222" i="30" s="1"/>
  <c r="G221" i="30" s="1"/>
  <c r="G220" i="30" s="1"/>
  <c r="F224" i="30"/>
  <c r="F223" i="30" s="1"/>
  <c r="F222" i="30" s="1"/>
  <c r="F221" i="30" s="1"/>
  <c r="F220" i="30" s="1"/>
  <c r="G214" i="30"/>
  <c r="G213" i="30" s="1"/>
  <c r="G212" i="30" s="1"/>
  <c r="G211" i="30" s="1"/>
  <c r="F214" i="30"/>
  <c r="F213" i="30" s="1"/>
  <c r="F212" i="30" s="1"/>
  <c r="F211" i="30" s="1"/>
  <c r="G210" i="30"/>
  <c r="G209" i="30" s="1"/>
  <c r="G208" i="30" s="1"/>
  <c r="G207" i="30" s="1"/>
  <c r="F210" i="30"/>
  <c r="F209" i="30" s="1"/>
  <c r="F208" i="30" s="1"/>
  <c r="F207" i="30" s="1"/>
  <c r="G196" i="30"/>
  <c r="G195" i="30" s="1"/>
  <c r="G194" i="30" s="1"/>
  <c r="F193" i="30"/>
  <c r="F192" i="30" s="1"/>
  <c r="F191" i="30" s="1"/>
  <c r="F196" i="30"/>
  <c r="F195" i="30" s="1"/>
  <c r="F194" i="30" s="1"/>
  <c r="G193" i="30"/>
  <c r="G192" i="30" s="1"/>
  <c r="G191" i="30" s="1"/>
  <c r="G188" i="30"/>
  <c r="G187" i="30" s="1"/>
  <c r="G186" i="30" s="1"/>
  <c r="G185" i="30" s="1"/>
  <c r="F188" i="30"/>
  <c r="F187" i="30" s="1"/>
  <c r="F186" i="30" s="1"/>
  <c r="F185" i="30" s="1"/>
  <c r="G171" i="30"/>
  <c r="G170" i="30" s="1"/>
  <c r="F171" i="30"/>
  <c r="F170" i="30" s="1"/>
  <c r="G168" i="30"/>
  <c r="F168" i="30"/>
  <c r="F166" i="30"/>
  <c r="G158" i="30"/>
  <c r="G157" i="30" s="1"/>
  <c r="F158" i="30"/>
  <c r="F157" i="30" s="1"/>
  <c r="G154" i="30"/>
  <c r="G153" i="30" s="1"/>
  <c r="F154" i="30"/>
  <c r="F153" i="30" s="1"/>
  <c r="G152" i="30"/>
  <c r="G151" i="30" s="1"/>
  <c r="F152" i="30"/>
  <c r="F151" i="30" s="1"/>
  <c r="F150" i="30"/>
  <c r="F149" i="30" s="1"/>
  <c r="G147" i="30"/>
  <c r="G146" i="30" s="1"/>
  <c r="G145" i="30" s="1"/>
  <c r="F147" i="30"/>
  <c r="F146" i="30" s="1"/>
  <c r="F145" i="30" s="1"/>
  <c r="G141" i="30"/>
  <c r="G140" i="30" s="1"/>
  <c r="G139" i="30" s="1"/>
  <c r="G138" i="30" s="1"/>
  <c r="G137" i="30" s="1"/>
  <c r="G136" i="30" s="1"/>
  <c r="E17" i="31" s="1"/>
  <c r="F141" i="30"/>
  <c r="F140" i="30" s="1"/>
  <c r="F139" i="30" s="1"/>
  <c r="F138" i="30" s="1"/>
  <c r="F137" i="30" s="1"/>
  <c r="F136" i="30" s="1"/>
  <c r="D17" i="31" s="1"/>
  <c r="F124" i="30"/>
  <c r="F123" i="30" s="1"/>
  <c r="F122" i="30" s="1"/>
  <c r="G121" i="30"/>
  <c r="G120" i="30" s="1"/>
  <c r="F121" i="30"/>
  <c r="F119" i="30"/>
  <c r="F118" i="30" s="1"/>
  <c r="F110" i="30"/>
  <c r="F109" i="30" s="1"/>
  <c r="F108" i="30"/>
  <c r="F107" i="30" s="1"/>
  <c r="F120" i="30"/>
  <c r="F115" i="30"/>
  <c r="F114" i="30" s="1"/>
  <c r="F113" i="30" s="1"/>
  <c r="G112" i="30"/>
  <c r="G111" i="30" s="1"/>
  <c r="F112" i="30"/>
  <c r="F111" i="30" s="1"/>
  <c r="G102" i="30"/>
  <c r="G101" i="30" s="1"/>
  <c r="G100" i="30" s="1"/>
  <c r="G99" i="30" s="1"/>
  <c r="F102" i="30"/>
  <c r="F101" i="30" s="1"/>
  <c r="F100" i="30" s="1"/>
  <c r="F99" i="30" s="1"/>
  <c r="G89" i="30"/>
  <c r="G88" i="30" s="1"/>
  <c r="G87" i="30" s="1"/>
  <c r="G86" i="30" s="1"/>
  <c r="F89" i="30"/>
  <c r="F88" i="30" s="1"/>
  <c r="F87" i="30" s="1"/>
  <c r="F86" i="30" s="1"/>
  <c r="G95" i="30"/>
  <c r="G94" i="30" s="1"/>
  <c r="F95" i="30"/>
  <c r="F94" i="30" s="1"/>
  <c r="G93" i="30"/>
  <c r="G92" i="30" s="1"/>
  <c r="F93" i="30"/>
  <c r="F92" i="30" s="1"/>
  <c r="G84" i="30"/>
  <c r="G83" i="30" s="1"/>
  <c r="F84" i="30"/>
  <c r="F83" i="30" s="1"/>
  <c r="G82" i="30"/>
  <c r="G81" i="30" s="1"/>
  <c r="F82" i="30"/>
  <c r="F81" i="30" s="1"/>
  <c r="G79" i="30"/>
  <c r="G78" i="30" s="1"/>
  <c r="G77" i="30" s="1"/>
  <c r="F79" i="30"/>
  <c r="F78" i="30" s="1"/>
  <c r="F77" i="30" s="1"/>
  <c r="G76" i="30"/>
  <c r="G75" i="30" s="1"/>
  <c r="F76" i="30"/>
  <c r="F75" i="30" s="1"/>
  <c r="G74" i="30"/>
  <c r="G73" i="30" s="1"/>
  <c r="F74" i="30"/>
  <c r="F73" i="30" s="1"/>
  <c r="G69" i="30"/>
  <c r="G68" i="30" s="1"/>
  <c r="F69" i="30"/>
  <c r="F68" i="30" s="1"/>
  <c r="G59" i="30"/>
  <c r="G58" i="30" s="1"/>
  <c r="G57" i="30" s="1"/>
  <c r="F59" i="30"/>
  <c r="F58" i="30" s="1"/>
  <c r="F57" i="30" s="1"/>
  <c r="G56" i="30"/>
  <c r="G55" i="30" s="1"/>
  <c r="G54" i="30" s="1"/>
  <c r="F56" i="30"/>
  <c r="F55" i="30" s="1"/>
  <c r="F54" i="30" s="1"/>
  <c r="G53" i="30"/>
  <c r="G52" i="30" s="1"/>
  <c r="F53" i="30"/>
  <c r="F52" i="30" s="1"/>
  <c r="G49" i="30"/>
  <c r="G48" i="30" s="1"/>
  <c r="F49" i="30"/>
  <c r="F48" i="30" s="1"/>
  <c r="F47" i="30"/>
  <c r="F46" i="30" s="1"/>
  <c r="F36" i="30"/>
  <c r="F35" i="30" s="1"/>
  <c r="G33" i="30"/>
  <c r="G32" i="30" s="1"/>
  <c r="F33" i="30"/>
  <c r="F32" i="30" s="1"/>
  <c r="F31" i="30"/>
  <c r="F30" i="30" s="1"/>
  <c r="G25" i="30"/>
  <c r="G24" i="30" s="1"/>
  <c r="G23" i="30" s="1"/>
  <c r="G22" i="30" s="1"/>
  <c r="G21" i="30" s="1"/>
  <c r="F25" i="30"/>
  <c r="F24" i="30" s="1"/>
  <c r="F23" i="30" s="1"/>
  <c r="F15" i="30"/>
  <c r="F14" i="30" s="1"/>
  <c r="G1024" i="30"/>
  <c r="G1023" i="30" s="1"/>
  <c r="G1022" i="30" s="1"/>
  <c r="G1021" i="30" s="1"/>
  <c r="G1005" i="30"/>
  <c r="G1004" i="30" s="1"/>
  <c r="G1003" i="30"/>
  <c r="G1001" i="30"/>
  <c r="G1000" i="30" s="1"/>
  <c r="G999" i="30" s="1"/>
  <c r="G995" i="30"/>
  <c r="G994" i="30"/>
  <c r="G993" i="30" s="1"/>
  <c r="G992" i="30"/>
  <c r="G991" i="30"/>
  <c r="G990" i="30" s="1"/>
  <c r="G968" i="30"/>
  <c r="G967" i="30" s="1"/>
  <c r="G966" i="30" s="1"/>
  <c r="G965" i="30" s="1"/>
  <c r="G964" i="30" s="1"/>
  <c r="G961" i="30"/>
  <c r="G960" i="30" s="1"/>
  <c r="G959" i="30" s="1"/>
  <c r="G952" i="30"/>
  <c r="G946" i="30"/>
  <c r="G945" i="30" s="1"/>
  <c r="G916" i="30"/>
  <c r="G915" i="30" s="1"/>
  <c r="G914" i="30" s="1"/>
  <c r="G913" i="30" s="1"/>
  <c r="G864" i="30"/>
  <c r="G863" i="30" s="1"/>
  <c r="G862" i="30" s="1"/>
  <c r="G860" i="30"/>
  <c r="G859" i="30" s="1"/>
  <c r="G858" i="30" s="1"/>
  <c r="G857" i="30" s="1"/>
  <c r="G856" i="30"/>
  <c r="G855" i="30" s="1"/>
  <c r="G854" i="30" s="1"/>
  <c r="G826" i="30"/>
  <c r="G825" i="30" s="1"/>
  <c r="G820" i="30"/>
  <c r="G819" i="30" s="1"/>
  <c r="G818" i="30" s="1"/>
  <c r="G790" i="30"/>
  <c r="G789" i="30" s="1"/>
  <c r="G787" i="30"/>
  <c r="G786" i="30" s="1"/>
  <c r="G785" i="30" s="1"/>
  <c r="G749" i="30"/>
  <c r="G748" i="30" s="1"/>
  <c r="G747" i="30" s="1"/>
  <c r="G715" i="30"/>
  <c r="G714" i="30" s="1"/>
  <c r="G706" i="30"/>
  <c r="G705" i="30" s="1"/>
  <c r="G704" i="30" s="1"/>
  <c r="G690" i="30"/>
  <c r="G689" i="30" s="1"/>
  <c r="G688" i="30" s="1"/>
  <c r="G687" i="30" s="1"/>
  <c r="G679" i="30"/>
  <c r="G678" i="30" s="1"/>
  <c r="G677" i="30" s="1"/>
  <c r="G656" i="30"/>
  <c r="G655" i="30" s="1"/>
  <c r="G654" i="30" s="1"/>
  <c r="G653" i="30" s="1"/>
  <c r="G652" i="30"/>
  <c r="G651" i="30" s="1"/>
  <c r="G650" i="30" s="1"/>
  <c r="G649" i="30" s="1"/>
  <c r="G648" i="30"/>
  <c r="G647" i="30" s="1"/>
  <c r="G646" i="30" s="1"/>
  <c r="G645" i="30" s="1"/>
  <c r="G644" i="30"/>
  <c r="G643" i="30" s="1"/>
  <c r="G642" i="30" s="1"/>
  <c r="G641" i="30" s="1"/>
  <c r="G640" i="30"/>
  <c r="G639" i="30" s="1"/>
  <c r="G638" i="30" s="1"/>
  <c r="G637" i="30" s="1"/>
  <c r="G632" i="30"/>
  <c r="G631" i="30" s="1"/>
  <c r="G630" i="30" s="1"/>
  <c r="G629" i="30" s="1"/>
  <c r="G628" i="30"/>
  <c r="G627" i="30" s="1"/>
  <c r="G626" i="30" s="1"/>
  <c r="G625" i="30" s="1"/>
  <c r="G617" i="30"/>
  <c r="G616" i="30" s="1"/>
  <c r="G615" i="30" s="1"/>
  <c r="G610" i="30"/>
  <c r="G609" i="30" s="1"/>
  <c r="G608" i="30" s="1"/>
  <c r="G606" i="30"/>
  <c r="G605" i="30" s="1"/>
  <c r="G603" i="30"/>
  <c r="G602" i="30" s="1"/>
  <c r="G571" i="30"/>
  <c r="G570" i="30" s="1"/>
  <c r="G569" i="30" s="1"/>
  <c r="G568" i="30" s="1"/>
  <c r="G567" i="30"/>
  <c r="G566" i="30" s="1"/>
  <c r="G565" i="30" s="1"/>
  <c r="G564" i="30" s="1"/>
  <c r="G549" i="30"/>
  <c r="G548" i="30" s="1"/>
  <c r="G547" i="30" s="1"/>
  <c r="G542" i="30"/>
  <c r="G541" i="30" s="1"/>
  <c r="G540" i="30" s="1"/>
  <c r="G539" i="30"/>
  <c r="G538" i="30" s="1"/>
  <c r="G537" i="30" s="1"/>
  <c r="G521" i="30"/>
  <c r="G520" i="30" s="1"/>
  <c r="G519" i="30" s="1"/>
  <c r="G518" i="30" s="1"/>
  <c r="G517" i="30" s="1"/>
  <c r="G516" i="30"/>
  <c r="G515" i="30" s="1"/>
  <c r="G514" i="30"/>
  <c r="G513" i="30" s="1"/>
  <c r="G511" i="30"/>
  <c r="G510" i="30"/>
  <c r="G507" i="30"/>
  <c r="G506" i="30" s="1"/>
  <c r="G485" i="30"/>
  <c r="G484" i="30" s="1"/>
  <c r="G475" i="30"/>
  <c r="G474" i="30" s="1"/>
  <c r="G473" i="30" s="1"/>
  <c r="G472" i="30" s="1"/>
  <c r="G455" i="30"/>
  <c r="G454" i="30" s="1"/>
  <c r="G453" i="30" s="1"/>
  <c r="G448" i="30"/>
  <c r="G447" i="30" s="1"/>
  <c r="G446" i="30" s="1"/>
  <c r="G445" i="30"/>
  <c r="G444" i="30" s="1"/>
  <c r="G437" i="30"/>
  <c r="G436" i="30" s="1"/>
  <c r="G435" i="30" s="1"/>
  <c r="G434" i="30"/>
  <c r="G433" i="30"/>
  <c r="G424" i="30"/>
  <c r="G423" i="30" s="1"/>
  <c r="G422" i="30" s="1"/>
  <c r="G421" i="30" s="1"/>
  <c r="G379" i="30"/>
  <c r="G378" i="30" s="1"/>
  <c r="G377" i="30" s="1"/>
  <c r="G376" i="30"/>
  <c r="G375" i="30" s="1"/>
  <c r="G374" i="30"/>
  <c r="G373" i="30" s="1"/>
  <c r="G371" i="30"/>
  <c r="G370" i="30" s="1"/>
  <c r="G369" i="30" s="1"/>
  <c r="G368" i="30"/>
  <c r="G367" i="30" s="1"/>
  <c r="G366" i="30"/>
  <c r="G365" i="30" s="1"/>
  <c r="G362" i="30"/>
  <c r="G361" i="30" s="1"/>
  <c r="G357" i="30"/>
  <c r="G356" i="30"/>
  <c r="G354" i="30"/>
  <c r="G353" i="30" s="1"/>
  <c r="G339" i="30"/>
  <c r="G338" i="30" s="1"/>
  <c r="G337" i="30"/>
  <c r="G336" i="30" s="1"/>
  <c r="G325" i="30"/>
  <c r="G324" i="30" s="1"/>
  <c r="G323" i="30" s="1"/>
  <c r="G322" i="30" s="1"/>
  <c r="G321" i="30"/>
  <c r="G320" i="30" s="1"/>
  <c r="G319" i="30" s="1"/>
  <c r="G318" i="30" s="1"/>
  <c r="G313" i="30"/>
  <c r="G312" i="30" s="1"/>
  <c r="G311" i="30" s="1"/>
  <c r="G310" i="30" s="1"/>
  <c r="G299" i="30"/>
  <c r="G298" i="30" s="1"/>
  <c r="G291" i="30"/>
  <c r="G290" i="30" s="1"/>
  <c r="G289" i="30" s="1"/>
  <c r="G288" i="30" s="1"/>
  <c r="G279" i="30"/>
  <c r="G278" i="30" s="1"/>
  <c r="G277" i="30" s="1"/>
  <c r="G276" i="30" s="1"/>
  <c r="G268" i="30"/>
  <c r="G267" i="30" s="1"/>
  <c r="G266" i="30" s="1"/>
  <c r="G265" i="30"/>
  <c r="G264" i="30" s="1"/>
  <c r="G263" i="30" s="1"/>
  <c r="G241" i="30"/>
  <c r="G240" i="30" s="1"/>
  <c r="G239" i="30" s="1"/>
  <c r="G238" i="30" s="1"/>
  <c r="G237" i="30" s="1"/>
  <c r="G236" i="30" s="1"/>
  <c r="G235" i="30" s="1"/>
  <c r="G219" i="30"/>
  <c r="G218" i="30" s="1"/>
  <c r="G217" i="30" s="1"/>
  <c r="G205" i="30"/>
  <c r="G204" i="30" s="1"/>
  <c r="G203" i="30" s="1"/>
  <c r="G202" i="30"/>
  <c r="G201" i="30" s="1"/>
  <c r="G200" i="30" s="1"/>
  <c r="G199" i="30"/>
  <c r="G198" i="30" s="1"/>
  <c r="G197" i="30" s="1"/>
  <c r="G183" i="30"/>
  <c r="G182" i="30" s="1"/>
  <c r="G163" i="30"/>
  <c r="G162" i="30" s="1"/>
  <c r="G161" i="30" s="1"/>
  <c r="G159" i="30"/>
  <c r="G135" i="30"/>
  <c r="G134" i="30" s="1"/>
  <c r="G133" i="30"/>
  <c r="G132" i="30" s="1"/>
  <c r="G127" i="30"/>
  <c r="G126" i="30" s="1"/>
  <c r="G125" i="30" s="1"/>
  <c r="G97" i="30"/>
  <c r="G96" i="30" s="1"/>
  <c r="G71" i="30"/>
  <c r="G70" i="30" s="1"/>
  <c r="G65" i="30"/>
  <c r="G64" i="30" s="1"/>
  <c r="G63" i="30"/>
  <c r="G62" i="30" s="1"/>
  <c r="G61" i="30" s="1"/>
  <c r="G51" i="30"/>
  <c r="G50" i="30" s="1"/>
  <c r="G41" i="30"/>
  <c r="G40" i="30" s="1"/>
  <c r="G39" i="30" s="1"/>
  <c r="G38" i="30"/>
  <c r="G37" i="30" s="1"/>
  <c r="F1024" i="30"/>
  <c r="F1023" i="30" s="1"/>
  <c r="F1022" i="30" s="1"/>
  <c r="F1021" i="30" s="1"/>
  <c r="F1005" i="30"/>
  <c r="F1004" i="30" s="1"/>
  <c r="F1003" i="30"/>
  <c r="F1001" i="30"/>
  <c r="F1000" i="30" s="1"/>
  <c r="F999" i="30" s="1"/>
  <c r="F997" i="30"/>
  <c r="F996" i="30" s="1"/>
  <c r="F995" i="30"/>
  <c r="F994" i="30"/>
  <c r="F993" i="30" s="1"/>
  <c r="F992" i="30"/>
  <c r="F991" i="30"/>
  <c r="F990" i="30" s="1"/>
  <c r="F961" i="30"/>
  <c r="F960" i="30" s="1"/>
  <c r="F959" i="30" s="1"/>
  <c r="F952" i="30"/>
  <c r="F951" i="30" s="1"/>
  <c r="F946" i="30"/>
  <c r="F945" i="30" s="1"/>
  <c r="F916" i="30"/>
  <c r="F915" i="30" s="1"/>
  <c r="F914" i="30" s="1"/>
  <c r="F913" i="30" s="1"/>
  <c r="F864" i="30"/>
  <c r="F863" i="30" s="1"/>
  <c r="F862" i="30" s="1"/>
  <c r="F826" i="30"/>
  <c r="F825" i="30" s="1"/>
  <c r="F820" i="30"/>
  <c r="F819" i="30" s="1"/>
  <c r="F818" i="30" s="1"/>
  <c r="F790" i="30"/>
  <c r="F789" i="30" s="1"/>
  <c r="F787" i="30"/>
  <c r="F786" i="30" s="1"/>
  <c r="F785" i="30" s="1"/>
  <c r="F749" i="30"/>
  <c r="F748" i="30" s="1"/>
  <c r="F747" i="30" s="1"/>
  <c r="F715" i="30"/>
  <c r="F714" i="30" s="1"/>
  <c r="F706" i="30"/>
  <c r="F705" i="30" s="1"/>
  <c r="F704" i="30" s="1"/>
  <c r="F690" i="30"/>
  <c r="F689" i="30" s="1"/>
  <c r="F688" i="30" s="1"/>
  <c r="F687" i="30" s="1"/>
  <c r="F679" i="30"/>
  <c r="F678" i="30" s="1"/>
  <c r="F677" i="30" s="1"/>
  <c r="F656" i="30"/>
  <c r="F655" i="30" s="1"/>
  <c r="F654" i="30" s="1"/>
  <c r="F653" i="30" s="1"/>
  <c r="F652" i="30"/>
  <c r="F651" i="30" s="1"/>
  <c r="F650" i="30" s="1"/>
  <c r="F649" i="30" s="1"/>
  <c r="F648" i="30"/>
  <c r="F647" i="30" s="1"/>
  <c r="F646" i="30" s="1"/>
  <c r="F645" i="30" s="1"/>
  <c r="F644" i="30"/>
  <c r="F643" i="30" s="1"/>
  <c r="F642" i="30" s="1"/>
  <c r="F641" i="30" s="1"/>
  <c r="F640" i="30"/>
  <c r="F639" i="30" s="1"/>
  <c r="F638" i="30" s="1"/>
  <c r="F637" i="30" s="1"/>
  <c r="F632" i="30"/>
  <c r="F631" i="30" s="1"/>
  <c r="F630" i="30" s="1"/>
  <c r="F629" i="30" s="1"/>
  <c r="F628" i="30"/>
  <c r="F627" i="30" s="1"/>
  <c r="F626" i="30" s="1"/>
  <c r="F625" i="30" s="1"/>
  <c r="F617" i="30"/>
  <c r="F616" i="30" s="1"/>
  <c r="F615" i="30" s="1"/>
  <c r="F610" i="30"/>
  <c r="F609" i="30" s="1"/>
  <c r="F608" i="30" s="1"/>
  <c r="F606" i="30"/>
  <c r="F605" i="30" s="1"/>
  <c r="F604" i="30"/>
  <c r="F603" i="30" s="1"/>
  <c r="F602" i="30" s="1"/>
  <c r="F571" i="30"/>
  <c r="F570" i="30" s="1"/>
  <c r="F569" i="30" s="1"/>
  <c r="F568" i="30" s="1"/>
  <c r="F567" i="30"/>
  <c r="F566" i="30" s="1"/>
  <c r="F565" i="30" s="1"/>
  <c r="F564" i="30" s="1"/>
  <c r="F549" i="30"/>
  <c r="F548" i="30" s="1"/>
  <c r="F547" i="30" s="1"/>
  <c r="F542" i="30"/>
  <c r="F541" i="30" s="1"/>
  <c r="F540" i="30" s="1"/>
  <c r="F539" i="30"/>
  <c r="F538" i="30" s="1"/>
  <c r="F537" i="30" s="1"/>
  <c r="F521" i="30"/>
  <c r="F520" i="30" s="1"/>
  <c r="F519" i="30" s="1"/>
  <c r="F518" i="30" s="1"/>
  <c r="F517" i="30" s="1"/>
  <c r="F516" i="30"/>
  <c r="F515" i="30" s="1"/>
  <c r="F514" i="30"/>
  <c r="F513" i="30" s="1"/>
  <c r="F510" i="30"/>
  <c r="F485" i="30"/>
  <c r="F484" i="30" s="1"/>
  <c r="F475" i="30"/>
  <c r="F474" i="30" s="1"/>
  <c r="F473" i="30" s="1"/>
  <c r="F472" i="30" s="1"/>
  <c r="F455" i="30"/>
  <c r="F454" i="30" s="1"/>
  <c r="F453" i="30" s="1"/>
  <c r="F448" i="30"/>
  <c r="F447" i="30" s="1"/>
  <c r="F446" i="30" s="1"/>
  <c r="F437" i="30"/>
  <c r="F436" i="30" s="1"/>
  <c r="F435" i="30" s="1"/>
  <c r="F433" i="30"/>
  <c r="F424" i="30"/>
  <c r="F423" i="30" s="1"/>
  <c r="F422" i="30" s="1"/>
  <c r="F421" i="30" s="1"/>
  <c r="F379" i="30"/>
  <c r="F378" i="30" s="1"/>
  <c r="F377" i="30" s="1"/>
  <c r="F376" i="30"/>
  <c r="F375" i="30" s="1"/>
  <c r="F374" i="30"/>
  <c r="F373" i="30" s="1"/>
  <c r="F371" i="30"/>
  <c r="F370" i="30" s="1"/>
  <c r="F369" i="30" s="1"/>
  <c r="F368" i="30"/>
  <c r="F367" i="30" s="1"/>
  <c r="F366" i="30"/>
  <c r="F365" i="30" s="1"/>
  <c r="F362" i="30"/>
  <c r="F361" i="30" s="1"/>
  <c r="F357" i="30"/>
  <c r="F356" i="30"/>
  <c r="F354" i="30"/>
  <c r="F353" i="30" s="1"/>
  <c r="F339" i="30"/>
  <c r="F338" i="30" s="1"/>
  <c r="F337" i="30"/>
  <c r="F336" i="30" s="1"/>
  <c r="F325" i="30"/>
  <c r="F324" i="30" s="1"/>
  <c r="F323" i="30" s="1"/>
  <c r="F322" i="30" s="1"/>
  <c r="F321" i="30"/>
  <c r="F320" i="30" s="1"/>
  <c r="F319" i="30" s="1"/>
  <c r="F318" i="30" s="1"/>
  <c r="F313" i="30"/>
  <c r="F312" i="30" s="1"/>
  <c r="F311" i="30" s="1"/>
  <c r="F310" i="30" s="1"/>
  <c r="F299" i="30"/>
  <c r="F298" i="30" s="1"/>
  <c r="F291" i="30"/>
  <c r="F290" i="30" s="1"/>
  <c r="F289" i="30" s="1"/>
  <c r="F288" i="30" s="1"/>
  <c r="F279" i="30"/>
  <c r="F278" i="30" s="1"/>
  <c r="F277" i="30" s="1"/>
  <c r="F276" i="30" s="1"/>
  <c r="F268" i="30"/>
  <c r="F267" i="30" s="1"/>
  <c r="F266" i="30" s="1"/>
  <c r="F241" i="30"/>
  <c r="F240" i="30" s="1"/>
  <c r="F239" i="30" s="1"/>
  <c r="F238" i="30" s="1"/>
  <c r="F237" i="30" s="1"/>
  <c r="F236" i="30" s="1"/>
  <c r="F235" i="30" s="1"/>
  <c r="F219" i="30"/>
  <c r="F218" i="30" s="1"/>
  <c r="F217" i="30" s="1"/>
  <c r="F205" i="30"/>
  <c r="F204" i="30" s="1"/>
  <c r="F203" i="30" s="1"/>
  <c r="F202" i="30"/>
  <c r="F201" i="30" s="1"/>
  <c r="F200" i="30" s="1"/>
  <c r="F199" i="30"/>
  <c r="F198" i="30" s="1"/>
  <c r="F197" i="30" s="1"/>
  <c r="F183" i="30"/>
  <c r="F182" i="30" s="1"/>
  <c r="F159" i="30"/>
  <c r="F135" i="30"/>
  <c r="F134" i="30" s="1"/>
  <c r="F133" i="30"/>
  <c r="F132" i="30" s="1"/>
  <c r="F127" i="30"/>
  <c r="F126" i="30" s="1"/>
  <c r="F125" i="30" s="1"/>
  <c r="F97" i="30"/>
  <c r="F96" i="30" s="1"/>
  <c r="F71" i="30"/>
  <c r="F70" i="30" s="1"/>
  <c r="F65" i="30"/>
  <c r="F64" i="30" s="1"/>
  <c r="F63" i="30"/>
  <c r="F41" i="30"/>
  <c r="F40" i="30" s="1"/>
  <c r="F39" i="30" s="1"/>
  <c r="F38" i="30"/>
  <c r="F37" i="30" s="1"/>
  <c r="G669" i="5"/>
  <c r="G668" i="5" s="1"/>
  <c r="G667" i="5" s="1"/>
  <c r="G666" i="5" s="1"/>
  <c r="G680" i="5"/>
  <c r="G681" i="5" s="1"/>
  <c r="G652" i="5"/>
  <c r="G653" i="5" s="1"/>
  <c r="G639" i="5"/>
  <c r="G640" i="5" s="1"/>
  <c r="G471" i="5"/>
  <c r="G472" i="5" s="1"/>
  <c r="H889" i="32" l="1"/>
  <c r="H888" i="32" s="1"/>
  <c r="G630" i="32"/>
  <c r="G629" i="32" s="1"/>
  <c r="G628" i="32" s="1"/>
  <c r="G880" i="30"/>
  <c r="G879" i="30" s="1"/>
  <c r="F880" i="30"/>
  <c r="F879" i="30" s="1"/>
  <c r="G872" i="30"/>
  <c r="G871" i="30" s="1"/>
  <c r="F872" i="30"/>
  <c r="F871" i="30" s="1"/>
  <c r="F252" i="30"/>
  <c r="H783" i="32"/>
  <c r="H782" i="32" s="1"/>
  <c r="H781" i="32" s="1"/>
  <c r="H780" i="32" s="1"/>
  <c r="H779" i="32" s="1"/>
  <c r="G646" i="32"/>
  <c r="H524" i="32"/>
  <c r="F1032" i="30"/>
  <c r="F1031" i="30" s="1"/>
  <c r="G769" i="32"/>
  <c r="G770" i="32" s="1"/>
  <c r="G614" i="32"/>
  <c r="G613" i="32" s="1"/>
  <c r="G612" i="32" s="1"/>
  <c r="G611" i="32" s="1"/>
  <c r="G610" i="32" s="1"/>
  <c r="G656" i="32"/>
  <c r="G655" i="32" s="1"/>
  <c r="G654" i="32" s="1"/>
  <c r="H201" i="32"/>
  <c r="H199" i="32"/>
  <c r="H198" i="32" s="1"/>
  <c r="G228" i="32"/>
  <c r="G227" i="32" s="1"/>
  <c r="G262" i="30"/>
  <c r="G261" i="30" s="1"/>
  <c r="G250" i="32"/>
  <c r="G249" i="32" s="1"/>
  <c r="H386" i="32"/>
  <c r="H385" i="32" s="1"/>
  <c r="G670" i="5"/>
  <c r="H636" i="32"/>
  <c r="H635" i="32" s="1"/>
  <c r="F355" i="30"/>
  <c r="F352" i="30" s="1"/>
  <c r="H420" i="32"/>
  <c r="H419" i="32" s="1"/>
  <c r="G214" i="32"/>
  <c r="G213" i="32" s="1"/>
  <c r="F372" i="30"/>
  <c r="G75" i="32"/>
  <c r="H755" i="32"/>
  <c r="G432" i="30"/>
  <c r="G335" i="30"/>
  <c r="G334" i="30" s="1"/>
  <c r="G333" i="30" s="1"/>
  <c r="G332" i="30" s="1"/>
  <c r="E29" i="31" s="1"/>
  <c r="F512" i="30"/>
  <c r="H709" i="32"/>
  <c r="H731" i="32"/>
  <c r="H730" i="32" s="1"/>
  <c r="H550" i="32"/>
  <c r="G364" i="30"/>
  <c r="G372" i="30"/>
  <c r="G512" i="30"/>
  <c r="F743" i="30"/>
  <c r="G944" i="30"/>
  <c r="G943" i="30" s="1"/>
  <c r="H873" i="32"/>
  <c r="G87" i="32"/>
  <c r="G86" i="32" s="1"/>
  <c r="G85" i="32" s="1"/>
  <c r="G84" i="32" s="1"/>
  <c r="G83" i="32" s="1"/>
  <c r="G324" i="32"/>
  <c r="G323" i="32" s="1"/>
  <c r="G322" i="32" s="1"/>
  <c r="G416" i="32"/>
  <c r="G415" i="32" s="1"/>
  <c r="G428" i="32"/>
  <c r="G427" i="32" s="1"/>
  <c r="G448" i="32"/>
  <c r="G916" i="32"/>
  <c r="H94" i="32"/>
  <c r="H93" i="32" s="1"/>
  <c r="H92" i="32" s="1"/>
  <c r="H91" i="32" s="1"/>
  <c r="H90" i="32" s="1"/>
  <c r="H118" i="32"/>
  <c r="H210" i="32"/>
  <c r="H209" i="32" s="1"/>
  <c r="H232" i="32"/>
  <c r="H231" i="32" s="1"/>
  <c r="H921" i="32"/>
  <c r="H920" i="32" s="1"/>
  <c r="G210" i="32"/>
  <c r="G209" i="32" s="1"/>
  <c r="G224" i="32"/>
  <c r="G223" i="32" s="1"/>
  <c r="G232" i="32"/>
  <c r="G231" i="32" s="1"/>
  <c r="G386" i="32"/>
  <c r="G385" i="32" s="1"/>
  <c r="G420" i="32"/>
  <c r="G419" i="32" s="1"/>
  <c r="G541" i="32"/>
  <c r="G579" i="32"/>
  <c r="G693" i="32"/>
  <c r="G692" i="32" s="1"/>
  <c r="G691" i="32" s="1"/>
  <c r="G753" i="32"/>
  <c r="G752" i="32" s="1"/>
  <c r="G751" i="32" s="1"/>
  <c r="G750" i="32" s="1"/>
  <c r="G749" i="32" s="1"/>
  <c r="G833" i="32"/>
  <c r="G864" i="32"/>
  <c r="G863" i="32" s="1"/>
  <c r="G944" i="32"/>
  <c r="H14" i="32"/>
  <c r="H13" i="32" s="1"/>
  <c r="H40" i="32"/>
  <c r="H39" i="32" s="1"/>
  <c r="H34" i="32" s="1"/>
  <c r="H33" i="32" s="1"/>
  <c r="H32" i="32" s="1"/>
  <c r="H110" i="32"/>
  <c r="H109" i="32" s="1"/>
  <c r="H128" i="32"/>
  <c r="H214" i="32"/>
  <c r="H213" i="32" s="1"/>
  <c r="H228" i="32"/>
  <c r="H227" i="32" s="1"/>
  <c r="H250" i="32"/>
  <c r="H249" i="32" s="1"/>
  <c r="H324" i="32"/>
  <c r="H323" i="32" s="1"/>
  <c r="H322" i="32" s="1"/>
  <c r="H416" i="32"/>
  <c r="H415" i="32" s="1"/>
  <c r="H428" i="32"/>
  <c r="H427" i="32" s="1"/>
  <c r="H618" i="32"/>
  <c r="H617" i="32" s="1"/>
  <c r="H632" i="32"/>
  <c r="H631" i="32" s="1"/>
  <c r="H727" i="32"/>
  <c r="H775" i="32"/>
  <c r="H774" i="32" s="1"/>
  <c r="H773" i="32" s="1"/>
  <c r="H772" i="32" s="1"/>
  <c r="H771" i="32" s="1"/>
  <c r="H797" i="32"/>
  <c r="H796" i="32" s="1"/>
  <c r="H795" i="32" s="1"/>
  <c r="H794" i="32" s="1"/>
  <c r="H793" i="32" s="1"/>
  <c r="H811" i="32"/>
  <c r="H810" i="32" s="1"/>
  <c r="H809" i="32" s="1"/>
  <c r="H808" i="32" s="1"/>
  <c r="H807" i="32" s="1"/>
  <c r="H825" i="32"/>
  <c r="H824" i="32" s="1"/>
  <c r="H823" i="32" s="1"/>
  <c r="H822" i="32" s="1"/>
  <c r="H821" i="32" s="1"/>
  <c r="H925" i="32"/>
  <c r="H924" i="32" s="1"/>
  <c r="G14" i="32"/>
  <c r="G13" i="32" s="1"/>
  <c r="G523" i="32"/>
  <c r="G594" i="32"/>
  <c r="G672" i="32"/>
  <c r="G671" i="32" s="1"/>
  <c r="G670" i="32" s="1"/>
  <c r="G426" i="32"/>
  <c r="G563" i="32"/>
  <c r="G586" i="32"/>
  <c r="G600" i="32"/>
  <c r="G599" i="32" s="1"/>
  <c r="G668" i="32"/>
  <c r="G860" i="32"/>
  <c r="G859" i="32" s="1"/>
  <c r="G878" i="32"/>
  <c r="G382" i="32"/>
  <c r="G529" i="32"/>
  <c r="H588" i="32"/>
  <c r="H587" i="32" s="1"/>
  <c r="H883" i="32"/>
  <c r="H901" i="32"/>
  <c r="H900" i="32" s="1"/>
  <c r="H899" i="32" s="1"/>
  <c r="H898" i="32" s="1"/>
  <c r="H540" i="32"/>
  <c r="H600" i="32"/>
  <c r="H599" i="32" s="1"/>
  <c r="H885" i="32"/>
  <c r="H884" i="32" s="1"/>
  <c r="H879" i="32" s="1"/>
  <c r="G220" i="32"/>
  <c r="G238" i="32"/>
  <c r="G258" i="32"/>
  <c r="G257" i="32" s="1"/>
  <c r="G274" i="32"/>
  <c r="H24" i="32"/>
  <c r="H38" i="32"/>
  <c r="H424" i="32"/>
  <c r="H423" i="32" s="1"/>
  <c r="H536" i="32"/>
  <c r="H584" i="32"/>
  <c r="H583" i="32" s="1"/>
  <c r="H594" i="32"/>
  <c r="H593" i="32" s="1"/>
  <c r="H616" i="32"/>
  <c r="H658" i="32"/>
  <c r="H835" i="32"/>
  <c r="G57" i="32"/>
  <c r="G56" i="32" s="1"/>
  <c r="G55" i="32" s="1"/>
  <c r="G54" i="32" s="1"/>
  <c r="G458" i="32"/>
  <c r="G487" i="32"/>
  <c r="G547" i="32"/>
  <c r="G546" i="32" s="1"/>
  <c r="G567" i="32"/>
  <c r="G566" i="32" s="1"/>
  <c r="H490" i="32"/>
  <c r="H646" i="32"/>
  <c r="H668" i="32"/>
  <c r="G491" i="32"/>
  <c r="G588" i="32"/>
  <c r="G587" i="32" s="1"/>
  <c r="G582" i="32" s="1"/>
  <c r="G581" i="32" s="1"/>
  <c r="H80" i="32"/>
  <c r="H79" i="32" s="1"/>
  <c r="H78" i="32" s="1"/>
  <c r="H77" i="32" s="1"/>
  <c r="H76" i="32" s="1"/>
  <c r="H144" i="32"/>
  <c r="H143" i="32" s="1"/>
  <c r="H142" i="32" s="1"/>
  <c r="H141" i="32" s="1"/>
  <c r="H134" i="32" s="1"/>
  <c r="H456" i="32"/>
  <c r="H674" i="32"/>
  <c r="H218" i="32"/>
  <c r="H217" i="32" s="1"/>
  <c r="H238" i="32"/>
  <c r="H256" i="32"/>
  <c r="H274" i="32"/>
  <c r="H448" i="32"/>
  <c r="G26" i="32"/>
  <c r="H190" i="32"/>
  <c r="H189" i="32" s="1"/>
  <c r="H384" i="32"/>
  <c r="G49" i="32"/>
  <c r="G121" i="32"/>
  <c r="H258" i="32"/>
  <c r="H257" i="32" s="1"/>
  <c r="G190" i="32"/>
  <c r="G189" i="32" s="1"/>
  <c r="H140" i="32"/>
  <c r="G133" i="32"/>
  <c r="G256" i="32"/>
  <c r="H221" i="32"/>
  <c r="H23" i="32"/>
  <c r="H21" i="32"/>
  <c r="H29" i="32"/>
  <c r="H27" i="32"/>
  <c r="H49" i="32"/>
  <c r="H47" i="32"/>
  <c r="H46" i="32" s="1"/>
  <c r="H59" i="32"/>
  <c r="H57" i="32"/>
  <c r="H56" i="32" s="1"/>
  <c r="H75" i="32"/>
  <c r="H73" i="32"/>
  <c r="H72" i="32" s="1"/>
  <c r="H71" i="32" s="1"/>
  <c r="H70" i="32" s="1"/>
  <c r="H69" i="32" s="1"/>
  <c r="H184" i="32"/>
  <c r="H307" i="32"/>
  <c r="H303" i="32"/>
  <c r="H302" i="32" s="1"/>
  <c r="H301" i="32" s="1"/>
  <c r="H376" i="32"/>
  <c r="H372" i="32"/>
  <c r="H952" i="32"/>
  <c r="H951" i="32"/>
  <c r="H958" i="32" s="1"/>
  <c r="H944" i="32"/>
  <c r="H943" i="32"/>
  <c r="H950" i="32" s="1"/>
  <c r="H968" i="32"/>
  <c r="H967" i="32"/>
  <c r="H437" i="32"/>
  <c r="H435" i="32"/>
  <c r="H434" i="32" s="1"/>
  <c r="H455" i="32"/>
  <c r="H453" i="32"/>
  <c r="H465" i="32"/>
  <c r="H463" i="32"/>
  <c r="H462" i="32" s="1"/>
  <c r="H461" i="32" s="1"/>
  <c r="H460" i="32" s="1"/>
  <c r="H459" i="32" s="1"/>
  <c r="H479" i="32"/>
  <c r="H477" i="32"/>
  <c r="H476" i="32" s="1"/>
  <c r="H475" i="32" s="1"/>
  <c r="H474" i="32" s="1"/>
  <c r="H473" i="32" s="1"/>
  <c r="H493" i="32"/>
  <c r="H491" i="32"/>
  <c r="H529" i="32"/>
  <c r="H527" i="32"/>
  <c r="H549" i="32"/>
  <c r="H547" i="32"/>
  <c r="H546" i="32" s="1"/>
  <c r="H545" i="32" s="1"/>
  <c r="H563" i="32"/>
  <c r="H561" i="32"/>
  <c r="H560" i="32" s="1"/>
  <c r="H559" i="32" s="1"/>
  <c r="H558" i="32" s="1"/>
  <c r="H579" i="32"/>
  <c r="H577" i="32"/>
  <c r="H576" i="32" s="1"/>
  <c r="H575" i="32" s="1"/>
  <c r="H574" i="32" s="1"/>
  <c r="H609" i="32"/>
  <c r="H607" i="32"/>
  <c r="H606" i="32" s="1"/>
  <c r="H605" i="32" s="1"/>
  <c r="H604" i="32" s="1"/>
  <c r="H603" i="32" s="1"/>
  <c r="H683" i="32"/>
  <c r="H679" i="32"/>
  <c r="H669" i="32" s="1"/>
  <c r="H697" i="32"/>
  <c r="H842" i="32"/>
  <c r="H840" i="32"/>
  <c r="H839" i="32" s="1"/>
  <c r="H850" i="32"/>
  <c r="H848" i="32"/>
  <c r="H847" i="32" s="1"/>
  <c r="H866" i="32"/>
  <c r="H864" i="32"/>
  <c r="H863" i="32" s="1"/>
  <c r="H909" i="32"/>
  <c r="H87" i="32"/>
  <c r="H86" i="32" s="1"/>
  <c r="H85" i="32" s="1"/>
  <c r="H84" i="32" s="1"/>
  <c r="H83" i="32" s="1"/>
  <c r="H121" i="32"/>
  <c r="H131" i="32"/>
  <c r="H173" i="32"/>
  <c r="H172" i="32" s="1"/>
  <c r="H203" i="32"/>
  <c r="H202" i="32" s="1"/>
  <c r="H263" i="32"/>
  <c r="H262" i="32" s="1"/>
  <c r="H267" i="32"/>
  <c r="H266" i="32" s="1"/>
  <c r="H319" i="32"/>
  <c r="H318" i="32" s="1"/>
  <c r="H317" i="32" s="1"/>
  <c r="H331" i="32"/>
  <c r="H330" i="32" s="1"/>
  <c r="H329" i="32" s="1"/>
  <c r="H328" i="32" s="1"/>
  <c r="H327" i="32" s="1"/>
  <c r="H351" i="32"/>
  <c r="H350" i="32" s="1"/>
  <c r="H349" i="32" s="1"/>
  <c r="H348" i="32" s="1"/>
  <c r="H359" i="32"/>
  <c r="H358" i="32" s="1"/>
  <c r="H357" i="32" s="1"/>
  <c r="H356" i="32" s="1"/>
  <c r="H367" i="32"/>
  <c r="H366" i="32" s="1"/>
  <c r="H365" i="32" s="1"/>
  <c r="H379" i="32"/>
  <c r="H378" i="32" s="1"/>
  <c r="H377" i="32" s="1"/>
  <c r="H393" i="32"/>
  <c r="H392" i="32" s="1"/>
  <c r="H391" i="32" s="1"/>
  <c r="H390" i="32" s="1"/>
  <c r="H389" i="32" s="1"/>
  <c r="H401" i="32"/>
  <c r="H400" i="32" s="1"/>
  <c r="H399" i="32" s="1"/>
  <c r="H398" i="32" s="1"/>
  <c r="H543" i="32"/>
  <c r="H541" i="32"/>
  <c r="H537" i="32" s="1"/>
  <c r="H533" i="32" s="1"/>
  <c r="H532" i="32" s="1"/>
  <c r="H531" i="32" s="1"/>
  <c r="H569" i="32"/>
  <c r="H567" i="32"/>
  <c r="H566" i="32" s="1"/>
  <c r="H565" i="32" s="1"/>
  <c r="H627" i="32"/>
  <c r="H625" i="32"/>
  <c r="H624" i="32" s="1"/>
  <c r="H623" i="32" s="1"/>
  <c r="H622" i="32" s="1"/>
  <c r="H621" i="32" s="1"/>
  <c r="H661" i="32"/>
  <c r="H660" i="32" s="1"/>
  <c r="H659" i="32" s="1"/>
  <c r="H653" i="32" s="1"/>
  <c r="H704" i="32"/>
  <c r="H702" i="32"/>
  <c r="H701" i="32" s="1"/>
  <c r="H714" i="32"/>
  <c r="H712" i="32"/>
  <c r="H718" i="32"/>
  <c r="H716" i="32"/>
  <c r="H715" i="32" s="1"/>
  <c r="H722" i="32"/>
  <c r="H720" i="32"/>
  <c r="H719" i="32" s="1"/>
  <c r="H744" i="32"/>
  <c r="H742" i="32"/>
  <c r="H741" i="32" s="1"/>
  <c r="H748" i="32"/>
  <c r="H746" i="32"/>
  <c r="H745" i="32" s="1"/>
  <c r="H838" i="32"/>
  <c r="H836" i="32"/>
  <c r="H832" i="32" s="1"/>
  <c r="H846" i="32"/>
  <c r="H844" i="32"/>
  <c r="H843" i="32" s="1"/>
  <c r="H854" i="32"/>
  <c r="H852" i="32"/>
  <c r="H851" i="32" s="1"/>
  <c r="H862" i="32"/>
  <c r="H860" i="32"/>
  <c r="H859" i="32" s="1"/>
  <c r="H792" i="32"/>
  <c r="H790" i="32"/>
  <c r="H789" i="32" s="1"/>
  <c r="H788" i="32" s="1"/>
  <c r="H787" i="32" s="1"/>
  <c r="H786" i="32" s="1"/>
  <c r="H806" i="32"/>
  <c r="H804" i="32"/>
  <c r="H803" i="32" s="1"/>
  <c r="H802" i="32" s="1"/>
  <c r="H801" i="32" s="1"/>
  <c r="H800" i="32" s="1"/>
  <c r="H820" i="32"/>
  <c r="H818" i="32"/>
  <c r="H817" i="32" s="1"/>
  <c r="H816" i="32" s="1"/>
  <c r="H815" i="32" s="1"/>
  <c r="H814" i="32" s="1"/>
  <c r="H878" i="32"/>
  <c r="H876" i="32"/>
  <c r="H875" i="32" s="1"/>
  <c r="H874" i="32" s="1"/>
  <c r="H916" i="32"/>
  <c r="H914" i="32"/>
  <c r="H913" i="32" s="1"/>
  <c r="H912" i="32" s="1"/>
  <c r="H911" i="32" s="1"/>
  <c r="H910" i="32" s="1"/>
  <c r="G38" i="32"/>
  <c r="G36" i="32"/>
  <c r="G35" i="32" s="1"/>
  <c r="G82" i="32"/>
  <c r="G80" i="32"/>
  <c r="G79" i="32" s="1"/>
  <c r="G78" i="32" s="1"/>
  <c r="G77" i="32" s="1"/>
  <c r="G76" i="32" s="1"/>
  <c r="G96" i="32"/>
  <c r="G94" i="32"/>
  <c r="G93" i="32" s="1"/>
  <c r="G92" i="32" s="1"/>
  <c r="G91" i="32" s="1"/>
  <c r="G90" i="32" s="1"/>
  <c r="G184" i="32"/>
  <c r="G307" i="32"/>
  <c r="G303" i="32"/>
  <c r="G302" i="32" s="1"/>
  <c r="G301" i="32" s="1"/>
  <c r="G376" i="32"/>
  <c r="G372" i="32"/>
  <c r="G29" i="32"/>
  <c r="G27" i="32"/>
  <c r="G683" i="32"/>
  <c r="G679" i="32"/>
  <c r="G437" i="32"/>
  <c r="G435" i="32"/>
  <c r="G434" i="32" s="1"/>
  <c r="G455" i="32"/>
  <c r="G453" i="32"/>
  <c r="G452" i="32" s="1"/>
  <c r="G451" i="32" s="1"/>
  <c r="G450" i="32" s="1"/>
  <c r="G449" i="32" s="1"/>
  <c r="G465" i="32"/>
  <c r="G463" i="32"/>
  <c r="G462" i="32" s="1"/>
  <c r="G461" i="32" s="1"/>
  <c r="G460" i="32" s="1"/>
  <c r="G459" i="32" s="1"/>
  <c r="G479" i="32"/>
  <c r="G477" i="32"/>
  <c r="G476" i="32" s="1"/>
  <c r="G475" i="32" s="1"/>
  <c r="G474" i="32" s="1"/>
  <c r="G473" i="32" s="1"/>
  <c r="G490" i="32"/>
  <c r="G488" i="32"/>
  <c r="G526" i="32"/>
  <c r="G524" i="32"/>
  <c r="G520" i="32" s="1"/>
  <c r="G519" i="32" s="1"/>
  <c r="G518" i="32" s="1"/>
  <c r="G536" i="32"/>
  <c r="G534" i="32"/>
  <c r="G540" i="32"/>
  <c r="G538" i="32"/>
  <c r="G663" i="32"/>
  <c r="G661" i="32"/>
  <c r="G660" i="32" s="1"/>
  <c r="G659" i="32" s="1"/>
  <c r="G704" i="32"/>
  <c r="G702" i="32"/>
  <c r="G701" i="32" s="1"/>
  <c r="G718" i="32"/>
  <c r="G716" i="32"/>
  <c r="G715" i="32" s="1"/>
  <c r="G722" i="32"/>
  <c r="G720" i="32"/>
  <c r="G719" i="32" s="1"/>
  <c r="G748" i="32"/>
  <c r="G746" i="32"/>
  <c r="G745" i="32" s="1"/>
  <c r="G893" i="32"/>
  <c r="G891" i="32"/>
  <c r="G890" i="32" s="1"/>
  <c r="G909" i="32"/>
  <c r="G905" i="32"/>
  <c r="G904" i="32" s="1"/>
  <c r="G951" i="32"/>
  <c r="G958" i="32" s="1"/>
  <c r="G952" i="32"/>
  <c r="G974" i="32"/>
  <c r="G110" i="32"/>
  <c r="G109" i="32" s="1"/>
  <c r="G118" i="32"/>
  <c r="G128" i="32"/>
  <c r="G127" i="32" s="1"/>
  <c r="G126" i="32" s="1"/>
  <c r="G125" i="32" s="1"/>
  <c r="G124" i="32" s="1"/>
  <c r="G138" i="32"/>
  <c r="G137" i="32" s="1"/>
  <c r="G136" i="32" s="1"/>
  <c r="G135" i="32" s="1"/>
  <c r="G144" i="32"/>
  <c r="G143" i="32" s="1"/>
  <c r="G142" i="32" s="1"/>
  <c r="G141" i="32" s="1"/>
  <c r="G173" i="32"/>
  <c r="G172" i="32" s="1"/>
  <c r="G199" i="32"/>
  <c r="G198" i="32" s="1"/>
  <c r="G203" i="32"/>
  <c r="G202" i="32" s="1"/>
  <c r="G263" i="32"/>
  <c r="G262" i="32" s="1"/>
  <c r="G267" i="32"/>
  <c r="G266" i="32" s="1"/>
  <c r="G319" i="32"/>
  <c r="G318" i="32" s="1"/>
  <c r="G317" i="32" s="1"/>
  <c r="G331" i="32"/>
  <c r="G330" i="32" s="1"/>
  <c r="G329" i="32" s="1"/>
  <c r="G328" i="32" s="1"/>
  <c r="G327" i="32" s="1"/>
  <c r="G359" i="32"/>
  <c r="G358" i="32" s="1"/>
  <c r="G357" i="32" s="1"/>
  <c r="G356" i="32" s="1"/>
  <c r="G367" i="32"/>
  <c r="G366" i="32" s="1"/>
  <c r="G365" i="32" s="1"/>
  <c r="G379" i="32"/>
  <c r="G393" i="32"/>
  <c r="G392" i="32" s="1"/>
  <c r="G391" i="32" s="1"/>
  <c r="G390" i="32" s="1"/>
  <c r="G389" i="32" s="1"/>
  <c r="G403" i="32"/>
  <c r="G401" i="32"/>
  <c r="G400" i="32" s="1"/>
  <c r="G399" i="32" s="1"/>
  <c r="G398" i="32" s="1"/>
  <c r="G411" i="32"/>
  <c r="G409" i="32"/>
  <c r="G408" i="32" s="1"/>
  <c r="G407" i="32" s="1"/>
  <c r="G406" i="32" s="1"/>
  <c r="G405" i="32" s="1"/>
  <c r="G609" i="32"/>
  <c r="G607" i="32"/>
  <c r="G606" i="32" s="1"/>
  <c r="G605" i="32" s="1"/>
  <c r="G604" i="32" s="1"/>
  <c r="G603" i="32" s="1"/>
  <c r="G927" i="32"/>
  <c r="G925" i="32"/>
  <c r="G924" i="32" s="1"/>
  <c r="G968" i="32"/>
  <c r="G838" i="32"/>
  <c r="G836" i="32"/>
  <c r="G842" i="32"/>
  <c r="G840" i="32"/>
  <c r="G839" i="32" s="1"/>
  <c r="G846" i="32"/>
  <c r="G844" i="32"/>
  <c r="G843" i="32" s="1"/>
  <c r="G850" i="32"/>
  <c r="G848" i="32"/>
  <c r="G847" i="32" s="1"/>
  <c r="G854" i="32"/>
  <c r="G852" i="32"/>
  <c r="G851" i="32" s="1"/>
  <c r="G873" i="32"/>
  <c r="G871" i="32"/>
  <c r="G870" i="32" s="1"/>
  <c r="G869" i="32" s="1"/>
  <c r="G883" i="32"/>
  <c r="G881" i="32"/>
  <c r="G880" i="32" s="1"/>
  <c r="G887" i="32"/>
  <c r="G885" i="32"/>
  <c r="G884" i="32" s="1"/>
  <c r="G903" i="32"/>
  <c r="G901" i="32"/>
  <c r="G900" i="32" s="1"/>
  <c r="G899" i="32" s="1"/>
  <c r="G898" i="32" s="1"/>
  <c r="F950" i="30"/>
  <c r="F949" i="30" s="1"/>
  <c r="E10" i="31"/>
  <c r="D10" i="31"/>
  <c r="G156" i="30"/>
  <c r="G155" i="30" s="1"/>
  <c r="G822" i="30"/>
  <c r="G821" i="30" s="1"/>
  <c r="G131" i="30"/>
  <c r="G130" i="30" s="1"/>
  <c r="G129" i="30" s="1"/>
  <c r="G128" i="30" s="1"/>
  <c r="G355" i="30"/>
  <c r="G352" i="30" s="1"/>
  <c r="G508" i="30"/>
  <c r="G505" i="30" s="1"/>
  <c r="G711" i="30"/>
  <c r="G707" i="30" s="1"/>
  <c r="F822" i="30"/>
  <c r="F821" i="30" s="1"/>
  <c r="G924" i="30"/>
  <c r="G989" i="30"/>
  <c r="F1069" i="30"/>
  <c r="F1068" i="30" s="1"/>
  <c r="F1067" i="30" s="1"/>
  <c r="F1066" i="30" s="1"/>
  <c r="F1065" i="30" s="1"/>
  <c r="D51" i="31" s="1"/>
  <c r="D50" i="31" s="1"/>
  <c r="G1060" i="30"/>
  <c r="G1059" i="30" s="1"/>
  <c r="G1058" i="30" s="1"/>
  <c r="F1060" i="30"/>
  <c r="F1059" i="30" s="1"/>
  <c r="F1058" i="30" s="1"/>
  <c r="F924" i="30"/>
  <c r="G972" i="30"/>
  <c r="G971" i="30" s="1"/>
  <c r="G970" i="30" s="1"/>
  <c r="F972" i="30"/>
  <c r="F971" i="30" s="1"/>
  <c r="F970" i="30" s="1"/>
  <c r="G733" i="30"/>
  <c r="G732" i="30" s="1"/>
  <c r="G768" i="30"/>
  <c r="G767" i="30" s="1"/>
  <c r="F890" i="30"/>
  <c r="F889" i="30" s="1"/>
  <c r="F888" i="30" s="1"/>
  <c r="F861" i="30"/>
  <c r="F850" i="30"/>
  <c r="G837" i="30"/>
  <c r="G614" i="30"/>
  <c r="F733" i="30"/>
  <c r="F732" i="30" s="1"/>
  <c r="G788" i="30"/>
  <c r="G784" i="30" s="1"/>
  <c r="G680" i="30"/>
  <c r="F614" i="30"/>
  <c r="G546" i="30"/>
  <c r="G452" i="30"/>
  <c r="G380" i="30"/>
  <c r="F380" i="30"/>
  <c r="G309" i="30"/>
  <c r="G308" i="30" s="1"/>
  <c r="F335" i="30"/>
  <c r="F271" i="30"/>
  <c r="F270" i="30" s="1"/>
  <c r="D24" i="31" s="1"/>
  <c r="F479" i="30"/>
  <c r="F601" i="30"/>
  <c r="F697" i="30"/>
  <c r="F696" i="30" s="1"/>
  <c r="F720" i="30"/>
  <c r="F788" i="30"/>
  <c r="F784" i="30" s="1"/>
  <c r="F837" i="30"/>
  <c r="G536" i="30"/>
  <c r="G601" i="30"/>
  <c r="G720" i="30"/>
  <c r="F34" i="30"/>
  <c r="F364" i="30"/>
  <c r="F536" i="30"/>
  <c r="F546" i="30"/>
  <c r="F680" i="30"/>
  <c r="G743" i="30"/>
  <c r="G67" i="30"/>
  <c r="G303" i="30"/>
  <c r="G302" i="30" s="1"/>
  <c r="G301" i="30" s="1"/>
  <c r="G293" i="30"/>
  <c r="G292" i="30" s="1"/>
  <c r="G287" i="30" s="1"/>
  <c r="G286" i="30" s="1"/>
  <c r="E26" i="31" s="1"/>
  <c r="G206" i="30"/>
  <c r="F245" i="30"/>
  <c r="G190" i="30"/>
  <c r="G189" i="30" s="1"/>
  <c r="F190" i="30"/>
  <c r="F189" i="30" s="1"/>
  <c r="F80" i="30"/>
  <c r="F91" i="30"/>
  <c r="F90" i="30" s="1"/>
  <c r="F85" i="30" s="1"/>
  <c r="F29" i="30"/>
  <c r="F148" i="30"/>
  <c r="F144" i="30" s="1"/>
  <c r="F106" i="30"/>
  <c r="F105" i="30" s="1"/>
  <c r="F117" i="30"/>
  <c r="F116" i="30" s="1"/>
  <c r="G91" i="30"/>
  <c r="G90" i="30" s="1"/>
  <c r="G85" i="30" s="1"/>
  <c r="G80" i="30"/>
  <c r="G72" i="30"/>
  <c r="F72" i="30"/>
  <c r="G216" i="30"/>
  <c r="G215" i="30"/>
  <c r="G245" i="30"/>
  <c r="G730" i="30"/>
  <c r="G729" i="30" s="1"/>
  <c r="G727" i="30" s="1"/>
  <c r="G728" i="30"/>
  <c r="G861" i="30"/>
  <c r="G951" i="30"/>
  <c r="G950" i="30"/>
  <c r="G949" i="30" s="1"/>
  <c r="F22" i="30"/>
  <c r="F21" i="30" s="1"/>
  <c r="F67" i="30"/>
  <c r="F131" i="30"/>
  <c r="F130" i="30" s="1"/>
  <c r="F129" i="30" s="1"/>
  <c r="F128" i="30" s="1"/>
  <c r="F156" i="30"/>
  <c r="F165" i="30"/>
  <c r="F206" i="30"/>
  <c r="F216" i="30"/>
  <c r="F215" i="30"/>
  <c r="F303" i="30"/>
  <c r="F309" i="30"/>
  <c r="F308" i="30" s="1"/>
  <c r="F452" i="30"/>
  <c r="F62" i="30"/>
  <c r="F61" i="30" s="1"/>
  <c r="F711" i="30"/>
  <c r="F707" i="30" s="1"/>
  <c r="F768" i="30"/>
  <c r="F906" i="30"/>
  <c r="F902" i="30" s="1"/>
  <c r="F901" i="30" s="1"/>
  <c r="F944" i="30"/>
  <c r="F943" i="30" s="1"/>
  <c r="F989" i="30"/>
  <c r="L982" i="30"/>
  <c r="F728" i="30"/>
  <c r="G679" i="5"/>
  <c r="G678" i="5" s="1"/>
  <c r="G677" i="5" s="1"/>
  <c r="G651" i="5"/>
  <c r="G650" i="5" s="1"/>
  <c r="G649" i="5" s="1"/>
  <c r="G648" i="5" s="1"/>
  <c r="G638" i="5"/>
  <c r="G637" i="5" s="1"/>
  <c r="G636" i="5" s="1"/>
  <c r="G470" i="5"/>
  <c r="G469" i="5" s="1"/>
  <c r="G468" i="5" s="1"/>
  <c r="G467" i="5" s="1"/>
  <c r="G466" i="5" s="1"/>
  <c r="C67" i="1"/>
  <c r="C69" i="1"/>
  <c r="C71" i="1"/>
  <c r="C73" i="1"/>
  <c r="G889" i="32" l="1"/>
  <c r="G888" i="32" s="1"/>
  <c r="H557" i="32"/>
  <c r="G593" i="32"/>
  <c r="J583" i="32" s="1"/>
  <c r="G565" i="32"/>
  <c r="G117" i="32"/>
  <c r="G116" i="32" s="1"/>
  <c r="G115" i="32" s="1"/>
  <c r="G114" i="32" s="1"/>
  <c r="G53" i="32"/>
  <c r="G653" i="32"/>
  <c r="H20" i="32"/>
  <c r="H19" i="32" s="1"/>
  <c r="H18" i="32" s="1"/>
  <c r="H17" i="32" s="1"/>
  <c r="G768" i="32"/>
  <c r="G767" i="32" s="1"/>
  <c r="G766" i="32" s="1"/>
  <c r="G765" i="32" s="1"/>
  <c r="G764" i="32" s="1"/>
  <c r="C66" i="1"/>
  <c r="H127" i="32"/>
  <c r="H126" i="32" s="1"/>
  <c r="H125" i="32" s="1"/>
  <c r="H124" i="32" s="1"/>
  <c r="G248" i="32"/>
  <c r="F767" i="30"/>
  <c r="F766" i="30" s="1"/>
  <c r="G316" i="32"/>
  <c r="G315" i="32" s="1"/>
  <c r="H630" i="32"/>
  <c r="H629" i="32" s="1"/>
  <c r="H628" i="32" s="1"/>
  <c r="G484" i="32"/>
  <c r="G483" i="32" s="1"/>
  <c r="G482" i="32" s="1"/>
  <c r="G879" i="32"/>
  <c r="G868" i="32" s="1"/>
  <c r="G867" i="32" s="1"/>
  <c r="H248" i="32"/>
  <c r="G669" i="32"/>
  <c r="H582" i="32"/>
  <c r="H581" i="32" s="1"/>
  <c r="H592" i="32"/>
  <c r="H591" i="32" s="1"/>
  <c r="H640" i="32"/>
  <c r="H639" i="32" s="1"/>
  <c r="H544" i="32"/>
  <c r="H530" i="32" s="1"/>
  <c r="H919" i="32"/>
  <c r="H918" i="32" s="1"/>
  <c r="H917" i="32" s="1"/>
  <c r="G414" i="32"/>
  <c r="G413" i="32" s="1"/>
  <c r="G412" i="32" s="1"/>
  <c r="G208" i="32"/>
  <c r="G207" i="32" s="1"/>
  <c r="F363" i="30"/>
  <c r="H117" i="32"/>
  <c r="H116" i="32" s="1"/>
  <c r="H115" i="32" s="1"/>
  <c r="H114" i="32" s="1"/>
  <c r="G222" i="32"/>
  <c r="G221" i="32" s="1"/>
  <c r="G537" i="32"/>
  <c r="G533" i="32" s="1"/>
  <c r="G532" i="32" s="1"/>
  <c r="G531" i="32" s="1"/>
  <c r="H208" i="32"/>
  <c r="H207" i="32" s="1"/>
  <c r="H206" i="32" s="1"/>
  <c r="H414" i="32"/>
  <c r="H413" i="32" s="1"/>
  <c r="H412" i="32" s="1"/>
  <c r="G504" i="30"/>
  <c r="G942" i="30"/>
  <c r="G936" i="30" s="1"/>
  <c r="G935" i="30" s="1"/>
  <c r="E44" i="31" s="1"/>
  <c r="H316" i="32"/>
  <c r="H315" i="32" s="1"/>
  <c r="G363" i="30"/>
  <c r="G858" i="32"/>
  <c r="G857" i="32" s="1"/>
  <c r="G856" i="32" s="1"/>
  <c r="G832" i="32"/>
  <c r="G831" i="32" s="1"/>
  <c r="G830" i="32" s="1"/>
  <c r="G829" i="32" s="1"/>
  <c r="G828" i="32" s="1"/>
  <c r="G68" i="32"/>
  <c r="G12" i="32"/>
  <c r="G11" i="32" s="1"/>
  <c r="G10" i="32"/>
  <c r="H12" i="32"/>
  <c r="H11" i="32" s="1"/>
  <c r="H10" i="32"/>
  <c r="H778" i="32"/>
  <c r="G378" i="32"/>
  <c r="G377" i="32" s="1"/>
  <c r="G371" i="32" s="1"/>
  <c r="G370" i="32" s="1"/>
  <c r="H858" i="32"/>
  <c r="H857" i="32" s="1"/>
  <c r="H856" i="32" s="1"/>
  <c r="H452" i="32"/>
  <c r="H451" i="32" s="1"/>
  <c r="H450" i="32" s="1"/>
  <c r="H449" i="32" s="1"/>
  <c r="H831" i="32"/>
  <c r="H830" i="32" s="1"/>
  <c r="H829" i="32" s="1"/>
  <c r="H828" i="32" s="1"/>
  <c r="G261" i="32"/>
  <c r="H261" i="32"/>
  <c r="H740" i="32"/>
  <c r="H739" i="32" s="1"/>
  <c r="H738" i="32" s="1"/>
  <c r="H564" i="32"/>
  <c r="H397" i="32"/>
  <c r="H396" i="32"/>
  <c r="H355" i="32"/>
  <c r="H354" i="32"/>
  <c r="H868" i="32"/>
  <c r="H867" i="32" s="1"/>
  <c r="H363" i="32"/>
  <c r="H364" i="32"/>
  <c r="H197" i="32"/>
  <c r="H974" i="32"/>
  <c r="H371" i="32"/>
  <c r="H370" i="32" s="1"/>
  <c r="H68" i="32"/>
  <c r="H55" i="32"/>
  <c r="H54" i="32" s="1"/>
  <c r="H53" i="32"/>
  <c r="G355" i="32"/>
  <c r="G354" i="32"/>
  <c r="G397" i="32"/>
  <c r="G396" i="32"/>
  <c r="G363" i="32"/>
  <c r="G364" i="32"/>
  <c r="G197" i="32"/>
  <c r="G134" i="32"/>
  <c r="F942" i="30"/>
  <c r="F936" i="30" s="1"/>
  <c r="F935" i="30" s="1"/>
  <c r="D44" i="31" s="1"/>
  <c r="G766" i="30"/>
  <c r="F28" i="30"/>
  <c r="F27" i="30" s="1"/>
  <c r="F26" i="30" s="1"/>
  <c r="D13" i="31" s="1"/>
  <c r="F695" i="30"/>
  <c r="F887" i="30"/>
  <c r="L804" i="30"/>
  <c r="F244" i="30"/>
  <c r="G60" i="30"/>
  <c r="G300" i="30"/>
  <c r="F60" i="30"/>
  <c r="L9" i="30" s="1"/>
  <c r="F104" i="30"/>
  <c r="F103" i="30" s="1"/>
  <c r="D15" i="31" s="1"/>
  <c r="F302" i="30"/>
  <c r="F164" i="30"/>
  <c r="G773" i="29"/>
  <c r="F348" i="30"/>
  <c r="F347" i="30" s="1"/>
  <c r="F346" i="30" s="1"/>
  <c r="F334" i="30" s="1"/>
  <c r="F333" i="30" s="1"/>
  <c r="F332" i="30" s="1"/>
  <c r="D29" i="31" s="1"/>
  <c r="H1206" i="29"/>
  <c r="G36" i="30" s="1"/>
  <c r="G35" i="30" s="1"/>
  <c r="G34" i="30" s="1"/>
  <c r="H1201" i="29"/>
  <c r="G31" i="30" s="1"/>
  <c r="G30" i="30" s="1"/>
  <c r="G29" i="30" s="1"/>
  <c r="G499" i="30"/>
  <c r="G498" i="30" s="1"/>
  <c r="H1152" i="29"/>
  <c r="G488" i="30" s="1"/>
  <c r="G487" i="30" s="1"/>
  <c r="G486" i="30" s="1"/>
  <c r="H1145" i="29"/>
  <c r="G481" i="30" s="1"/>
  <c r="G480" i="30" s="1"/>
  <c r="G479" i="30" s="1"/>
  <c r="H944" i="29"/>
  <c r="G150" i="30" s="1"/>
  <c r="G149" i="30" s="1"/>
  <c r="G148" i="30" s="1"/>
  <c r="G144" i="30" s="1"/>
  <c r="G1050" i="30"/>
  <c r="G1049" i="30" s="1"/>
  <c r="H904" i="29"/>
  <c r="G1035" i="30" s="1"/>
  <c r="G1034" i="30" s="1"/>
  <c r="G1033" i="30" s="1"/>
  <c r="H884" i="29"/>
  <c r="G884" i="29"/>
  <c r="H806" i="29"/>
  <c r="G806" i="29"/>
  <c r="H564" i="29"/>
  <c r="H553" i="29"/>
  <c r="G124" i="30" s="1"/>
  <c r="G123" i="30" s="1"/>
  <c r="G122" i="30" s="1"/>
  <c r="H548" i="29"/>
  <c r="G119" i="30" s="1"/>
  <c r="H527" i="29"/>
  <c r="H480" i="29"/>
  <c r="G908" i="30" s="1"/>
  <c r="G907" i="30" s="1"/>
  <c r="G906" i="30" s="1"/>
  <c r="G902" i="30" s="1"/>
  <c r="G901" i="30" s="1"/>
  <c r="H465" i="29"/>
  <c r="G897" i="30" s="1"/>
  <c r="G896" i="30" s="1"/>
  <c r="G895" i="30" s="1"/>
  <c r="G892" i="30"/>
  <c r="G891" i="30" s="1"/>
  <c r="G890" i="30" s="1"/>
  <c r="G592" i="32" l="1"/>
  <c r="G591" i="32" s="1"/>
  <c r="G564" i="32"/>
  <c r="G557" i="32"/>
  <c r="G113" i="32"/>
  <c r="G640" i="32"/>
  <c r="G639" i="32" s="1"/>
  <c r="H9" i="32"/>
  <c r="H113" i="32"/>
  <c r="G247" i="32"/>
  <c r="G246" i="32" s="1"/>
  <c r="H855" i="32"/>
  <c r="G206" i="32"/>
  <c r="G1032" i="30"/>
  <c r="G1031" i="30" s="1"/>
  <c r="G535" i="30"/>
  <c r="G534" i="30" s="1"/>
  <c r="G533" i="30" s="1"/>
  <c r="G529" i="30" s="1"/>
  <c r="H178" i="32"/>
  <c r="H244" i="32"/>
  <c r="G764" i="30"/>
  <c r="G763" i="30" s="1"/>
  <c r="G762" i="30" s="1"/>
  <c r="G761" i="30" s="1"/>
  <c r="G760" i="30" s="1"/>
  <c r="F636" i="30"/>
  <c r="F635" i="30" s="1"/>
  <c r="F634" i="30" s="1"/>
  <c r="F633" i="30" s="1"/>
  <c r="G299" i="32"/>
  <c r="G298" i="32" s="1"/>
  <c r="G297" i="32" s="1"/>
  <c r="G296" i="32" s="1"/>
  <c r="G295" i="32" s="1"/>
  <c r="G294" i="32" s="1"/>
  <c r="G300" i="32" s="1"/>
  <c r="H684" i="29"/>
  <c r="H158" i="32" s="1"/>
  <c r="G158" i="32"/>
  <c r="F587" i="30"/>
  <c r="F586" i="30" s="1"/>
  <c r="F585" i="30" s="1"/>
  <c r="F584" i="30" s="1"/>
  <c r="F624" i="30"/>
  <c r="F623" i="30" s="1"/>
  <c r="F622" i="30" s="1"/>
  <c r="F621" i="30" s="1"/>
  <c r="G285" i="32"/>
  <c r="G352" i="32"/>
  <c r="F660" i="30"/>
  <c r="F659" i="30" s="1"/>
  <c r="F658" i="30" s="1"/>
  <c r="F657" i="30" s="1"/>
  <c r="H622" i="29"/>
  <c r="H153" i="32" s="1"/>
  <c r="F528" i="30"/>
  <c r="F527" i="30" s="1"/>
  <c r="F526" i="30" s="1"/>
  <c r="F525" i="30" s="1"/>
  <c r="G153" i="32"/>
  <c r="H299" i="32"/>
  <c r="H298" i="32" s="1"/>
  <c r="H297" i="32" s="1"/>
  <c r="H296" i="32" s="1"/>
  <c r="H295" i="32" s="1"/>
  <c r="H294" i="32" s="1"/>
  <c r="H300" i="32" s="1"/>
  <c r="G636" i="30"/>
  <c r="G635" i="30" s="1"/>
  <c r="G634" i="30" s="1"/>
  <c r="G633" i="30" s="1"/>
  <c r="H773" i="29"/>
  <c r="H163" i="32" s="1"/>
  <c r="F676" i="30"/>
  <c r="F675" i="30" s="1"/>
  <c r="F674" i="30" s="1"/>
  <c r="F673" i="30" s="1"/>
  <c r="F672" i="30" s="1"/>
  <c r="F671" i="30" s="1"/>
  <c r="D36" i="31" s="1"/>
  <c r="G163" i="32"/>
  <c r="H195" i="32"/>
  <c r="G600" i="30"/>
  <c r="G599" i="30" s="1"/>
  <c r="G598" i="30" s="1"/>
  <c r="H381" i="29"/>
  <c r="G813" i="30" s="1"/>
  <c r="G812" i="30" s="1"/>
  <c r="G506" i="32"/>
  <c r="F813" i="30"/>
  <c r="F812" i="30" s="1"/>
  <c r="G178" i="32"/>
  <c r="F535" i="30"/>
  <c r="F534" i="30" s="1"/>
  <c r="F533" i="30" s="1"/>
  <c r="F529" i="30" s="1"/>
  <c r="H285" i="32"/>
  <c r="G624" i="30"/>
  <c r="G623" i="30" s="1"/>
  <c r="G622" i="30" s="1"/>
  <c r="G621" i="30" s="1"/>
  <c r="G244" i="32"/>
  <c r="F764" i="30"/>
  <c r="F763" i="30" s="1"/>
  <c r="F762" i="30" s="1"/>
  <c r="F761" i="30" s="1"/>
  <c r="F760" i="30" s="1"/>
  <c r="H247" i="32"/>
  <c r="H246" i="32" s="1"/>
  <c r="H580" i="32"/>
  <c r="H480" i="32" s="1"/>
  <c r="G1071" i="30"/>
  <c r="G1070" i="30" s="1"/>
  <c r="G1069" i="30" s="1"/>
  <c r="G1068" i="30" s="1"/>
  <c r="G1067" i="30" s="1"/>
  <c r="G1066" i="30" s="1"/>
  <c r="G1065" i="30" s="1"/>
  <c r="E51" i="31" s="1"/>
  <c r="E50" i="31" s="1"/>
  <c r="H522" i="32"/>
  <c r="G988" i="30"/>
  <c r="G987" i="30" s="1"/>
  <c r="G986" i="30" s="1"/>
  <c r="G985" i="30" s="1"/>
  <c r="H410" i="32"/>
  <c r="G587" i="30"/>
  <c r="G586" i="30" s="1"/>
  <c r="G585" i="30" s="1"/>
  <c r="G584" i="30" s="1"/>
  <c r="H362" i="32"/>
  <c r="J482" i="32"/>
  <c r="G362" i="32"/>
  <c r="E27" i="31"/>
  <c r="D41" i="31"/>
  <c r="G889" i="30"/>
  <c r="G888" i="30" s="1"/>
  <c r="G28" i="30"/>
  <c r="G27" i="30" s="1"/>
  <c r="G26" i="30" s="1"/>
  <c r="E13" i="31" s="1"/>
  <c r="G118" i="30"/>
  <c r="G117" i="30"/>
  <c r="G116" i="30" s="1"/>
  <c r="F301" i="30"/>
  <c r="F300" i="30" s="1"/>
  <c r="L269" i="30"/>
  <c r="G580" i="32" l="1"/>
  <c r="G676" i="30"/>
  <c r="G675" i="30" s="1"/>
  <c r="G674" i="30" s="1"/>
  <c r="G673" i="30" s="1"/>
  <c r="G672" i="30" s="1"/>
  <c r="G528" i="30"/>
  <c r="G527" i="30" s="1"/>
  <c r="G526" i="30" s="1"/>
  <c r="G525" i="30" s="1"/>
  <c r="H245" i="32"/>
  <c r="H243" i="32"/>
  <c r="H242" i="32" s="1"/>
  <c r="H241" i="32" s="1"/>
  <c r="H240" i="32" s="1"/>
  <c r="H239" i="32" s="1"/>
  <c r="H506" i="32"/>
  <c r="H505" i="32" s="1"/>
  <c r="G154" i="32"/>
  <c r="G152" i="32"/>
  <c r="G151" i="32" s="1"/>
  <c r="G150" i="32" s="1"/>
  <c r="G149" i="32" s="1"/>
  <c r="G353" i="32"/>
  <c r="G351" i="32"/>
  <c r="G350" i="32" s="1"/>
  <c r="G349" i="32" s="1"/>
  <c r="G348" i="32" s="1"/>
  <c r="G159" i="32"/>
  <c r="G157" i="32"/>
  <c r="G156" i="32" s="1"/>
  <c r="G155" i="32" s="1"/>
  <c r="H179" i="32"/>
  <c r="H177" i="32"/>
  <c r="H176" i="32" s="1"/>
  <c r="H171" i="32" s="1"/>
  <c r="G162" i="32"/>
  <c r="G161" i="32" s="1"/>
  <c r="G160" i="32" s="1"/>
  <c r="G164" i="32"/>
  <c r="G245" i="32"/>
  <c r="G243" i="32"/>
  <c r="G242" i="32" s="1"/>
  <c r="G241" i="32" s="1"/>
  <c r="G240" i="32" s="1"/>
  <c r="G239" i="32" s="1"/>
  <c r="G179" i="32"/>
  <c r="G177" i="32"/>
  <c r="G176" i="32" s="1"/>
  <c r="G171" i="32" s="1"/>
  <c r="H284" i="32"/>
  <c r="H283" i="32" s="1"/>
  <c r="H282" i="32" s="1"/>
  <c r="H286" i="32"/>
  <c r="G505" i="32"/>
  <c r="G507" i="32"/>
  <c r="H196" i="32"/>
  <c r="H194" i="32"/>
  <c r="H193" i="32" s="1"/>
  <c r="G286" i="32"/>
  <c r="G284" i="32"/>
  <c r="G283" i="32" s="1"/>
  <c r="G282" i="32" s="1"/>
  <c r="H521" i="32"/>
  <c r="H520" i="32" s="1"/>
  <c r="H519" i="32" s="1"/>
  <c r="H518" i="32" s="1"/>
  <c r="H523" i="32"/>
  <c r="H411" i="32"/>
  <c r="H409" i="32"/>
  <c r="H408" i="32" s="1"/>
  <c r="H407" i="32" s="1"/>
  <c r="H406" i="32" s="1"/>
  <c r="H405" i="32" s="1"/>
  <c r="H164" i="32"/>
  <c r="H162" i="32"/>
  <c r="H161" i="32" s="1"/>
  <c r="H160" i="32" s="1"/>
  <c r="H159" i="32"/>
  <c r="H157" i="32"/>
  <c r="H156" i="32" s="1"/>
  <c r="H155" i="32" s="1"/>
  <c r="H154" i="32"/>
  <c r="H152" i="32"/>
  <c r="H151" i="32" s="1"/>
  <c r="H150" i="32" s="1"/>
  <c r="H149" i="32" s="1"/>
  <c r="D27" i="31"/>
  <c r="G887" i="30"/>
  <c r="H507" i="32" l="1"/>
  <c r="G148" i="32"/>
  <c r="H148" i="32"/>
  <c r="E41" i="31"/>
  <c r="H309" i="29"/>
  <c r="H486" i="32" s="1"/>
  <c r="H184" i="29"/>
  <c r="G255" i="30" s="1"/>
  <c r="H130" i="29"/>
  <c r="H109" i="29"/>
  <c r="H108" i="29" s="1"/>
  <c r="H107" i="29" s="1"/>
  <c r="H17" i="29"/>
  <c r="H1227" i="29"/>
  <c r="H1210" i="29"/>
  <c r="H1209" i="29" s="1"/>
  <c r="H1207" i="29"/>
  <c r="H1205" i="29"/>
  <c r="H1202" i="29"/>
  <c r="H1200" i="29"/>
  <c r="G981" i="30"/>
  <c r="G980" i="30" s="1"/>
  <c r="G979" i="30" s="1"/>
  <c r="G978" i="30" s="1"/>
  <c r="G977" i="30" s="1"/>
  <c r="G969" i="30" s="1"/>
  <c r="H1184" i="29"/>
  <c r="H1183" i="29" s="1"/>
  <c r="H1182" i="29" s="1"/>
  <c r="H1181" i="29" s="1"/>
  <c r="H1179" i="29"/>
  <c r="H1177" i="29"/>
  <c r="H1175" i="29"/>
  <c r="H1172" i="29" s="1"/>
  <c r="H1171" i="29"/>
  <c r="H1170" i="29" s="1"/>
  <c r="H1167" i="29"/>
  <c r="H1165" i="29"/>
  <c r="G501" i="30" s="1"/>
  <c r="H1162" i="29"/>
  <c r="H1159" i="29"/>
  <c r="H1158" i="29" s="1"/>
  <c r="H1155" i="29"/>
  <c r="H1151" i="29"/>
  <c r="H1150" i="29" s="1"/>
  <c r="H1148" i="29"/>
  <c r="H1146" i="29"/>
  <c r="H1144" i="29"/>
  <c r="H1138" i="29"/>
  <c r="H1137" i="29" s="1"/>
  <c r="H1136" i="29" s="1"/>
  <c r="H1135" i="29"/>
  <c r="H1125" i="29"/>
  <c r="H1124" i="29" s="1"/>
  <c r="H1123" i="29" s="1"/>
  <c r="H1121" i="29"/>
  <c r="H1120" i="29" s="1"/>
  <c r="H1118" i="29"/>
  <c r="H1117" i="29" s="1"/>
  <c r="H1115" i="29"/>
  <c r="H1111" i="29"/>
  <c r="H1110" i="29" s="1"/>
  <c r="H1109" i="29"/>
  <c r="H1108" i="29" s="1"/>
  <c r="H1107" i="29"/>
  <c r="H1103" i="29"/>
  <c r="H1102" i="29" s="1"/>
  <c r="H1100" i="29"/>
  <c r="H1099" i="29" s="1"/>
  <c r="H1098" i="29"/>
  <c r="H1096" i="29" s="1"/>
  <c r="H1091" i="29"/>
  <c r="H1090" i="29" s="1"/>
  <c r="H1087" i="29"/>
  <c r="H1086" i="29" s="1"/>
  <c r="H1085" i="29" s="1"/>
  <c r="H1082" i="29"/>
  <c r="H1081" i="29" s="1"/>
  <c r="H1080" i="29" s="1"/>
  <c r="H1079" i="29" s="1"/>
  <c r="H1077" i="29"/>
  <c r="H1071" i="29"/>
  <c r="H1070" i="29" s="1"/>
  <c r="H1069" i="29" s="1"/>
  <c r="H1067" i="29"/>
  <c r="H1066" i="29" s="1"/>
  <c r="H1065" i="29" s="1"/>
  <c r="H1063" i="29"/>
  <c r="H1062" i="29" s="1"/>
  <c r="H1061" i="29" s="1"/>
  <c r="H1059" i="29"/>
  <c r="H1058" i="29" s="1"/>
  <c r="H1057" i="29" s="1"/>
  <c r="H1055" i="29"/>
  <c r="H1054" i="29" s="1"/>
  <c r="H1053" i="29" s="1"/>
  <c r="H1051" i="29"/>
  <c r="H1050" i="29" s="1"/>
  <c r="H1049" i="29" s="1"/>
  <c r="H1047" i="29"/>
  <c r="H1046" i="29" s="1"/>
  <c r="H1045" i="29" s="1"/>
  <c r="H1042" i="29"/>
  <c r="H1041" i="29" s="1"/>
  <c r="H1039" i="29"/>
  <c r="H1037" i="29"/>
  <c r="H1034" i="29"/>
  <c r="H1033" i="29" s="1"/>
  <c r="H1031" i="29"/>
  <c r="H1029" i="29"/>
  <c r="H1025" i="29"/>
  <c r="G360" i="30"/>
  <c r="G359" i="30" s="1"/>
  <c r="G358" i="30" s="1"/>
  <c r="G351" i="30" s="1"/>
  <c r="G350" i="30" s="1"/>
  <c r="H1019" i="29"/>
  <c r="H1017" i="29"/>
  <c r="H1011" i="29"/>
  <c r="H1010" i="29" s="1"/>
  <c r="H1008" i="29"/>
  <c r="H1007" i="29" s="1"/>
  <c r="H1005" i="29"/>
  <c r="H1004" i="29" s="1"/>
  <c r="H1002" i="29"/>
  <c r="H1000" i="29"/>
  <c r="H993" i="29"/>
  <c r="H991" i="29"/>
  <c r="H989" i="29"/>
  <c r="H985" i="29"/>
  <c r="H984" i="29" s="1"/>
  <c r="H983" i="29" s="1"/>
  <c r="H979" i="29"/>
  <c r="H978" i="29" s="1"/>
  <c r="H977" i="29" s="1"/>
  <c r="H976" i="29" s="1"/>
  <c r="H975" i="29" s="1"/>
  <c r="H963" i="29"/>
  <c r="H962" i="29" s="1"/>
  <c r="H961" i="29" s="1"/>
  <c r="H947" i="29"/>
  <c r="H945" i="29"/>
  <c r="H943" i="29"/>
  <c r="H940" i="29"/>
  <c r="H939" i="29" s="1"/>
  <c r="H932" i="29"/>
  <c r="H930" i="29"/>
  <c r="H925" i="29"/>
  <c r="H924" i="29" s="1"/>
  <c r="G1054" i="30"/>
  <c r="G1053" i="30" s="1"/>
  <c r="H922" i="29"/>
  <c r="H918" i="29"/>
  <c r="H913" i="29"/>
  <c r="H912" i="29" s="1"/>
  <c r="H903" i="29"/>
  <c r="H902" i="29" s="1"/>
  <c r="H897" i="29"/>
  <c r="H896" i="29" s="1"/>
  <c r="H895" i="29" s="1"/>
  <c r="H894" i="29" s="1"/>
  <c r="H892" i="29"/>
  <c r="H891" i="29" s="1"/>
  <c r="H890" i="29" s="1"/>
  <c r="H888" i="29"/>
  <c r="H887" i="29" s="1"/>
  <c r="H886" i="29" s="1"/>
  <c r="H883" i="29"/>
  <c r="H882" i="29" s="1"/>
  <c r="H880" i="29"/>
  <c r="H879" i="29" s="1"/>
  <c r="H878" i="29" s="1"/>
  <c r="H877" i="29"/>
  <c r="H873" i="29"/>
  <c r="H872" i="29" s="1"/>
  <c r="H869" i="29"/>
  <c r="H868" i="29"/>
  <c r="H866" i="29"/>
  <c r="H865" i="29" s="1"/>
  <c r="H863" i="29"/>
  <c r="H862" i="29" s="1"/>
  <c r="H860" i="29"/>
  <c r="H859" i="29" s="1"/>
  <c r="H856" i="29"/>
  <c r="H855" i="29" s="1"/>
  <c r="H854" i="29" s="1"/>
  <c r="H849" i="29"/>
  <c r="H848" i="29" s="1"/>
  <c r="H847" i="29" s="1"/>
  <c r="H846" i="29" s="1"/>
  <c r="H845" i="29" s="1"/>
  <c r="H844" i="29" s="1"/>
  <c r="H841" i="29"/>
  <c r="H840" i="29" s="1"/>
  <c r="H838" i="29"/>
  <c r="H834" i="29"/>
  <c r="H830" i="29"/>
  <c r="H828" i="29"/>
  <c r="H823" i="29"/>
  <c r="H822" i="29" s="1"/>
  <c r="H813" i="29"/>
  <c r="H811" i="29"/>
  <c r="H805" i="29"/>
  <c r="H804" i="29" s="1"/>
  <c r="H803" i="29" s="1"/>
  <c r="H802" i="29" s="1"/>
  <c r="H801" i="29" s="1"/>
  <c r="H799" i="29"/>
  <c r="H798" i="29" s="1"/>
  <c r="H794" i="29"/>
  <c r="H793" i="29" s="1"/>
  <c r="H792" i="29" s="1"/>
  <c r="H790" i="29"/>
  <c r="H789" i="29" s="1"/>
  <c r="H788" i="29" s="1"/>
  <c r="H786" i="29"/>
  <c r="H785" i="29" s="1"/>
  <c r="H784" i="29" s="1"/>
  <c r="H782" i="29"/>
  <c r="H781" i="29" s="1"/>
  <c r="H779" i="29"/>
  <c r="H778" i="29" s="1"/>
  <c r="H775" i="29"/>
  <c r="H774" i="29" s="1"/>
  <c r="H772" i="29"/>
  <c r="H771" i="29" s="1"/>
  <c r="H766" i="29"/>
  <c r="H765" i="29" s="1"/>
  <c r="H764" i="29" s="1"/>
  <c r="H763" i="29" s="1"/>
  <c r="H761" i="29"/>
  <c r="H760" i="29" s="1"/>
  <c r="H759" i="29" s="1"/>
  <c r="H758" i="29" s="1"/>
  <c r="H756" i="29"/>
  <c r="H755" i="29" s="1"/>
  <c r="H754" i="29" s="1"/>
  <c r="H752" i="29"/>
  <c r="H751" i="29" s="1"/>
  <c r="H750" i="29" s="1"/>
  <c r="H748" i="29"/>
  <c r="H747" i="29" s="1"/>
  <c r="H746" i="29" s="1"/>
  <c r="H744" i="29"/>
  <c r="H743" i="29" s="1"/>
  <c r="H742" i="29" s="1"/>
  <c r="H740" i="29"/>
  <c r="H739" i="29" s="1"/>
  <c r="H738" i="29" s="1"/>
  <c r="H736" i="29"/>
  <c r="H735" i="29" s="1"/>
  <c r="H734" i="29" s="1"/>
  <c r="H732" i="29"/>
  <c r="H731" i="29" s="1"/>
  <c r="H730" i="29" s="1"/>
  <c r="H728" i="29"/>
  <c r="H727" i="29" s="1"/>
  <c r="H726" i="29" s="1"/>
  <c r="H724" i="29"/>
  <c r="H723" i="29" s="1"/>
  <c r="H722" i="29" s="1"/>
  <c r="H720" i="29"/>
  <c r="H719" i="29" s="1"/>
  <c r="H718" i="29" s="1"/>
  <c r="H716" i="29"/>
  <c r="H715" i="29" s="1"/>
  <c r="H713" i="29"/>
  <c r="H712" i="29" s="1"/>
  <c r="H709" i="29"/>
  <c r="H708" i="29" s="1"/>
  <c r="H706" i="29"/>
  <c r="H705" i="29" s="1"/>
  <c r="H703" i="29"/>
  <c r="H702" i="29" s="1"/>
  <c r="H700" i="29"/>
  <c r="H699" i="29" s="1"/>
  <c r="H696" i="29"/>
  <c r="H695" i="29" s="1"/>
  <c r="H693" i="29"/>
  <c r="H692" i="29" s="1"/>
  <c r="H687" i="29"/>
  <c r="H686" i="29" s="1"/>
  <c r="H683" i="29"/>
  <c r="H682" i="29" s="1"/>
  <c r="H681" i="29" s="1"/>
  <c r="H677" i="29"/>
  <c r="H676" i="29" s="1"/>
  <c r="H672" i="29"/>
  <c r="H671" i="29" s="1"/>
  <c r="H670" i="29" s="1"/>
  <c r="H669" i="29" s="1"/>
  <c r="H667" i="29"/>
  <c r="H666" i="29" s="1"/>
  <c r="H665" i="29" s="1"/>
  <c r="H663" i="29"/>
  <c r="H662" i="29" s="1"/>
  <c r="H661" i="29" s="1"/>
  <c r="H659" i="29"/>
  <c r="H658" i="29" s="1"/>
  <c r="H648" i="29"/>
  <c r="H647" i="29" s="1"/>
  <c r="H645" i="29"/>
  <c r="H644" i="29" s="1"/>
  <c r="H642" i="29"/>
  <c r="H641" i="29" s="1"/>
  <c r="H638" i="29"/>
  <c r="H637" i="29" s="1"/>
  <c r="H635" i="29"/>
  <c r="H634" i="29" s="1"/>
  <c r="H632" i="29"/>
  <c r="H631" i="29" s="1"/>
  <c r="H628" i="29"/>
  <c r="H627" i="29" s="1"/>
  <c r="H625" i="29"/>
  <c r="H624" i="29" s="1"/>
  <c r="H621" i="29"/>
  <c r="H620" i="29" s="1"/>
  <c r="H619" i="29" s="1"/>
  <c r="H614" i="29"/>
  <c r="H613" i="29" s="1"/>
  <c r="H612" i="29" s="1"/>
  <c r="H611" i="29" s="1"/>
  <c r="H610" i="29" s="1"/>
  <c r="H609" i="29" s="1"/>
  <c r="H607" i="29"/>
  <c r="H606" i="29" s="1"/>
  <c r="H605" i="29" s="1"/>
  <c r="H604" i="29" s="1"/>
  <c r="H603" i="29" s="1"/>
  <c r="H602" i="29" s="1"/>
  <c r="H600" i="29"/>
  <c r="H599" i="29" s="1"/>
  <c r="H597" i="29"/>
  <c r="H596" i="29" s="1"/>
  <c r="H590" i="29"/>
  <c r="H589" i="29" s="1"/>
  <c r="H588" i="29" s="1"/>
  <c r="H587" i="29" s="1"/>
  <c r="H1267" i="29" s="1"/>
  <c r="H586" i="29"/>
  <c r="H585" i="29" s="1"/>
  <c r="H584" i="29" s="1"/>
  <c r="H582" i="29"/>
  <c r="H580" i="29"/>
  <c r="H574" i="29"/>
  <c r="H573" i="29" s="1"/>
  <c r="H572" i="29" s="1"/>
  <c r="H570" i="29"/>
  <c r="H569" i="29" s="1"/>
  <c r="H567" i="29"/>
  <c r="H565" i="29"/>
  <c r="H563" i="29"/>
  <c r="H554" i="29"/>
  <c r="H552" i="29"/>
  <c r="H551" i="29" s="1"/>
  <c r="H549" i="29"/>
  <c r="H547" i="29"/>
  <c r="H539" i="29"/>
  <c r="H538" i="29" s="1"/>
  <c r="H534" i="29"/>
  <c r="H533" i="29" s="1"/>
  <c r="H532" i="29" s="1"/>
  <c r="H530" i="29"/>
  <c r="H528" i="29"/>
  <c r="H526" i="29"/>
  <c r="H519" i="29"/>
  <c r="H518" i="29" s="1"/>
  <c r="H517" i="29" s="1"/>
  <c r="H515" i="29"/>
  <c r="H513" i="29"/>
  <c r="H512" i="29"/>
  <c r="H511" i="29" s="1"/>
  <c r="H509" i="29"/>
  <c r="H506" i="29" s="1"/>
  <c r="H505" i="29" s="1"/>
  <c r="H507" i="29"/>
  <c r="H502" i="29"/>
  <c r="H501" i="29" s="1"/>
  <c r="H500" i="29" s="1"/>
  <c r="H499" i="29" s="1"/>
  <c r="H494" i="29"/>
  <c r="H493" i="29" s="1"/>
  <c r="H491" i="29" s="1"/>
  <c r="H492" i="29"/>
  <c r="H489" i="29"/>
  <c r="H488" i="29" s="1"/>
  <c r="H487" i="29" s="1"/>
  <c r="H486" i="29" s="1"/>
  <c r="H485" i="29" s="1"/>
  <c r="H483" i="29"/>
  <c r="H481" i="29"/>
  <c r="H479" i="29"/>
  <c r="H476" i="29"/>
  <c r="H475" i="29" s="1"/>
  <c r="H472" i="29"/>
  <c r="H471" i="29" s="1"/>
  <c r="H470" i="29" s="1"/>
  <c r="H467" i="29"/>
  <c r="H466" i="29" s="1"/>
  <c r="H464" i="29"/>
  <c r="H463" i="29" s="1"/>
  <c r="H461" i="29"/>
  <c r="H459" i="29"/>
  <c r="H450" i="29"/>
  <c r="H449" i="29" s="1"/>
  <c r="H442" i="29"/>
  <c r="H441" i="29" s="1"/>
  <c r="H437" i="29"/>
  <c r="H436" i="29" s="1"/>
  <c r="H434" i="29"/>
  <c r="H433" i="29" s="1"/>
  <c r="H431" i="29"/>
  <c r="H430" i="29" s="1"/>
  <c r="H428" i="29"/>
  <c r="H427" i="29" s="1"/>
  <c r="H426" i="29" s="1"/>
  <c r="H425" i="29" s="1"/>
  <c r="H423" i="29"/>
  <c r="H422" i="29" s="1"/>
  <c r="H420" i="29"/>
  <c r="H419" i="29" s="1"/>
  <c r="H416" i="29"/>
  <c r="H415" i="29" s="1"/>
  <c r="H414" i="29" s="1"/>
  <c r="H412" i="29"/>
  <c r="H411" i="29" s="1"/>
  <c r="H407" i="29"/>
  <c r="H406" i="29" s="1"/>
  <c r="H400" i="29"/>
  <c r="H399" i="29" s="1"/>
  <c r="H398" i="29" s="1"/>
  <c r="H393" i="29"/>
  <c r="H391" i="29"/>
  <c r="H387" i="29"/>
  <c r="H386" i="29" s="1"/>
  <c r="H382" i="29"/>
  <c r="H380" i="29"/>
  <c r="H370" i="29"/>
  <c r="H369" i="29" s="1"/>
  <c r="H368" i="29" s="1"/>
  <c r="H367" i="29" s="1"/>
  <c r="H365" i="29"/>
  <c r="H364" i="29" s="1"/>
  <c r="H363" i="29" s="1"/>
  <c r="H362" i="29"/>
  <c r="H359" i="29"/>
  <c r="H355" i="29"/>
  <c r="H354" i="29" s="1"/>
  <c r="H352" i="29"/>
  <c r="H351" i="29" s="1"/>
  <c r="H345" i="29"/>
  <c r="H344" i="29" s="1"/>
  <c r="H343" i="29" s="1"/>
  <c r="H340" i="29"/>
  <c r="H339" i="29" s="1"/>
  <c r="H337" i="29" s="1"/>
  <c r="H338" i="29"/>
  <c r="H335" i="29"/>
  <c r="H332" i="29"/>
  <c r="H331" i="29" s="1"/>
  <c r="H328" i="29"/>
  <c r="H327" i="29" s="1"/>
  <c r="H326" i="29" s="1"/>
  <c r="H324" i="29"/>
  <c r="H322" i="29"/>
  <c r="H319" i="29"/>
  <c r="H318" i="29" s="1"/>
  <c r="H315" i="29"/>
  <c r="H314" i="29" s="1"/>
  <c r="H312" i="29"/>
  <c r="H310" i="29"/>
  <c r="H301" i="29"/>
  <c r="H300" i="29" s="1"/>
  <c r="H299" i="29" s="1"/>
  <c r="H297" i="29"/>
  <c r="H296" i="29" s="1"/>
  <c r="H295" i="29" s="1"/>
  <c r="H293" i="29"/>
  <c r="H292" i="29" s="1"/>
  <c r="H289" i="29"/>
  <c r="H288" i="29" s="1"/>
  <c r="H287" i="29" s="1"/>
  <c r="H281" i="29"/>
  <c r="H280" i="29" s="1"/>
  <c r="H278" i="29" s="1"/>
  <c r="H276" i="29"/>
  <c r="H275" i="29" s="1"/>
  <c r="H273" i="29"/>
  <c r="H272" i="29" s="1"/>
  <c r="H270" i="29"/>
  <c r="H269" i="29" s="1"/>
  <c r="H267" i="29"/>
  <c r="H266" i="29" s="1"/>
  <c r="H264" i="29"/>
  <c r="H263" i="29" s="1"/>
  <c r="H259" i="29"/>
  <c r="H258" i="29"/>
  <c r="H253" i="29"/>
  <c r="H252" i="29" s="1"/>
  <c r="H244" i="29"/>
  <c r="H242" i="29"/>
  <c r="H236" i="29"/>
  <c r="H235" i="29" s="1"/>
  <c r="H234" i="29" s="1"/>
  <c r="H233" i="29" s="1"/>
  <c r="H230" i="29"/>
  <c r="H229" i="29" s="1"/>
  <c r="H228" i="29" s="1"/>
  <c r="H227" i="29" s="1"/>
  <c r="H226" i="29" s="1"/>
  <c r="H223" i="29"/>
  <c r="H222" i="29" s="1"/>
  <c r="H221" i="29" s="1"/>
  <c r="H220" i="29" s="1"/>
  <c r="H1254" i="29" s="1"/>
  <c r="H218" i="29"/>
  <c r="H216" i="29"/>
  <c r="H210" i="29"/>
  <c r="H209" i="29" s="1"/>
  <c r="H208" i="29" s="1"/>
  <c r="H199" i="29"/>
  <c r="H197" i="29"/>
  <c r="H196" i="29" s="1"/>
  <c r="H194" i="29"/>
  <c r="H193" i="29" s="1"/>
  <c r="H192" i="29" s="1"/>
  <c r="H188" i="29"/>
  <c r="H187" i="29" s="1"/>
  <c r="H185" i="29"/>
  <c r="H179" i="29"/>
  <c r="H178" i="29" s="1"/>
  <c r="H176" i="29"/>
  <c r="H175" i="29" s="1"/>
  <c r="H169" i="29"/>
  <c r="H168" i="29" s="1"/>
  <c r="H167" i="29" s="1"/>
  <c r="H166" i="29" s="1"/>
  <c r="H165" i="29" s="1"/>
  <c r="H164" i="29" s="1"/>
  <c r="H162" i="29"/>
  <c r="H161" i="29" s="1"/>
  <c r="H159" i="29" s="1"/>
  <c r="H1270" i="29" s="1"/>
  <c r="H152" i="29"/>
  <c r="H151" i="29" s="1"/>
  <c r="H149" i="29" s="1"/>
  <c r="H1268" i="29" s="1"/>
  <c r="H147" i="29"/>
  <c r="H146" i="29" s="1"/>
  <c r="H145" i="29" s="1"/>
  <c r="H143" i="29"/>
  <c r="H142" i="29" s="1"/>
  <c r="H141" i="29" s="1"/>
  <c r="H138" i="29"/>
  <c r="H137" i="29" s="1"/>
  <c r="H136" i="29" s="1"/>
  <c r="H134" i="29"/>
  <c r="H133" i="29" s="1"/>
  <c r="H131" i="29"/>
  <c r="H125" i="29"/>
  <c r="H124" i="29" s="1"/>
  <c r="H123" i="29" s="1"/>
  <c r="H119" i="29"/>
  <c r="H117" i="29"/>
  <c r="H111" i="29"/>
  <c r="H110" i="29" s="1"/>
  <c r="H102" i="29"/>
  <c r="H101" i="29" s="1"/>
  <c r="H100" i="29" s="1"/>
  <c r="H98" i="29"/>
  <c r="H97" i="29" s="1"/>
  <c r="H95" i="29"/>
  <c r="H93" i="29"/>
  <c r="H89" i="29"/>
  <c r="H88" i="29" s="1"/>
  <c r="H87" i="29" s="1"/>
  <c r="H84" i="29"/>
  <c r="H82" i="29"/>
  <c r="H79" i="29"/>
  <c r="H77" i="29"/>
  <c r="H74" i="29"/>
  <c r="H72" i="29"/>
  <c r="H69" i="29"/>
  <c r="H68" i="29" s="1"/>
  <c r="H65" i="29"/>
  <c r="H64" i="29" s="1"/>
  <c r="H62" i="29"/>
  <c r="H61" i="29" s="1"/>
  <c r="H59" i="29"/>
  <c r="H58" i="29"/>
  <c r="H57" i="29" s="1"/>
  <c r="H55" i="29"/>
  <c r="H47" i="29"/>
  <c r="H46" i="29" s="1"/>
  <c r="H45" i="29" s="1"/>
  <c r="H44" i="29" s="1"/>
  <c r="H42" i="29"/>
  <c r="H41" i="29" s="1"/>
  <c r="H40" i="29"/>
  <c r="H37" i="29"/>
  <c r="H29" i="29"/>
  <c r="H28" i="29" s="1"/>
  <c r="H27" i="29" s="1"/>
  <c r="H26" i="29" s="1"/>
  <c r="H25" i="29" s="1"/>
  <c r="H23" i="29"/>
  <c r="H22" i="29" s="1"/>
  <c r="H20" i="29"/>
  <c r="H18" i="29"/>
  <c r="AK1227" i="29"/>
  <c r="AJ1227" i="29"/>
  <c r="AI1227" i="29"/>
  <c r="AH1227" i="29"/>
  <c r="AG1227" i="29"/>
  <c r="AF1227" i="29"/>
  <c r="G1227" i="29"/>
  <c r="AL1226" i="29"/>
  <c r="AN1226" i="29" s="1"/>
  <c r="AL1225" i="29"/>
  <c r="G1210" i="29"/>
  <c r="G1209" i="29" s="1"/>
  <c r="G1207" i="29"/>
  <c r="G1205" i="29"/>
  <c r="G1202" i="29"/>
  <c r="G1200" i="29"/>
  <c r="G1184" i="29"/>
  <c r="G1183" i="29" s="1"/>
  <c r="G1182" i="29" s="1"/>
  <c r="G1181" i="29" s="1"/>
  <c r="G1179" i="29"/>
  <c r="G1177" i="29"/>
  <c r="G1175" i="29"/>
  <c r="G1172" i="29" s="1"/>
  <c r="G1171" i="29"/>
  <c r="G1170" i="29" s="1"/>
  <c r="G1167" i="29"/>
  <c r="F503" i="30" s="1"/>
  <c r="F502" i="30" s="1"/>
  <c r="G1165" i="29"/>
  <c r="F501" i="30" s="1"/>
  <c r="G1162" i="29"/>
  <c r="G1159" i="29"/>
  <c r="G1158" i="29" s="1"/>
  <c r="G1155" i="29"/>
  <c r="G1151" i="29"/>
  <c r="G1150" i="29" s="1"/>
  <c r="G1148" i="29"/>
  <c r="G1146" i="29"/>
  <c r="G1144" i="29"/>
  <c r="G1138" i="29"/>
  <c r="G1137" i="29" s="1"/>
  <c r="G1136" i="29" s="1"/>
  <c r="G1135" i="29"/>
  <c r="G1129" i="29"/>
  <c r="G1128" i="29" s="1"/>
  <c r="G1127" i="29" s="1"/>
  <c r="G1125" i="29"/>
  <c r="G1124" i="29" s="1"/>
  <c r="G1123" i="29" s="1"/>
  <c r="G1121" i="29"/>
  <c r="G1120" i="29" s="1"/>
  <c r="G1118" i="29"/>
  <c r="G1117" i="29" s="1"/>
  <c r="G1115" i="29"/>
  <c r="G1114" i="29" s="1"/>
  <c r="G1113" i="29" s="1"/>
  <c r="G1111" i="29"/>
  <c r="G1110" i="29" s="1"/>
  <c r="G1109" i="29"/>
  <c r="G1108" i="29" s="1"/>
  <c r="G1107" i="29"/>
  <c r="G1103" i="29"/>
  <c r="G1102" i="29" s="1"/>
  <c r="G1100" i="29"/>
  <c r="G1099" i="29" s="1"/>
  <c r="G1098" i="29"/>
  <c r="G1096" i="29" s="1"/>
  <c r="G1091" i="29"/>
  <c r="G1090" i="29" s="1"/>
  <c r="G1087" i="29"/>
  <c r="G1086" i="29" s="1"/>
  <c r="G1085" i="29" s="1"/>
  <c r="G1082" i="29"/>
  <c r="G1081" i="29" s="1"/>
  <c r="G1080" i="29" s="1"/>
  <c r="G1079" i="29" s="1"/>
  <c r="G1077" i="29"/>
  <c r="G1071" i="29"/>
  <c r="G1070" i="29" s="1"/>
  <c r="G1069" i="29" s="1"/>
  <c r="G1067" i="29"/>
  <c r="G1066" i="29" s="1"/>
  <c r="G1065" i="29" s="1"/>
  <c r="G1063" i="29"/>
  <c r="G1062" i="29" s="1"/>
  <c r="G1061" i="29" s="1"/>
  <c r="G1059" i="29"/>
  <c r="G1058" i="29" s="1"/>
  <c r="G1057" i="29" s="1"/>
  <c r="G1055" i="29"/>
  <c r="G1054" i="29" s="1"/>
  <c r="G1053" i="29" s="1"/>
  <c r="G1051" i="29"/>
  <c r="G1050" i="29" s="1"/>
  <c r="G1049" i="29" s="1"/>
  <c r="G1047" i="29"/>
  <c r="G1046" i="29" s="1"/>
  <c r="G1045" i="29" s="1"/>
  <c r="G1042" i="29"/>
  <c r="G1041" i="29" s="1"/>
  <c r="G1039" i="29"/>
  <c r="G1037" i="29"/>
  <c r="G1034" i="29"/>
  <c r="G1033" i="29" s="1"/>
  <c r="G1031" i="29"/>
  <c r="G1029" i="29"/>
  <c r="G1025" i="29"/>
  <c r="G1019" i="29"/>
  <c r="G1017" i="29"/>
  <c r="G1011" i="29"/>
  <c r="G1010" i="29" s="1"/>
  <c r="G1008" i="29"/>
  <c r="G1007" i="29" s="1"/>
  <c r="G1005" i="29"/>
  <c r="G1004" i="29" s="1"/>
  <c r="G1002" i="29"/>
  <c r="G1000" i="29"/>
  <c r="G993" i="29"/>
  <c r="G991" i="29"/>
  <c r="G990" i="29"/>
  <c r="G985" i="29"/>
  <c r="G984" i="29" s="1"/>
  <c r="G983" i="29" s="1"/>
  <c r="G979" i="29"/>
  <c r="G978" i="29" s="1"/>
  <c r="G977" i="29" s="1"/>
  <c r="G976" i="29" s="1"/>
  <c r="G975" i="29" s="1"/>
  <c r="G963" i="29"/>
  <c r="G962" i="29" s="1"/>
  <c r="G961" i="29" s="1"/>
  <c r="G947" i="29"/>
  <c r="G945" i="29"/>
  <c r="G943" i="29"/>
  <c r="G940" i="29"/>
  <c r="G939" i="29" s="1"/>
  <c r="G932" i="29"/>
  <c r="G930" i="29"/>
  <c r="G925" i="29"/>
  <c r="G924" i="29" s="1"/>
  <c r="F1054" i="30"/>
  <c r="F1053" i="30" s="1"/>
  <c r="F1052" i="30"/>
  <c r="F1051" i="30" s="1"/>
  <c r="G920" i="29"/>
  <c r="G918" i="29"/>
  <c r="G913" i="29"/>
  <c r="G912" i="29" s="1"/>
  <c r="G903" i="29"/>
  <c r="G902" i="29" s="1"/>
  <c r="G897" i="29"/>
  <c r="G896" i="29" s="1"/>
  <c r="G895" i="29" s="1"/>
  <c r="G894" i="29" s="1"/>
  <c r="G892" i="29"/>
  <c r="G891" i="29" s="1"/>
  <c r="G890" i="29" s="1"/>
  <c r="G888" i="29"/>
  <c r="G887" i="29" s="1"/>
  <c r="G886" i="29" s="1"/>
  <c r="G883" i="29"/>
  <c r="G882" i="29" s="1"/>
  <c r="G880" i="29"/>
  <c r="G879" i="29" s="1"/>
  <c r="G878" i="29" s="1"/>
  <c r="G877" i="29"/>
  <c r="G873" i="29"/>
  <c r="G872" i="29" s="1"/>
  <c r="G869" i="29"/>
  <c r="G868" i="29"/>
  <c r="G866" i="29"/>
  <c r="G865" i="29" s="1"/>
  <c r="G863" i="29"/>
  <c r="G862" i="29" s="1"/>
  <c r="G860" i="29"/>
  <c r="G859" i="29" s="1"/>
  <c r="G856" i="29"/>
  <c r="G855" i="29" s="1"/>
  <c r="G854" i="29" s="1"/>
  <c r="G849" i="29"/>
  <c r="G848" i="29" s="1"/>
  <c r="G847" i="29" s="1"/>
  <c r="G846" i="29" s="1"/>
  <c r="G845" i="29" s="1"/>
  <c r="G844" i="29" s="1"/>
  <c r="G841" i="29"/>
  <c r="G840" i="29" s="1"/>
  <c r="G838" i="29"/>
  <c r="G834" i="29"/>
  <c r="G830" i="29"/>
  <c r="G828" i="29"/>
  <c r="G823" i="29"/>
  <c r="G822" i="29" s="1"/>
  <c r="G813" i="29"/>
  <c r="G811" i="29"/>
  <c r="G805" i="29"/>
  <c r="G804" i="29" s="1"/>
  <c r="G803" i="29" s="1"/>
  <c r="G802" i="29" s="1"/>
  <c r="G801" i="29" s="1"/>
  <c r="G799" i="29"/>
  <c r="G798" i="29" s="1"/>
  <c r="G794" i="29"/>
  <c r="G793" i="29" s="1"/>
  <c r="G792" i="29" s="1"/>
  <c r="G790" i="29"/>
  <c r="G789" i="29" s="1"/>
  <c r="G788" i="29" s="1"/>
  <c r="G786" i="29"/>
  <c r="G785" i="29" s="1"/>
  <c r="G784" i="29" s="1"/>
  <c r="G782" i="29"/>
  <c r="G781" i="29" s="1"/>
  <c r="G779" i="29"/>
  <c r="G778" i="29" s="1"/>
  <c r="G775" i="29"/>
  <c r="G774" i="29" s="1"/>
  <c r="G772" i="29"/>
  <c r="G771" i="29" s="1"/>
  <c r="G766" i="29"/>
  <c r="G765" i="29" s="1"/>
  <c r="G764" i="29" s="1"/>
  <c r="G763" i="29" s="1"/>
  <c r="G761" i="29"/>
  <c r="G760" i="29" s="1"/>
  <c r="G759" i="29" s="1"/>
  <c r="G758" i="29" s="1"/>
  <c r="G756" i="29"/>
  <c r="G755" i="29" s="1"/>
  <c r="G754" i="29" s="1"/>
  <c r="G752" i="29"/>
  <c r="G751" i="29" s="1"/>
  <c r="G750" i="29" s="1"/>
  <c r="G748" i="29"/>
  <c r="G747" i="29" s="1"/>
  <c r="G746" i="29" s="1"/>
  <c r="G744" i="29"/>
  <c r="G743" i="29" s="1"/>
  <c r="G742" i="29" s="1"/>
  <c r="G740" i="29"/>
  <c r="G739" i="29" s="1"/>
  <c r="G738" i="29" s="1"/>
  <c r="G736" i="29"/>
  <c r="G735" i="29" s="1"/>
  <c r="G734" i="29" s="1"/>
  <c r="G732" i="29"/>
  <c r="G731" i="29" s="1"/>
  <c r="G730" i="29" s="1"/>
  <c r="G728" i="29"/>
  <c r="G727" i="29" s="1"/>
  <c r="G726" i="29" s="1"/>
  <c r="G724" i="29"/>
  <c r="G723" i="29" s="1"/>
  <c r="G722" i="29" s="1"/>
  <c r="G720" i="29"/>
  <c r="G719" i="29" s="1"/>
  <c r="G718" i="29" s="1"/>
  <c r="G716" i="29"/>
  <c r="G715" i="29" s="1"/>
  <c r="G713" i="29"/>
  <c r="G712" i="29" s="1"/>
  <c r="G709" i="29"/>
  <c r="G708" i="29" s="1"/>
  <c r="G706" i="29"/>
  <c r="G705" i="29" s="1"/>
  <c r="G703" i="29"/>
  <c r="G702" i="29" s="1"/>
  <c r="G700" i="29"/>
  <c r="G699" i="29" s="1"/>
  <c r="G693" i="29"/>
  <c r="G692" i="29" s="1"/>
  <c r="G687" i="29"/>
  <c r="G686" i="29" s="1"/>
  <c r="G683" i="29"/>
  <c r="G682" i="29" s="1"/>
  <c r="G681" i="29" s="1"/>
  <c r="G677" i="29"/>
  <c r="G676" i="29" s="1"/>
  <c r="G672" i="29"/>
  <c r="G671" i="29" s="1"/>
  <c r="G670" i="29" s="1"/>
  <c r="G669" i="29" s="1"/>
  <c r="G667" i="29"/>
  <c r="G666" i="29" s="1"/>
  <c r="G665" i="29" s="1"/>
  <c r="G663" i="29"/>
  <c r="G662" i="29" s="1"/>
  <c r="G661" i="29" s="1"/>
  <c r="G659" i="29"/>
  <c r="G658" i="29" s="1"/>
  <c r="G648" i="29"/>
  <c r="G647" i="29" s="1"/>
  <c r="G645" i="29"/>
  <c r="G644" i="29" s="1"/>
  <c r="G642" i="29"/>
  <c r="G641" i="29" s="1"/>
  <c r="G638" i="29"/>
  <c r="G637" i="29" s="1"/>
  <c r="G635" i="29"/>
  <c r="G634" i="29" s="1"/>
  <c r="G632" i="29"/>
  <c r="G631" i="29" s="1"/>
  <c r="G628" i="29"/>
  <c r="G627" i="29" s="1"/>
  <c r="G625" i="29"/>
  <c r="G624" i="29" s="1"/>
  <c r="G621" i="29"/>
  <c r="G620" i="29" s="1"/>
  <c r="G619" i="29" s="1"/>
  <c r="G614" i="29"/>
  <c r="G613" i="29" s="1"/>
  <c r="G612" i="29" s="1"/>
  <c r="G611" i="29" s="1"/>
  <c r="G610" i="29" s="1"/>
  <c r="G609" i="29" s="1"/>
  <c r="G607" i="29"/>
  <c r="G606" i="29" s="1"/>
  <c r="G605" i="29" s="1"/>
  <c r="G604" i="29" s="1"/>
  <c r="G603" i="29" s="1"/>
  <c r="G602" i="29" s="1"/>
  <c r="G600" i="29"/>
  <c r="G599" i="29" s="1"/>
  <c r="G597" i="29"/>
  <c r="G596" i="29" s="1"/>
  <c r="G590" i="29"/>
  <c r="G589" i="29" s="1"/>
  <c r="G588" i="29" s="1"/>
  <c r="G587" i="29" s="1"/>
  <c r="G1267" i="29" s="1"/>
  <c r="G586" i="29"/>
  <c r="G585" i="29" s="1"/>
  <c r="G584" i="29" s="1"/>
  <c r="G582" i="29"/>
  <c r="G580" i="29"/>
  <c r="G574" i="29"/>
  <c r="G573" i="29" s="1"/>
  <c r="G572" i="29" s="1"/>
  <c r="G570" i="29"/>
  <c r="G569" i="29" s="1"/>
  <c r="G567" i="29"/>
  <c r="G565" i="29"/>
  <c r="G563" i="29"/>
  <c r="G555" i="29"/>
  <c r="G552" i="29"/>
  <c r="G551" i="29" s="1"/>
  <c r="G549" i="29"/>
  <c r="G547" i="29"/>
  <c r="G539" i="29"/>
  <c r="G538" i="29" s="1"/>
  <c r="G534" i="29"/>
  <c r="G533" i="29" s="1"/>
  <c r="G532" i="29" s="1"/>
  <c r="G530" i="29"/>
  <c r="G528" i="29"/>
  <c r="G526" i="29"/>
  <c r="G519" i="29"/>
  <c r="G518" i="29" s="1"/>
  <c r="G517" i="29" s="1"/>
  <c r="G515" i="29"/>
  <c r="G513" i="29"/>
  <c r="G512" i="29"/>
  <c r="G511" i="29" s="1"/>
  <c r="G509" i="29"/>
  <c r="G506" i="29" s="1"/>
  <c r="G505" i="29" s="1"/>
  <c r="G507" i="29"/>
  <c r="G502" i="29"/>
  <c r="G501" i="29" s="1"/>
  <c r="G500" i="29" s="1"/>
  <c r="G499" i="29" s="1"/>
  <c r="G494" i="29"/>
  <c r="G493" i="29" s="1"/>
  <c r="G491" i="29" s="1"/>
  <c r="G492" i="29"/>
  <c r="G489" i="29"/>
  <c r="G488" i="29" s="1"/>
  <c r="G487" i="29" s="1"/>
  <c r="G486" i="29" s="1"/>
  <c r="G485" i="29" s="1"/>
  <c r="G483" i="29"/>
  <c r="G481" i="29"/>
  <c r="G479" i="29"/>
  <c r="G476" i="29"/>
  <c r="G475" i="29" s="1"/>
  <c r="G472" i="29"/>
  <c r="G471" i="29" s="1"/>
  <c r="G470" i="29" s="1"/>
  <c r="G467" i="29"/>
  <c r="G466" i="29" s="1"/>
  <c r="G464" i="29"/>
  <c r="G463" i="29" s="1"/>
  <c r="G461" i="29"/>
  <c r="G459" i="29"/>
  <c r="G450" i="29"/>
  <c r="G449" i="29" s="1"/>
  <c r="G442" i="29"/>
  <c r="G441" i="29" s="1"/>
  <c r="G437" i="29"/>
  <c r="G436" i="29" s="1"/>
  <c r="G434" i="29"/>
  <c r="G433" i="29" s="1"/>
  <c r="G431" i="29"/>
  <c r="G430" i="29" s="1"/>
  <c r="G428" i="29"/>
  <c r="G427" i="29" s="1"/>
  <c r="G426" i="29" s="1"/>
  <c r="G425" i="29" s="1"/>
  <c r="G423" i="29"/>
  <c r="G422" i="29" s="1"/>
  <c r="G420" i="29"/>
  <c r="G419" i="29" s="1"/>
  <c r="G416" i="29"/>
  <c r="G415" i="29" s="1"/>
  <c r="G414" i="29" s="1"/>
  <c r="G412" i="29"/>
  <c r="G411" i="29" s="1"/>
  <c r="G407" i="29"/>
  <c r="G406" i="29" s="1"/>
  <c r="G400" i="29"/>
  <c r="G399" i="29" s="1"/>
  <c r="G398" i="29" s="1"/>
  <c r="G393" i="29"/>
  <c r="G391" i="29"/>
  <c r="G387" i="29"/>
  <c r="G386" i="29" s="1"/>
  <c r="G380" i="29"/>
  <c r="G370" i="29"/>
  <c r="G369" i="29" s="1"/>
  <c r="G368" i="29" s="1"/>
  <c r="G367" i="29" s="1"/>
  <c r="G365" i="29"/>
  <c r="G364" i="29" s="1"/>
  <c r="G363" i="29" s="1"/>
  <c r="G362" i="29"/>
  <c r="G359" i="29"/>
  <c r="G355" i="29"/>
  <c r="G354" i="29" s="1"/>
  <c r="G352" i="29"/>
  <c r="G351" i="29" s="1"/>
  <c r="G345" i="29"/>
  <c r="G344" i="29" s="1"/>
  <c r="G340" i="29"/>
  <c r="G339" i="29" s="1"/>
  <c r="G337" i="29" s="1"/>
  <c r="G338" i="29"/>
  <c r="G335" i="29"/>
  <c r="G334" i="29" s="1"/>
  <c r="G332" i="29"/>
  <c r="G331" i="29" s="1"/>
  <c r="G328" i="29"/>
  <c r="G327" i="29" s="1"/>
  <c r="G326" i="29" s="1"/>
  <c r="G324" i="29"/>
  <c r="G322" i="29"/>
  <c r="G319" i="29"/>
  <c r="G318" i="29" s="1"/>
  <c r="G315" i="29"/>
  <c r="G314" i="29" s="1"/>
  <c r="G312" i="29"/>
  <c r="G310" i="29"/>
  <c r="G308" i="29"/>
  <c r="G301" i="29"/>
  <c r="G300" i="29" s="1"/>
  <c r="G299" i="29" s="1"/>
  <c r="G297" i="29"/>
  <c r="G296" i="29" s="1"/>
  <c r="G295" i="29" s="1"/>
  <c r="G293" i="29"/>
  <c r="G292" i="29" s="1"/>
  <c r="G289" i="29"/>
  <c r="G288" i="29" s="1"/>
  <c r="G287" i="29" s="1"/>
  <c r="G281" i="29"/>
  <c r="G280" i="29" s="1"/>
  <c r="G276" i="29"/>
  <c r="G275" i="29" s="1"/>
  <c r="G273" i="29"/>
  <c r="G272" i="29" s="1"/>
  <c r="G270" i="29"/>
  <c r="G269" i="29" s="1"/>
  <c r="G267" i="29"/>
  <c r="G266" i="29" s="1"/>
  <c r="G264" i="29"/>
  <c r="G263" i="29" s="1"/>
  <c r="G259" i="29"/>
  <c r="G258" i="29"/>
  <c r="G253" i="29"/>
  <c r="G252" i="29" s="1"/>
  <c r="G244" i="29"/>
  <c r="G242" i="29"/>
  <c r="G236" i="29"/>
  <c r="G235" i="29" s="1"/>
  <c r="G234" i="29" s="1"/>
  <c r="G233" i="29" s="1"/>
  <c r="G230" i="29"/>
  <c r="G229" i="29" s="1"/>
  <c r="G228" i="29" s="1"/>
  <c r="G227" i="29" s="1"/>
  <c r="G226" i="29" s="1"/>
  <c r="G223" i="29"/>
  <c r="G222" i="29" s="1"/>
  <c r="G221" i="29" s="1"/>
  <c r="G220" i="29" s="1"/>
  <c r="G1254" i="29" s="1"/>
  <c r="G218" i="29"/>
  <c r="G216" i="29"/>
  <c r="G210" i="29"/>
  <c r="G209" i="29" s="1"/>
  <c r="G208" i="29" s="1"/>
  <c r="G206" i="29"/>
  <c r="G205" i="29" s="1"/>
  <c r="G204" i="29" s="1"/>
  <c r="G199" i="29"/>
  <c r="G197" i="29"/>
  <c r="G196" i="29" s="1"/>
  <c r="G194" i="29"/>
  <c r="G193" i="29" s="1"/>
  <c r="G192" i="29" s="1"/>
  <c r="G188" i="29"/>
  <c r="G187" i="29" s="1"/>
  <c r="G185" i="29"/>
  <c r="G183" i="29"/>
  <c r="G179" i="29"/>
  <c r="G178" i="29" s="1"/>
  <c r="G176" i="29"/>
  <c r="G175" i="29" s="1"/>
  <c r="G169" i="29"/>
  <c r="G168" i="29" s="1"/>
  <c r="G167" i="29" s="1"/>
  <c r="G166" i="29" s="1"/>
  <c r="G165" i="29" s="1"/>
  <c r="G164" i="29" s="1"/>
  <c r="G162" i="29"/>
  <c r="G161" i="29" s="1"/>
  <c r="G152" i="29"/>
  <c r="G151" i="29" s="1"/>
  <c r="G147" i="29"/>
  <c r="G146" i="29" s="1"/>
  <c r="G145" i="29" s="1"/>
  <c r="G143" i="29"/>
  <c r="G142" i="29" s="1"/>
  <c r="G141" i="29" s="1"/>
  <c r="G138" i="29"/>
  <c r="G137" i="29" s="1"/>
  <c r="G136" i="29" s="1"/>
  <c r="G134" i="29"/>
  <c r="G133" i="29" s="1"/>
  <c r="G131" i="29"/>
  <c r="G129" i="29"/>
  <c r="G125" i="29"/>
  <c r="G124" i="29" s="1"/>
  <c r="G123" i="29" s="1"/>
  <c r="G119" i="29"/>
  <c r="G117" i="29"/>
  <c r="G111" i="29"/>
  <c r="G110" i="29" s="1"/>
  <c r="G108" i="29"/>
  <c r="G107" i="29" s="1"/>
  <c r="G102" i="29"/>
  <c r="G101" i="29" s="1"/>
  <c r="G100" i="29" s="1"/>
  <c r="G98" i="29"/>
  <c r="G97" i="29" s="1"/>
  <c r="G95" i="29"/>
  <c r="G93" i="29"/>
  <c r="G89" i="29"/>
  <c r="G88" i="29" s="1"/>
  <c r="G87" i="29" s="1"/>
  <c r="G84" i="29"/>
  <c r="G82" i="29"/>
  <c r="G79" i="29"/>
  <c r="G77" i="29"/>
  <c r="G74" i="29"/>
  <c r="G72" i="29"/>
  <c r="G69" i="29"/>
  <c r="G68" i="29" s="1"/>
  <c r="G65" i="29"/>
  <c r="G64" i="29" s="1"/>
  <c r="G62" i="29"/>
  <c r="G61" i="29" s="1"/>
  <c r="G59" i="29"/>
  <c r="G58" i="29"/>
  <c r="G57" i="29" s="1"/>
  <c r="G55" i="29"/>
  <c r="G53" i="29"/>
  <c r="G47" i="29"/>
  <c r="G46" i="29" s="1"/>
  <c r="G45" i="29" s="1"/>
  <c r="G44" i="29" s="1"/>
  <c r="G42" i="29"/>
  <c r="G41" i="29" s="1"/>
  <c r="G40" i="29"/>
  <c r="G37" i="29"/>
  <c r="G29" i="29"/>
  <c r="G28" i="29" s="1"/>
  <c r="G27" i="29" s="1"/>
  <c r="G26" i="29" s="1"/>
  <c r="G25" i="29" s="1"/>
  <c r="G23" i="29"/>
  <c r="G22" i="29" s="1"/>
  <c r="G20" i="29"/>
  <c r="G18" i="29"/>
  <c r="G16" i="29"/>
  <c r="G405" i="29" l="1"/>
  <c r="H448" i="29"/>
  <c r="H447" i="29" s="1"/>
  <c r="G448" i="29"/>
  <c r="G447" i="29" s="1"/>
  <c r="G167" i="30"/>
  <c r="G166" i="30" s="1"/>
  <c r="G165" i="30" s="1"/>
  <c r="G164" i="30" s="1"/>
  <c r="G143" i="30" s="1"/>
  <c r="H960" i="29"/>
  <c r="H959" i="29" s="1"/>
  <c r="H958" i="29" s="1"/>
  <c r="G960" i="29"/>
  <c r="G959" i="29" s="1"/>
  <c r="G958" i="29" s="1"/>
  <c r="G1166" i="29"/>
  <c r="G1161" i="29" s="1"/>
  <c r="G1157" i="29" s="1"/>
  <c r="H901" i="29"/>
  <c r="H900" i="29" s="1"/>
  <c r="G901" i="29"/>
  <c r="G900" i="29" s="1"/>
  <c r="H1192" i="29"/>
  <c r="H1191" i="29" s="1"/>
  <c r="H1190" i="29" s="1"/>
  <c r="H1189" i="29" s="1"/>
  <c r="H1188" i="29" s="1"/>
  <c r="H1187" i="29" s="1"/>
  <c r="H1186" i="29" s="1"/>
  <c r="F1048" i="30"/>
  <c r="F1047" i="30" s="1"/>
  <c r="F1046" i="30" s="1"/>
  <c r="F1030" i="30" s="1"/>
  <c r="D49" i="31" s="1"/>
  <c r="G656" i="29"/>
  <c r="G655" i="29" s="1"/>
  <c r="G654" i="29" s="1"/>
  <c r="G292" i="32"/>
  <c r="G291" i="32" s="1"/>
  <c r="G290" i="32" s="1"/>
  <c r="G289" i="32" s="1"/>
  <c r="G288" i="32" s="1"/>
  <c r="F563" i="30"/>
  <c r="F562" i="30" s="1"/>
  <c r="F561" i="30" s="1"/>
  <c r="F560" i="30" s="1"/>
  <c r="G690" i="29"/>
  <c r="G689" i="29" s="1"/>
  <c r="G187" i="32"/>
  <c r="F594" i="30"/>
  <c r="F593" i="30" s="1"/>
  <c r="F592" i="30" s="1"/>
  <c r="G1023" i="29"/>
  <c r="G1022" i="29" s="1"/>
  <c r="F360" i="30"/>
  <c r="F359" i="30" s="1"/>
  <c r="F358" i="30" s="1"/>
  <c r="F351" i="30" s="1"/>
  <c r="F350" i="30" s="1"/>
  <c r="G725" i="32"/>
  <c r="F443" i="30"/>
  <c r="F442" i="30" s="1"/>
  <c r="G594" i="30"/>
  <c r="G593" i="30" s="1"/>
  <c r="G592" i="30" s="1"/>
  <c r="G588" i="30" s="1"/>
  <c r="G583" i="30" s="1"/>
  <c r="G582" i="30" s="1"/>
  <c r="E35" i="31" s="1"/>
  <c r="H187" i="32"/>
  <c r="G39" i="29"/>
  <c r="G36" i="29" s="1"/>
  <c r="G35" i="29" s="1"/>
  <c r="G34" i="29" s="1"/>
  <c r="G33" i="29" s="1"/>
  <c r="F17" i="30"/>
  <c r="F16" i="30" s="1"/>
  <c r="F13" i="30" s="1"/>
  <c r="F12" i="30" s="1"/>
  <c r="F11" i="30" s="1"/>
  <c r="F10" i="30" s="1"/>
  <c r="D12" i="31" s="1"/>
  <c r="G736" i="32"/>
  <c r="F451" i="30"/>
  <c r="F450" i="30" s="1"/>
  <c r="F449" i="30" s="1"/>
  <c r="F500" i="30"/>
  <c r="F497" i="30"/>
  <c r="F493" i="30" s="1"/>
  <c r="H206" i="29"/>
  <c r="H205" i="29" s="1"/>
  <c r="H204" i="29" s="1"/>
  <c r="H203" i="29" s="1"/>
  <c r="H1262" i="29" s="1"/>
  <c r="G275" i="30"/>
  <c r="G274" i="30" s="1"/>
  <c r="G273" i="30" s="1"/>
  <c r="G272" i="30" s="1"/>
  <c r="G271" i="30" s="1"/>
  <c r="G270" i="30" s="1"/>
  <c r="H769" i="32"/>
  <c r="G815" i="30"/>
  <c r="G814" i="30" s="1"/>
  <c r="H509" i="32"/>
  <c r="G500" i="30"/>
  <c r="G384" i="29"/>
  <c r="G512" i="32"/>
  <c r="F817" i="30"/>
  <c r="F816" i="30" s="1"/>
  <c r="G696" i="29"/>
  <c r="G695" i="29" s="1"/>
  <c r="G195" i="32"/>
  <c r="F600" i="30"/>
  <c r="F599" i="30" s="1"/>
  <c r="F598" i="30" s="1"/>
  <c r="G922" i="29"/>
  <c r="G989" i="29"/>
  <c r="G988" i="29" s="1"/>
  <c r="F295" i="30"/>
  <c r="F294" i="30" s="1"/>
  <c r="F293" i="30" s="1"/>
  <c r="F292" i="30" s="1"/>
  <c r="F287" i="30" s="1"/>
  <c r="F286" i="30" s="1"/>
  <c r="G22" i="32"/>
  <c r="G761" i="32"/>
  <c r="F466" i="30"/>
  <c r="F465" i="30" s="1"/>
  <c r="F464" i="30" s="1"/>
  <c r="F463" i="30" s="1"/>
  <c r="G1154" i="29"/>
  <c r="G1153" i="29" s="1"/>
  <c r="F491" i="30"/>
  <c r="F490" i="30" s="1"/>
  <c r="F489" i="30" s="1"/>
  <c r="F478" i="30" s="1"/>
  <c r="F477" i="30" s="1"/>
  <c r="G1192" i="29"/>
  <c r="G1191" i="29" s="1"/>
  <c r="G1190" i="29" s="1"/>
  <c r="G1189" i="29" s="1"/>
  <c r="G1188" i="29" s="1"/>
  <c r="G1187" i="29" s="1"/>
  <c r="G1186" i="29" s="1"/>
  <c r="F981" i="30"/>
  <c r="F980" i="30" s="1"/>
  <c r="F979" i="30" s="1"/>
  <c r="F978" i="30" s="1"/>
  <c r="F977" i="30" s="1"/>
  <c r="F969" i="30" s="1"/>
  <c r="D46" i="31" s="1"/>
  <c r="H39" i="29"/>
  <c r="H36" i="29" s="1"/>
  <c r="H35" i="29" s="1"/>
  <c r="H34" i="29" s="1"/>
  <c r="H33" i="29" s="1"/>
  <c r="G17" i="30"/>
  <c r="G16" i="30" s="1"/>
  <c r="G13" i="30" s="1"/>
  <c r="G12" i="30" s="1"/>
  <c r="G11" i="30" s="1"/>
  <c r="G10" i="30" s="1"/>
  <c r="E12" i="31" s="1"/>
  <c r="H384" i="29"/>
  <c r="H379" i="29" s="1"/>
  <c r="H375" i="29" s="1"/>
  <c r="H512" i="32"/>
  <c r="G817" i="30"/>
  <c r="G816" i="30" s="1"/>
  <c r="H652" i="29"/>
  <c r="H651" i="29" s="1"/>
  <c r="H650" i="29" s="1"/>
  <c r="G559" i="30"/>
  <c r="G558" i="30" s="1"/>
  <c r="G557" i="30" s="1"/>
  <c r="G556" i="30" s="1"/>
  <c r="H280" i="32"/>
  <c r="H1154" i="29"/>
  <c r="H1153" i="29" s="1"/>
  <c r="G491" i="30"/>
  <c r="G490" i="30" s="1"/>
  <c r="G489" i="30" s="1"/>
  <c r="G478" i="30" s="1"/>
  <c r="G477" i="30" s="1"/>
  <c r="H1166" i="29"/>
  <c r="H1161" i="29" s="1"/>
  <c r="H1157" i="29" s="1"/>
  <c r="G503" i="30"/>
  <c r="G502" i="30" s="1"/>
  <c r="E46" i="31"/>
  <c r="E42" i="31" s="1"/>
  <c r="G928" i="30"/>
  <c r="G256" i="29"/>
  <c r="G255" i="29" s="1"/>
  <c r="G251" i="29" s="1"/>
  <c r="G250" i="29" s="1"/>
  <c r="G249" i="29" s="1"/>
  <c r="G107" i="32"/>
  <c r="F181" i="30"/>
  <c r="F180" i="30" s="1"/>
  <c r="F179" i="30" s="1"/>
  <c r="G836" i="29"/>
  <c r="G833" i="29" s="1"/>
  <c r="G832" i="29" s="1"/>
  <c r="F798" i="30"/>
  <c r="F797" i="30" s="1"/>
  <c r="F794" i="30" s="1"/>
  <c r="F793" i="30" s="1"/>
  <c r="F783" i="30" s="1"/>
  <c r="F765" i="30" s="1"/>
  <c r="D38" i="31" s="1"/>
  <c r="G934" i="32"/>
  <c r="G933" i="32" s="1"/>
  <c r="G932" i="32" s="1"/>
  <c r="G931" i="32" s="1"/>
  <c r="G930" i="32" s="1"/>
  <c r="G929" i="32" s="1"/>
  <c r="G928" i="32" s="1"/>
  <c r="G935" i="32" s="1"/>
  <c r="F471" i="30"/>
  <c r="F470" i="30" s="1"/>
  <c r="F469" i="30" s="1"/>
  <c r="H256" i="29"/>
  <c r="H255" i="29" s="1"/>
  <c r="H107" i="32"/>
  <c r="G181" i="30"/>
  <c r="G180" i="30" s="1"/>
  <c r="G179" i="30" s="1"/>
  <c r="H361" i="29"/>
  <c r="H358" i="29" s="1"/>
  <c r="H357" i="29" s="1"/>
  <c r="H51" i="32"/>
  <c r="G755" i="30"/>
  <c r="G754" i="30" s="1"/>
  <c r="G751" i="30" s="1"/>
  <c r="G750" i="30" s="1"/>
  <c r="G742" i="30" s="1"/>
  <c r="G741" i="30" s="1"/>
  <c r="G740" i="30" s="1"/>
  <c r="E37" i="31" s="1"/>
  <c r="H836" i="29"/>
  <c r="H833" i="29" s="1"/>
  <c r="H832" i="29" s="1"/>
  <c r="G798" i="30"/>
  <c r="G797" i="30" s="1"/>
  <c r="G794" i="30" s="1"/>
  <c r="G793" i="30" s="1"/>
  <c r="G783" i="30" s="1"/>
  <c r="G765" i="30" s="1"/>
  <c r="E38" i="31" s="1"/>
  <c r="H920" i="29"/>
  <c r="H917" i="29" s="1"/>
  <c r="H916" i="29" s="1"/>
  <c r="H915" i="29" s="1"/>
  <c r="G1052" i="30"/>
  <c r="G1051" i="30" s="1"/>
  <c r="G1048" i="30" s="1"/>
  <c r="G1047" i="30" s="1"/>
  <c r="G1046" i="30" s="1"/>
  <c r="G1030" i="30" s="1"/>
  <c r="E49" i="31" s="1"/>
  <c r="H1134" i="29"/>
  <c r="H1133" i="29" s="1"/>
  <c r="H1132" i="29" s="1"/>
  <c r="H1131" i="29" s="1"/>
  <c r="H1266" i="29" s="1"/>
  <c r="H934" i="32"/>
  <c r="H933" i="32" s="1"/>
  <c r="H932" i="32" s="1"/>
  <c r="H931" i="32" s="1"/>
  <c r="H930" i="32" s="1"/>
  <c r="H929" i="32" s="1"/>
  <c r="H928" i="32" s="1"/>
  <c r="H935" i="32" s="1"/>
  <c r="G471" i="30"/>
  <c r="G470" i="30" s="1"/>
  <c r="G469" i="30" s="1"/>
  <c r="G361" i="29"/>
  <c r="G358" i="29" s="1"/>
  <c r="G357" i="29" s="1"/>
  <c r="G51" i="32"/>
  <c r="F755" i="30"/>
  <c r="F754" i="30" s="1"/>
  <c r="F751" i="30" s="1"/>
  <c r="F750" i="30" s="1"/>
  <c r="F742" i="30" s="1"/>
  <c r="F741" i="30" s="1"/>
  <c r="F740" i="30" s="1"/>
  <c r="D37" i="31" s="1"/>
  <c r="G382" i="29"/>
  <c r="G509" i="32"/>
  <c r="F815" i="30"/>
  <c r="F814" i="30" s="1"/>
  <c r="F178" i="30"/>
  <c r="F177" i="30" s="1"/>
  <c r="F176" i="30" s="1"/>
  <c r="G103" i="32"/>
  <c r="G652" i="29"/>
  <c r="G651" i="29" s="1"/>
  <c r="G650" i="29" s="1"/>
  <c r="G280" i="32"/>
  <c r="F559" i="30"/>
  <c r="F558" i="30" s="1"/>
  <c r="F557" i="30" s="1"/>
  <c r="F556" i="30" s="1"/>
  <c r="G876" i="29"/>
  <c r="G875" i="29" s="1"/>
  <c r="G871" i="29" s="1"/>
  <c r="F1008" i="30"/>
  <c r="F1007" i="30" s="1"/>
  <c r="G440" i="32"/>
  <c r="G1076" i="29"/>
  <c r="G1075" i="29" s="1"/>
  <c r="G1074" i="29" s="1"/>
  <c r="G1073" i="29" s="1"/>
  <c r="G981" i="32"/>
  <c r="F413" i="30"/>
  <c r="F412" i="30" s="1"/>
  <c r="F411" i="30" s="1"/>
  <c r="F410" i="30" s="1"/>
  <c r="F409" i="30" s="1"/>
  <c r="G1094" i="29"/>
  <c r="G1093" i="29" s="1"/>
  <c r="G707" i="32"/>
  <c r="F431" i="30"/>
  <c r="F430" i="30" s="1"/>
  <c r="G1106" i="29"/>
  <c r="G1105" i="29" s="1"/>
  <c r="G1134" i="29"/>
  <c r="G1133" i="29" s="1"/>
  <c r="G1132" i="29" s="1"/>
  <c r="G1131" i="29" s="1"/>
  <c r="G1266" i="29" s="1"/>
  <c r="H103" i="32"/>
  <c r="G178" i="30"/>
  <c r="G177" i="30" s="1"/>
  <c r="G176" i="30" s="1"/>
  <c r="H656" i="29"/>
  <c r="H655" i="29" s="1"/>
  <c r="H654" i="29" s="1"/>
  <c r="G563" i="30"/>
  <c r="G562" i="30" s="1"/>
  <c r="G561" i="30" s="1"/>
  <c r="G560" i="30" s="1"/>
  <c r="H292" i="32"/>
  <c r="H291" i="32" s="1"/>
  <c r="H290" i="32" s="1"/>
  <c r="H289" i="32" s="1"/>
  <c r="H288" i="32" s="1"/>
  <c r="H690" i="29"/>
  <c r="H689" i="29" s="1"/>
  <c r="H876" i="29"/>
  <c r="H875" i="29" s="1"/>
  <c r="H871" i="29" s="1"/>
  <c r="H440" i="32"/>
  <c r="G1008" i="30"/>
  <c r="G1007" i="30" s="1"/>
  <c r="G1006" i="30" s="1"/>
  <c r="G1002" i="30" s="1"/>
  <c r="G984" i="30" s="1"/>
  <c r="G983" i="30" s="1"/>
  <c r="H1023" i="29"/>
  <c r="H1022" i="29" s="1"/>
  <c r="H1271" i="29"/>
  <c r="H981" i="32"/>
  <c r="H980" i="32" s="1"/>
  <c r="H979" i="32" s="1"/>
  <c r="H978" i="32" s="1"/>
  <c r="H977" i="32" s="1"/>
  <c r="H976" i="32" s="1"/>
  <c r="H975" i="32" s="1"/>
  <c r="G413" i="30"/>
  <c r="G412" i="30" s="1"/>
  <c r="G411" i="30" s="1"/>
  <c r="G410" i="30" s="1"/>
  <c r="G409" i="30" s="1"/>
  <c r="G349" i="30" s="1"/>
  <c r="H1094" i="29"/>
  <c r="H1093" i="29" s="1"/>
  <c r="H707" i="32"/>
  <c r="G431" i="30"/>
  <c r="G430" i="30" s="1"/>
  <c r="G429" i="30" s="1"/>
  <c r="H1106" i="29"/>
  <c r="H1105" i="29" s="1"/>
  <c r="G443" i="30"/>
  <c r="G442" i="30" s="1"/>
  <c r="G441" i="30" s="1"/>
  <c r="H725" i="32"/>
  <c r="H1114" i="29"/>
  <c r="H1113" i="29" s="1"/>
  <c r="H736" i="32"/>
  <c r="G451" i="30"/>
  <c r="G450" i="30" s="1"/>
  <c r="G449" i="30" s="1"/>
  <c r="H1129" i="29"/>
  <c r="H1128" i="29" s="1"/>
  <c r="H1127" i="29" s="1"/>
  <c r="H761" i="32"/>
  <c r="G466" i="30"/>
  <c r="G465" i="30" s="1"/>
  <c r="G464" i="30" s="1"/>
  <c r="G463" i="30" s="1"/>
  <c r="H485" i="32"/>
  <c r="H484" i="32" s="1"/>
  <c r="H483" i="32" s="1"/>
  <c r="H482" i="32" s="1"/>
  <c r="H487" i="32"/>
  <c r="G203" i="29"/>
  <c r="G1262" i="29" s="1"/>
  <c r="H308" i="29"/>
  <c r="G699" i="30"/>
  <c r="G698" i="30" s="1"/>
  <c r="G697" i="30" s="1"/>
  <c r="G696" i="30" s="1"/>
  <c r="G695" i="30" s="1"/>
  <c r="G671" i="30" s="1"/>
  <c r="H777" i="29"/>
  <c r="H183" i="29"/>
  <c r="H182" i="29" s="1"/>
  <c r="H181" i="29" s="1"/>
  <c r="G254" i="30"/>
  <c r="G253" i="30" s="1"/>
  <c r="G252" i="30" s="1"/>
  <c r="G244" i="30" s="1"/>
  <c r="G243" i="30" s="1"/>
  <c r="G770" i="29"/>
  <c r="H71" i="29"/>
  <c r="H76" i="29"/>
  <c r="H129" i="29"/>
  <c r="H128" i="29" s="1"/>
  <c r="H127" i="29" s="1"/>
  <c r="H122" i="29" s="1"/>
  <c r="H546" i="29"/>
  <c r="H545" i="29" s="1"/>
  <c r="H544" i="29" s="1"/>
  <c r="H543" i="29" s="1"/>
  <c r="H542" i="29" s="1"/>
  <c r="H541" i="29" s="1"/>
  <c r="H562" i="29"/>
  <c r="H561" i="29" s="1"/>
  <c r="H560" i="29" s="1"/>
  <c r="H559" i="29" s="1"/>
  <c r="G140" i="29"/>
  <c r="G929" i="29"/>
  <c r="G928" i="29" s="1"/>
  <c r="G927" i="29" s="1"/>
  <c r="H116" i="29"/>
  <c r="H115" i="29" s="1"/>
  <c r="H114" i="29" s="1"/>
  <c r="H113" i="29" s="1"/>
  <c r="H160" i="29"/>
  <c r="H195" i="29"/>
  <c r="H191" i="29" s="1"/>
  <c r="H190" i="29" s="1"/>
  <c r="G390" i="29"/>
  <c r="G389" i="29" s="1"/>
  <c r="G595" i="29"/>
  <c r="G594" i="29" s="1"/>
  <c r="G593" i="29" s="1"/>
  <c r="G592" i="29" s="1"/>
  <c r="G827" i="29"/>
  <c r="G826" i="29" s="1"/>
  <c r="H279" i="29"/>
  <c r="H307" i="29"/>
  <c r="H306" i="29" s="1"/>
  <c r="H405" i="29"/>
  <c r="H1199" i="29"/>
  <c r="H16" i="29"/>
  <c r="H15" i="29" s="1"/>
  <c r="H14" i="29" s="1"/>
  <c r="H13" i="29" s="1"/>
  <c r="H12" i="29" s="1"/>
  <c r="H11" i="29" s="1"/>
  <c r="G108" i="30"/>
  <c r="G107" i="30" s="1"/>
  <c r="G106" i="30" s="1"/>
  <c r="G105" i="30" s="1"/>
  <c r="G104" i="30" s="1"/>
  <c r="G103" i="30" s="1"/>
  <c r="E15" i="31" s="1"/>
  <c r="H53" i="29"/>
  <c r="H52" i="29" s="1"/>
  <c r="H51" i="29" s="1"/>
  <c r="G47" i="30"/>
  <c r="G46" i="30" s="1"/>
  <c r="G45" i="30" s="1"/>
  <c r="G44" i="30" s="1"/>
  <c r="G43" i="30" s="1"/>
  <c r="G42" i="30" s="1"/>
  <c r="H418" i="29"/>
  <c r="G546" i="29"/>
  <c r="G545" i="29" s="1"/>
  <c r="G544" i="29" s="1"/>
  <c r="G543" i="29" s="1"/>
  <c r="G542" i="29" s="1"/>
  <c r="G541" i="29" s="1"/>
  <c r="G810" i="29"/>
  <c r="G917" i="29"/>
  <c r="G916" i="29" s="1"/>
  <c r="G915" i="29" s="1"/>
  <c r="G942" i="29"/>
  <c r="G938" i="29" s="1"/>
  <c r="G1176" i="29"/>
  <c r="G1199" i="29"/>
  <c r="G1204" i="29"/>
  <c r="H92" i="29"/>
  <c r="H91" i="29" s="1"/>
  <c r="H86" i="29" s="1"/>
  <c r="H1255" i="29" s="1"/>
  <c r="H140" i="29"/>
  <c r="H215" i="29"/>
  <c r="H214" i="29" s="1"/>
  <c r="H213" i="29" s="1"/>
  <c r="H212" i="29" s="1"/>
  <c r="H478" i="29"/>
  <c r="H474" i="29" s="1"/>
  <c r="H469" i="29" s="1"/>
  <c r="H525" i="29"/>
  <c r="H524" i="29" s="1"/>
  <c r="H523" i="29" s="1"/>
  <c r="H579" i="29"/>
  <c r="H578" i="29" s="1"/>
  <c r="H577" i="29" s="1"/>
  <c r="H576" i="29" s="1"/>
  <c r="H711" i="29"/>
  <c r="H770" i="29"/>
  <c r="H769" i="29" s="1"/>
  <c r="H827" i="29"/>
  <c r="H826" i="29" s="1"/>
  <c r="H929" i="29"/>
  <c r="H928" i="29" s="1"/>
  <c r="H927" i="29" s="1"/>
  <c r="H1028" i="29"/>
  <c r="H1076" i="29"/>
  <c r="H1075" i="29" s="1"/>
  <c r="H1074" i="29" s="1"/>
  <c r="H1073" i="29" s="1"/>
  <c r="H1204" i="29"/>
  <c r="H1169" i="29"/>
  <c r="G1169" i="29"/>
  <c r="H1143" i="29"/>
  <c r="H1016" i="29"/>
  <c r="H988" i="29"/>
  <c r="H987" i="29" s="1"/>
  <c r="G1271" i="29"/>
  <c r="G92" i="29"/>
  <c r="G91" i="29" s="1"/>
  <c r="G86" i="29" s="1"/>
  <c r="G1255" i="29" s="1"/>
  <c r="G116" i="29"/>
  <c r="G115" i="29" s="1"/>
  <c r="G114" i="29" s="1"/>
  <c r="G113" i="29" s="1"/>
  <c r="G195" i="29"/>
  <c r="G191" i="29" s="1"/>
  <c r="G190" i="29" s="1"/>
  <c r="G215" i="29"/>
  <c r="G214" i="29" s="1"/>
  <c r="G213" i="29" s="1"/>
  <c r="G212" i="29" s="1"/>
  <c r="G458" i="29"/>
  <c r="G457" i="29" s="1"/>
  <c r="G456" i="29" s="1"/>
  <c r="G525" i="29"/>
  <c r="G524" i="29" s="1"/>
  <c r="G523" i="29" s="1"/>
  <c r="G1036" i="29"/>
  <c r="H150" i="29"/>
  <c r="H241" i="29"/>
  <c r="H240" i="29" s="1"/>
  <c r="H1242" i="29" s="1"/>
  <c r="H321" i="29"/>
  <c r="H317" i="29" s="1"/>
  <c r="H630" i="29"/>
  <c r="H640" i="29"/>
  <c r="H810" i="29"/>
  <c r="H858" i="29"/>
  <c r="H999" i="29"/>
  <c r="H998" i="29" s="1"/>
  <c r="H997" i="29" s="1"/>
  <c r="H996" i="29" s="1"/>
  <c r="H685" i="29"/>
  <c r="H1116" i="29"/>
  <c r="H174" i="29"/>
  <c r="H262" i="29"/>
  <c r="H261" i="29" s="1"/>
  <c r="H1264" i="29" s="1"/>
  <c r="H330" i="29"/>
  <c r="H350" i="29"/>
  <c r="H1245" i="29"/>
  <c r="H1036" i="29"/>
  <c r="H698" i="29"/>
  <c r="H623" i="29"/>
  <c r="H595" i="29"/>
  <c r="H594" i="29" s="1"/>
  <c r="H593" i="29" s="1"/>
  <c r="H592" i="29" s="1"/>
  <c r="H504" i="29"/>
  <c r="H498" i="29" s="1"/>
  <c r="H497" i="29" s="1"/>
  <c r="H496" i="29" s="1"/>
  <c r="G307" i="29"/>
  <c r="G306" i="29" s="1"/>
  <c r="G241" i="29"/>
  <c r="G240" i="29" s="1"/>
  <c r="G239" i="29" s="1"/>
  <c r="G238" i="29" s="1"/>
  <c r="H106" i="29"/>
  <c r="H105" i="29" s="1"/>
  <c r="H104" i="29" s="1"/>
  <c r="G71" i="29"/>
  <c r="H1256" i="29"/>
  <c r="H232" i="29"/>
  <c r="H291" i="29"/>
  <c r="H286" i="29" s="1"/>
  <c r="H285" i="29" s="1"/>
  <c r="H284" i="29" s="1"/>
  <c r="H283" i="29" s="1"/>
  <c r="H1260" i="29"/>
  <c r="H251" i="29"/>
  <c r="H250" i="29" s="1"/>
  <c r="H249" i="29" s="1"/>
  <c r="H1044" i="29"/>
  <c r="H1263" i="29" s="1"/>
  <c r="H342" i="29"/>
  <c r="H390" i="29"/>
  <c r="H389" i="29" s="1"/>
  <c r="H429" i="29"/>
  <c r="H537" i="29"/>
  <c r="H536" i="29"/>
  <c r="H1164" i="29"/>
  <c r="H81" i="29"/>
  <c r="H675" i="29"/>
  <c r="H674" i="29"/>
  <c r="H796" i="29"/>
  <c r="H797" i="29"/>
  <c r="H1176" i="29"/>
  <c r="H458" i="29"/>
  <c r="H457" i="29" s="1"/>
  <c r="H456" i="29" s="1"/>
  <c r="H942" i="29"/>
  <c r="H938" i="29" s="1"/>
  <c r="G278" i="29"/>
  <c r="G279" i="29"/>
  <c r="G150" i="29"/>
  <c r="G149" i="29"/>
  <c r="G1268" i="29" s="1"/>
  <c r="G698" i="29"/>
  <c r="G128" i="29"/>
  <c r="G127" i="29" s="1"/>
  <c r="G122" i="29" s="1"/>
  <c r="G160" i="29"/>
  <c r="G159" i="29"/>
  <c r="G1270" i="29" s="1"/>
  <c r="G675" i="29"/>
  <c r="G674" i="29"/>
  <c r="G174" i="29"/>
  <c r="G330" i="29"/>
  <c r="G640" i="29"/>
  <c r="G562" i="29"/>
  <c r="G561" i="29" s="1"/>
  <c r="G560" i="29" s="1"/>
  <c r="G559" i="29" s="1"/>
  <c r="G630" i="29"/>
  <c r="G1245" i="29"/>
  <c r="G999" i="29"/>
  <c r="G998" i="29" s="1"/>
  <c r="G997" i="29" s="1"/>
  <c r="G996" i="29" s="1"/>
  <c r="G1116" i="29"/>
  <c r="G52" i="29"/>
  <c r="G51" i="29" s="1"/>
  <c r="G76" i="29"/>
  <c r="G182" i="29"/>
  <c r="G181" i="29" s="1"/>
  <c r="G321" i="29"/>
  <c r="G317" i="29" s="1"/>
  <c r="G350" i="29"/>
  <c r="G579" i="29"/>
  <c r="G578" i="29" s="1"/>
  <c r="G577" i="29" s="1"/>
  <c r="G576" i="29" s="1"/>
  <c r="G623" i="29"/>
  <c r="G711" i="29"/>
  <c r="G81" i="29"/>
  <c r="G262" i="29"/>
  <c r="G261" i="29" s="1"/>
  <c r="G1264" i="29" s="1"/>
  <c r="G418" i="29"/>
  <c r="G15" i="29"/>
  <c r="G14" i="29" s="1"/>
  <c r="G13" i="29" s="1"/>
  <c r="G12" i="29" s="1"/>
  <c r="G11" i="29" s="1"/>
  <c r="G106" i="29"/>
  <c r="G105" i="29" s="1"/>
  <c r="G104" i="29" s="1"/>
  <c r="G1260" i="29"/>
  <c r="G429" i="29"/>
  <c r="G478" i="29"/>
  <c r="G474" i="29" s="1"/>
  <c r="G469" i="29" s="1"/>
  <c r="G858" i="29"/>
  <c r="G1044" i="29"/>
  <c r="G1263" i="29" s="1"/>
  <c r="G343" i="29"/>
  <c r="G342" i="29"/>
  <c r="G504" i="29"/>
  <c r="G498" i="29" s="1"/>
  <c r="G497" i="29" s="1"/>
  <c r="G496" i="29" s="1"/>
  <c r="G1256" i="29"/>
  <c r="G232" i="29"/>
  <c r="G796" i="29"/>
  <c r="G797" i="29"/>
  <c r="G537" i="29"/>
  <c r="G536" i="29"/>
  <c r="G291" i="29"/>
  <c r="G286" i="29" s="1"/>
  <c r="G285" i="29" s="1"/>
  <c r="G284" i="29" s="1"/>
  <c r="G283" i="29" s="1"/>
  <c r="G1164" i="29"/>
  <c r="G777" i="29"/>
  <c r="G1016" i="29"/>
  <c r="G1028" i="29"/>
  <c r="AL1227" i="29"/>
  <c r="G1143" i="29"/>
  <c r="F175" i="30" l="1"/>
  <c r="F174" i="30" s="1"/>
  <c r="F173" i="30" s="1"/>
  <c r="G349" i="29"/>
  <c r="G348" i="29" s="1"/>
  <c r="G347" i="29" s="1"/>
  <c r="H937" i="29"/>
  <c r="H936" i="29" s="1"/>
  <c r="H935" i="29" s="1"/>
  <c r="H349" i="29"/>
  <c r="H348" i="29" s="1"/>
  <c r="H347" i="29" s="1"/>
  <c r="G937" i="29"/>
  <c r="G936" i="29" s="1"/>
  <c r="G935" i="29" s="1"/>
  <c r="G1142" i="29"/>
  <c r="G1141" i="29" s="1"/>
  <c r="G1168" i="29"/>
  <c r="G1156" i="29" s="1"/>
  <c r="H809" i="29"/>
  <c r="H808" i="29" s="1"/>
  <c r="G809" i="29"/>
  <c r="G808" i="29" s="1"/>
  <c r="H825" i="29"/>
  <c r="G685" i="29"/>
  <c r="G680" i="29" s="1"/>
  <c r="G679" i="29" s="1"/>
  <c r="G379" i="29"/>
  <c r="G425" i="30"/>
  <c r="G420" i="30" s="1"/>
  <c r="F811" i="30"/>
  <c r="F349" i="30"/>
  <c r="D30" i="31" s="1"/>
  <c r="G987" i="29"/>
  <c r="G982" i="29"/>
  <c r="G981" i="29" s="1"/>
  <c r="G974" i="29" s="1"/>
  <c r="E30" i="31"/>
  <c r="H762" i="32"/>
  <c r="H760" i="32"/>
  <c r="H759" i="32" s="1"/>
  <c r="H758" i="32" s="1"/>
  <c r="H757" i="32" s="1"/>
  <c r="H756" i="32" s="1"/>
  <c r="G439" i="32"/>
  <c r="G438" i="32" s="1"/>
  <c r="G433" i="32" s="1"/>
  <c r="G432" i="32" s="1"/>
  <c r="G431" i="32" s="1"/>
  <c r="G404" i="32" s="1"/>
  <c r="G441" i="32"/>
  <c r="G281" i="32"/>
  <c r="G279" i="32"/>
  <c r="G278" i="32" s="1"/>
  <c r="G277" i="32" s="1"/>
  <c r="G276" i="32" s="1"/>
  <c r="G275" i="32" s="1"/>
  <c r="G108" i="32"/>
  <c r="G106" i="32"/>
  <c r="G105" i="32" s="1"/>
  <c r="D26" i="31"/>
  <c r="D23" i="31" s="1"/>
  <c r="F269" i="30"/>
  <c r="K269" i="30" s="1"/>
  <c r="G811" i="30"/>
  <c r="H706" i="32"/>
  <c r="H705" i="32" s="1"/>
  <c r="H708" i="32"/>
  <c r="G508" i="32"/>
  <c r="G510" i="32"/>
  <c r="H108" i="32"/>
  <c r="H106" i="32"/>
  <c r="H105" i="32" s="1"/>
  <c r="H281" i="32"/>
  <c r="H279" i="32"/>
  <c r="H278" i="32" s="1"/>
  <c r="H277" i="32" s="1"/>
  <c r="H276" i="32" s="1"/>
  <c r="H275" i="32" s="1"/>
  <c r="H513" i="32"/>
  <c r="H511" i="32"/>
  <c r="G497" i="30"/>
  <c r="G493" i="30" s="1"/>
  <c r="G492" i="30" s="1"/>
  <c r="G476" i="30" s="1"/>
  <c r="E32" i="31" s="1"/>
  <c r="H770" i="32"/>
  <c r="H768" i="32"/>
  <c r="H767" i="32" s="1"/>
  <c r="H766" i="32" s="1"/>
  <c r="H765" i="32" s="1"/>
  <c r="H764" i="32" s="1"/>
  <c r="H763" i="32" s="1"/>
  <c r="G853" i="29"/>
  <c r="G1258" i="29" s="1"/>
  <c r="H1198" i="29"/>
  <c r="H1197" i="29" s="1"/>
  <c r="H1196" i="29" s="1"/>
  <c r="H1195" i="29" s="1"/>
  <c r="H1194" i="29" s="1"/>
  <c r="G175" i="30"/>
  <c r="G174" i="30" s="1"/>
  <c r="G173" i="30" s="1"/>
  <c r="E18" i="31" s="1"/>
  <c r="G104" i="32"/>
  <c r="G102" i="32"/>
  <c r="G101" i="32" s="1"/>
  <c r="G468" i="30"/>
  <c r="G467" i="30"/>
  <c r="H52" i="32"/>
  <c r="H50" i="32"/>
  <c r="H45" i="32" s="1"/>
  <c r="H44" i="32" s="1"/>
  <c r="H43" i="32" s="1"/>
  <c r="H31" i="32" s="1"/>
  <c r="G524" i="30"/>
  <c r="G523" i="30" s="1"/>
  <c r="E34" i="31" s="1"/>
  <c r="G762" i="32"/>
  <c r="G760" i="32"/>
  <c r="G759" i="32" s="1"/>
  <c r="G758" i="32" s="1"/>
  <c r="G757" i="32" s="1"/>
  <c r="G756" i="32" s="1"/>
  <c r="E24" i="31"/>
  <c r="E23" i="31" s="1"/>
  <c r="G269" i="30"/>
  <c r="F588" i="30"/>
  <c r="F583" i="30" s="1"/>
  <c r="F582" i="30" s="1"/>
  <c r="D35" i="31" s="1"/>
  <c r="G293" i="32"/>
  <c r="G287" i="32"/>
  <c r="H439" i="32"/>
  <c r="H438" i="32" s="1"/>
  <c r="H433" i="32" s="1"/>
  <c r="H432" i="32" s="1"/>
  <c r="H431" i="32" s="1"/>
  <c r="H404" i="32" s="1"/>
  <c r="H441" i="32"/>
  <c r="G52" i="32"/>
  <c r="G50" i="32"/>
  <c r="G45" i="32" s="1"/>
  <c r="G44" i="32" s="1"/>
  <c r="G43" i="32" s="1"/>
  <c r="G194" i="32"/>
  <c r="G193" i="32" s="1"/>
  <c r="G196" i="32"/>
  <c r="H188" i="32"/>
  <c r="H186" i="32"/>
  <c r="H185" i="32" s="1"/>
  <c r="H180" i="32" s="1"/>
  <c r="H170" i="32" s="1"/>
  <c r="H169" i="32" s="1"/>
  <c r="H724" i="32"/>
  <c r="H723" i="32" s="1"/>
  <c r="H726" i="32"/>
  <c r="H1142" i="29"/>
  <c r="H1141" i="29" s="1"/>
  <c r="H737" i="32"/>
  <c r="H735" i="32"/>
  <c r="H734" i="32" s="1"/>
  <c r="E48" i="31"/>
  <c r="E47" i="31" s="1"/>
  <c r="G982" i="30"/>
  <c r="H287" i="32"/>
  <c r="H293" i="32"/>
  <c r="H104" i="32"/>
  <c r="H102" i="32"/>
  <c r="H101" i="32" s="1"/>
  <c r="G706" i="32"/>
  <c r="G708" i="32"/>
  <c r="F524" i="30"/>
  <c r="F523" i="30" s="1"/>
  <c r="F468" i="30"/>
  <c r="F467" i="30"/>
  <c r="L331" i="30"/>
  <c r="G23" i="32"/>
  <c r="G21" i="32"/>
  <c r="G20" i="32"/>
  <c r="G19" i="32" s="1"/>
  <c r="G18" i="32" s="1"/>
  <c r="G17" i="32" s="1"/>
  <c r="G9" i="32" s="1"/>
  <c r="G511" i="32"/>
  <c r="G513" i="32"/>
  <c r="H510" i="32"/>
  <c r="H508" i="32"/>
  <c r="G735" i="32"/>
  <c r="G734" i="32" s="1"/>
  <c r="G737" i="32"/>
  <c r="G726" i="32"/>
  <c r="G724" i="32"/>
  <c r="G188" i="32"/>
  <c r="G186" i="32"/>
  <c r="G185" i="32" s="1"/>
  <c r="E14" i="31"/>
  <c r="G242" i="30"/>
  <c r="E22" i="31"/>
  <c r="E21" i="31" s="1"/>
  <c r="G10" i="29"/>
  <c r="H10" i="29"/>
  <c r="E36" i="31"/>
  <c r="G202" i="29"/>
  <c r="G201" i="29" s="1"/>
  <c r="H1089" i="29"/>
  <c r="H1084" i="29" s="1"/>
  <c r="H1261" i="29" s="1"/>
  <c r="H522" i="29"/>
  <c r="H521" i="29" s="1"/>
  <c r="H1246" i="29" s="1"/>
  <c r="H982" i="29"/>
  <c r="H1251" i="29" s="1"/>
  <c r="G1242" i="29"/>
  <c r="H239" i="29"/>
  <c r="H238" i="29" s="1"/>
  <c r="H225" i="29" s="1"/>
  <c r="H1240" i="29" s="1"/>
  <c r="H1241" i="29" s="1"/>
  <c r="H558" i="29"/>
  <c r="H557" i="29" s="1"/>
  <c r="G825" i="29"/>
  <c r="G522" i="29"/>
  <c r="G521" i="29" s="1"/>
  <c r="G1246" i="29" s="1"/>
  <c r="H67" i="29"/>
  <c r="H1216" i="29" s="1"/>
  <c r="H173" i="29"/>
  <c r="H172" i="29" s="1"/>
  <c r="H171" i="29" s="1"/>
  <c r="H1225" i="29" s="1"/>
  <c r="H1226" i="29" s="1"/>
  <c r="H1015" i="29"/>
  <c r="H853" i="29"/>
  <c r="H1258" i="29" s="1"/>
  <c r="H1027" i="29"/>
  <c r="H1233" i="29" s="1"/>
  <c r="G1198" i="29"/>
  <c r="G1197" i="29" s="1"/>
  <c r="G1196" i="29" s="1"/>
  <c r="G1195" i="29" s="1"/>
  <c r="G1194" i="29" s="1"/>
  <c r="H1168" i="29"/>
  <c r="H1156" i="29" s="1"/>
  <c r="H1230" i="29"/>
  <c r="H202" i="29"/>
  <c r="H201" i="29" s="1"/>
  <c r="H618" i="29"/>
  <c r="H617" i="29" s="1"/>
  <c r="H680" i="29"/>
  <c r="H679" i="29" s="1"/>
  <c r="H899" i="29"/>
  <c r="G1015" i="29"/>
  <c r="G899" i="29"/>
  <c r="H455" i="29"/>
  <c r="H1236" i="29"/>
  <c r="G1027" i="29"/>
  <c r="G1230" i="29"/>
  <c r="G1089" i="29"/>
  <c r="G1084" i="29" s="1"/>
  <c r="G618" i="29"/>
  <c r="G617" i="29" s="1"/>
  <c r="G558" i="29"/>
  <c r="G557" i="29" s="1"/>
  <c r="H374" i="29"/>
  <c r="H373" i="29" s="1"/>
  <c r="H305" i="29"/>
  <c r="G305" i="29"/>
  <c r="G225" i="29"/>
  <c r="G1240" i="29" s="1"/>
  <c r="H1265" i="29"/>
  <c r="G67" i="29"/>
  <c r="H768" i="29"/>
  <c r="H247" i="29"/>
  <c r="G1265" i="29"/>
  <c r="G769" i="29"/>
  <c r="G768" i="29" s="1"/>
  <c r="G173" i="29"/>
  <c r="G172" i="29" s="1"/>
  <c r="G171" i="29" s="1"/>
  <c r="G1226" i="29" s="1"/>
  <c r="G1252" i="29"/>
  <c r="G247" i="29"/>
  <c r="G455" i="29"/>
  <c r="G1140" i="29" l="1"/>
  <c r="G375" i="29"/>
  <c r="G374" i="29" s="1"/>
  <c r="G807" i="30"/>
  <c r="G806" i="30" s="1"/>
  <c r="G805" i="30" s="1"/>
  <c r="F807" i="30"/>
  <c r="F806" i="30" s="1"/>
  <c r="F805" i="30" s="1"/>
  <c r="G414" i="30"/>
  <c r="G331" i="30" s="1"/>
  <c r="H1252" i="29"/>
  <c r="H99" i="32"/>
  <c r="H98" i="32" s="1"/>
  <c r="H97" i="32" s="1"/>
  <c r="H30" i="32" s="1"/>
  <c r="G1236" i="29"/>
  <c r="H807" i="29"/>
  <c r="H616" i="29" s="1"/>
  <c r="G807" i="29"/>
  <c r="G616" i="29" s="1"/>
  <c r="G1251" i="29"/>
  <c r="G9" i="30"/>
  <c r="G852" i="29"/>
  <c r="G851" i="29" s="1"/>
  <c r="G1243" i="29" s="1"/>
  <c r="G1244" i="29" s="1"/>
  <c r="G1216" i="29"/>
  <c r="H1140" i="29"/>
  <c r="G180" i="32"/>
  <c r="G170" i="32" s="1"/>
  <c r="G169" i="32" s="1"/>
  <c r="G147" i="32" s="1"/>
  <c r="H504" i="32"/>
  <c r="H147" i="32"/>
  <c r="H983" i="32" s="1"/>
  <c r="H700" i="32"/>
  <c r="H699" i="32" s="1"/>
  <c r="H698" i="32" s="1"/>
  <c r="H690" i="32" s="1"/>
  <c r="E33" i="31"/>
  <c r="E11" i="31"/>
  <c r="G522" i="30"/>
  <c r="G504" i="32"/>
  <c r="D34" i="31"/>
  <c r="D33" i="31" s="1"/>
  <c r="F522" i="30"/>
  <c r="L522" i="30" s="1"/>
  <c r="G100" i="32"/>
  <c r="G99" i="32" s="1"/>
  <c r="G98" i="32" s="1"/>
  <c r="G97" i="32" s="1"/>
  <c r="H852" i="29"/>
  <c r="H851" i="29" s="1"/>
  <c r="H1243" i="29" s="1"/>
  <c r="H1244" i="29" s="1"/>
  <c r="H304" i="29"/>
  <c r="H303" i="29" s="1"/>
  <c r="H1259" i="29"/>
  <c r="H981" i="29"/>
  <c r="H1014" i="29"/>
  <c r="H1013" i="29" s="1"/>
  <c r="H50" i="29"/>
  <c r="H49" i="29" s="1"/>
  <c r="H32" i="29" s="1"/>
  <c r="H1221" i="29" s="1"/>
  <c r="G1241" i="29"/>
  <c r="H1253" i="29"/>
  <c r="H1078" i="29"/>
  <c r="K121" i="29"/>
  <c r="H1249" i="29"/>
  <c r="G1014" i="29"/>
  <c r="G1013" i="29" s="1"/>
  <c r="G1261" i="29"/>
  <c r="G1078" i="29"/>
  <c r="H372" i="29"/>
  <c r="H1237" i="29" s="1"/>
  <c r="G304" i="29"/>
  <c r="G303" i="29" s="1"/>
  <c r="G50" i="29"/>
  <c r="G49" i="29" s="1"/>
  <c r="G32" i="29" s="1"/>
  <c r="G1253" i="29"/>
  <c r="G1228" i="29"/>
  <c r="G1229" i="29" s="1"/>
  <c r="G373" i="29" l="1"/>
  <c r="G372" i="29" s="1"/>
  <c r="G1237" i="29" s="1"/>
  <c r="G1259" i="29"/>
  <c r="G1272" i="29" s="1"/>
  <c r="G985" i="32" s="1"/>
  <c r="G499" i="32"/>
  <c r="G498" i="32" s="1"/>
  <c r="G481" i="32" s="1"/>
  <c r="H499" i="32"/>
  <c r="H498" i="32" s="1"/>
  <c r="H481" i="32" s="1"/>
  <c r="E31" i="31"/>
  <c r="E28" i="31" s="1"/>
  <c r="F804" i="30"/>
  <c r="K804" i="30" s="1"/>
  <c r="D40" i="31"/>
  <c r="D39" i="31" s="1"/>
  <c r="G804" i="30"/>
  <c r="G1084" i="30" s="1"/>
  <c r="E40" i="31"/>
  <c r="E39" i="31" s="1"/>
  <c r="H974" i="29"/>
  <c r="H1228" i="29" s="1"/>
  <c r="H1229" i="29" s="1"/>
  <c r="H522" i="30"/>
  <c r="H995" i="29"/>
  <c r="H1231" i="29" s="1"/>
  <c r="H1232" i="29" s="1"/>
  <c r="I147" i="32"/>
  <c r="H1234" i="29"/>
  <c r="H1235" i="29" s="1"/>
  <c r="H843" i="29"/>
  <c r="G31" i="29"/>
  <c r="I10" i="29"/>
  <c r="H31" i="29"/>
  <c r="J10" i="29"/>
  <c r="G843" i="29"/>
  <c r="H1272" i="29"/>
  <c r="H985" i="32" s="1"/>
  <c r="H246" i="29"/>
  <c r="G995" i="29"/>
  <c r="G1231" i="29" s="1"/>
  <c r="G1234" i="29"/>
  <c r="G1235" i="29" s="1"/>
  <c r="H608" i="29"/>
  <c r="G246" i="29"/>
  <c r="G1221" i="29"/>
  <c r="G608" i="29"/>
  <c r="H986" i="32" l="1"/>
  <c r="E52" i="31"/>
  <c r="E56" i="31" s="1"/>
  <c r="H1248" i="29"/>
  <c r="H934" i="29"/>
  <c r="H1212" i="29" s="1"/>
  <c r="G934" i="29"/>
  <c r="G1212" i="29" s="1"/>
  <c r="H1247" i="29"/>
  <c r="G1247" i="29"/>
  <c r="H1215" i="29" l="1"/>
  <c r="D18" i="18"/>
  <c r="G1215" i="29"/>
  <c r="C18" i="18"/>
  <c r="F1020" i="3"/>
  <c r="D22" i="19" l="1"/>
  <c r="D21" i="19"/>
  <c r="D20" i="19"/>
  <c r="C22" i="19"/>
  <c r="C21" i="19"/>
  <c r="C20" i="19"/>
  <c r="D71" i="19" l="1"/>
  <c r="C71" i="19"/>
  <c r="D12" i="19" l="1"/>
  <c r="C12" i="19"/>
  <c r="D137" i="19"/>
  <c r="C137" i="19"/>
  <c r="C162" i="1"/>
  <c r="D103" i="19"/>
  <c r="C100" i="1" l="1"/>
  <c r="C22" i="1" l="1"/>
  <c r="C21" i="1"/>
  <c r="C20" i="1"/>
  <c r="G243" i="4" l="1"/>
  <c r="G195" i="5"/>
  <c r="G196" i="5" l="1"/>
  <c r="G194" i="5"/>
  <c r="G193" i="5" s="1"/>
  <c r="F901" i="3"/>
  <c r="F900" i="3" s="1"/>
  <c r="F899" i="3" s="1"/>
  <c r="F187" i="3"/>
  <c r="F186" i="3" s="1"/>
  <c r="F185" i="3" s="1"/>
  <c r="F184" i="3" s="1"/>
  <c r="F916" i="3" l="1"/>
  <c r="F915" i="3" s="1"/>
  <c r="F914" i="3"/>
  <c r="F913" i="3" s="1"/>
  <c r="F912" i="3"/>
  <c r="F911" i="3" s="1"/>
  <c r="F909" i="3"/>
  <c r="F908" i="3" s="1"/>
  <c r="F907" i="3" s="1"/>
  <c r="F867" i="3"/>
  <c r="F866" i="3" s="1"/>
  <c r="F865" i="3" s="1"/>
  <c r="G430" i="4"/>
  <c r="G429" i="4" s="1"/>
  <c r="F729" i="3"/>
  <c r="F664" i="3"/>
  <c r="F663" i="3" s="1"/>
  <c r="F662" i="3" s="1"/>
  <c r="F661" i="3" s="1"/>
  <c r="F660" i="3" s="1"/>
  <c r="F599" i="3"/>
  <c r="F598" i="3" s="1"/>
  <c r="F597" i="3" s="1"/>
  <c r="F534" i="3"/>
  <c r="F495" i="3"/>
  <c r="F494" i="3" s="1"/>
  <c r="F493" i="3" s="1"/>
  <c r="F487" i="3"/>
  <c r="F486" i="3" s="1"/>
  <c r="F485" i="3" s="1"/>
  <c r="C107" i="1"/>
  <c r="F126" i="3"/>
  <c r="F125" i="3" s="1"/>
  <c r="F124" i="3" s="1"/>
  <c r="F123" i="3"/>
  <c r="F122" i="3" s="1"/>
  <c r="F121" i="3" s="1"/>
  <c r="F120" i="3"/>
  <c r="F119" i="3" s="1"/>
  <c r="F118" i="3"/>
  <c r="G555" i="4"/>
  <c r="G554" i="4" s="1"/>
  <c r="F83" i="3"/>
  <c r="F81" i="3"/>
  <c r="F58" i="3"/>
  <c r="F52" i="3"/>
  <c r="F48" i="3"/>
  <c r="G83" i="4"/>
  <c r="G81" i="4"/>
  <c r="F32" i="3"/>
  <c r="F24" i="3"/>
  <c r="F14" i="3"/>
  <c r="F623" i="3"/>
  <c r="F910" i="3" l="1"/>
  <c r="F906" i="3" s="1"/>
  <c r="F116" i="3"/>
  <c r="F115" i="3" s="1"/>
  <c r="F117" i="3"/>
  <c r="G80" i="4"/>
  <c r="G1206" i="4"/>
  <c r="F35" i="3" s="1"/>
  <c r="G293" i="4"/>
  <c r="F870" i="3"/>
  <c r="F869" i="3" s="1"/>
  <c r="F868" i="3" s="1"/>
  <c r="F864" i="3" s="1"/>
  <c r="G696" i="4"/>
  <c r="G695" i="4" s="1"/>
  <c r="C113" i="1"/>
  <c r="F859" i="3" l="1"/>
  <c r="F858" i="3" s="1"/>
  <c r="F857" i="3" s="1"/>
  <c r="G625" i="5"/>
  <c r="G422" i="4"/>
  <c r="G421" i="4" s="1"/>
  <c r="G433" i="4"/>
  <c r="G432" i="4" s="1"/>
  <c r="G428" i="4" s="1"/>
  <c r="G111" i="5"/>
  <c r="C94" i="1"/>
  <c r="G485" i="5"/>
  <c r="G806" i="4"/>
  <c r="F659" i="3"/>
  <c r="C90" i="1"/>
  <c r="C12" i="1"/>
  <c r="F30" i="3"/>
  <c r="G1193" i="4"/>
  <c r="G1167" i="4"/>
  <c r="F502" i="3" s="1"/>
  <c r="F501" i="3" s="1"/>
  <c r="F500" i="3"/>
  <c r="F499" i="3" s="1"/>
  <c r="F498" i="3"/>
  <c r="F497" i="3" s="1"/>
  <c r="G1115" i="4"/>
  <c r="G1107" i="4"/>
  <c r="G1095" i="4"/>
  <c r="G990" i="4"/>
  <c r="G944" i="4"/>
  <c r="F46" i="3"/>
  <c r="G626" i="5" l="1"/>
  <c r="G624" i="5"/>
  <c r="G623" i="5" s="1"/>
  <c r="G486" i="5"/>
  <c r="G484" i="5"/>
  <c r="G483" i="5" s="1"/>
  <c r="G482" i="5" s="1"/>
  <c r="G481" i="5" s="1"/>
  <c r="G480" i="5" s="1"/>
  <c r="F658" i="3"/>
  <c r="F657" i="3" s="1"/>
  <c r="F656" i="3" s="1"/>
  <c r="G359" i="5"/>
  <c r="G888" i="4"/>
  <c r="G887" i="4" s="1"/>
  <c r="G886" i="4" s="1"/>
  <c r="F1024" i="3"/>
  <c r="F1023" i="3" s="1"/>
  <c r="F1022" i="3" s="1"/>
  <c r="F1021" i="3" s="1"/>
  <c r="G112" i="5"/>
  <c r="G110" i="5"/>
  <c r="G109" i="5" s="1"/>
  <c r="F496" i="3"/>
  <c r="F492" i="3" s="1"/>
  <c r="G257" i="4"/>
  <c r="F183" i="3"/>
  <c r="F182" i="3" s="1"/>
  <c r="F181" i="3" s="1"/>
  <c r="G258" i="4"/>
  <c r="G1151" i="4"/>
  <c r="G1150" i="4" s="1"/>
  <c r="G464" i="4"/>
  <c r="G463" i="4" s="1"/>
  <c r="G360" i="5" l="1"/>
  <c r="G358" i="5"/>
  <c r="G357" i="5" s="1"/>
  <c r="G356" i="5" s="1"/>
  <c r="G355" i="5" s="1"/>
  <c r="G1155" i="4"/>
  <c r="G877" i="4"/>
  <c r="F1006" i="30" s="1"/>
  <c r="F1002" i="30" s="1"/>
  <c r="F984" i="30" s="1"/>
  <c r="F983" i="30" s="1"/>
  <c r="D48" i="31" l="1"/>
  <c r="D47" i="31" s="1"/>
  <c r="F982" i="30"/>
  <c r="G1166" i="4"/>
  <c r="G1161" i="4" s="1"/>
  <c r="G1159" i="4"/>
  <c r="G1158" i="4" s="1"/>
  <c r="G1077" i="4"/>
  <c r="G982" i="32" s="1"/>
  <c r="G980" i="32" s="1"/>
  <c r="G979" i="32" s="1"/>
  <c r="G978" i="32" s="1"/>
  <c r="G977" i="32" s="1"/>
  <c r="G976" i="32" s="1"/>
  <c r="G975" i="32" s="1"/>
  <c r="K982" i="30" l="1"/>
  <c r="H982" i="30"/>
  <c r="G1157" i="4"/>
  <c r="G756" i="4" l="1"/>
  <c r="G755" i="4" s="1"/>
  <c r="G754" i="4" s="1"/>
  <c r="F558" i="3" l="1"/>
  <c r="G549" i="4" l="1"/>
  <c r="G547" i="4"/>
  <c r="G476" i="4"/>
  <c r="G475" i="4" s="1"/>
  <c r="G546" i="4" l="1"/>
  <c r="G137" i="4" l="1"/>
  <c r="G136" i="4" s="1"/>
  <c r="G135" i="4" s="1"/>
  <c r="G39" i="4" l="1"/>
  <c r="G68" i="4"/>
  <c r="G67" i="4" s="1"/>
  <c r="G17" i="4" l="1"/>
  <c r="G794" i="4" l="1"/>
  <c r="G793" i="4" s="1"/>
  <c r="G792" i="4" s="1"/>
  <c r="G552" i="4" l="1"/>
  <c r="G551" i="4" s="1"/>
  <c r="G545" i="4" s="1"/>
  <c r="G124" i="4" l="1"/>
  <c r="G123" i="4" s="1"/>
  <c r="G122" i="4" s="1"/>
  <c r="G544" i="4" l="1"/>
  <c r="G543" i="4" s="1"/>
  <c r="G542" i="4" s="1"/>
  <c r="G541" i="4" s="1"/>
  <c r="F159" i="3" l="1"/>
  <c r="F158" i="3" s="1"/>
  <c r="G582" i="4"/>
  <c r="F474" i="3" l="1"/>
  <c r="F473" i="3" s="1"/>
  <c r="F472" i="3" s="1"/>
  <c r="F471" i="3" s="1"/>
  <c r="D155" i="19" l="1"/>
  <c r="D154" i="19" s="1"/>
  <c r="D153" i="19" s="1"/>
  <c r="C155" i="19"/>
  <c r="C154" i="19" s="1"/>
  <c r="C153" i="19" s="1"/>
  <c r="C152" i="19"/>
  <c r="D152" i="19" s="1"/>
  <c r="C151" i="19"/>
  <c r="D151" i="19" s="1"/>
  <c r="C150" i="19"/>
  <c r="D150" i="19" s="1"/>
  <c r="D146" i="19"/>
  <c r="D145" i="19" s="1"/>
  <c r="C146" i="19"/>
  <c r="C145" i="19" s="1"/>
  <c r="D143" i="19"/>
  <c r="C143" i="19"/>
  <c r="D141" i="19"/>
  <c r="C141" i="19"/>
  <c r="C128" i="19"/>
  <c r="C121" i="19" s="1"/>
  <c r="C120" i="19" s="1"/>
  <c r="D128" i="19"/>
  <c r="D121" i="19" s="1"/>
  <c r="D102" i="19"/>
  <c r="C103" i="19"/>
  <c r="C102" i="19" s="1"/>
  <c r="D100" i="19"/>
  <c r="C100" i="19"/>
  <c r="D98" i="19"/>
  <c r="C98" i="19"/>
  <c r="D96" i="19"/>
  <c r="C96" i="19"/>
  <c r="D94" i="19"/>
  <c r="C94" i="19"/>
  <c r="D92" i="19"/>
  <c r="C92" i="19"/>
  <c r="D90" i="19"/>
  <c r="C90" i="19"/>
  <c r="D88" i="19"/>
  <c r="C88" i="19"/>
  <c r="D86" i="19"/>
  <c r="C86" i="19"/>
  <c r="D83" i="19"/>
  <c r="C83" i="19"/>
  <c r="D81" i="19"/>
  <c r="C81" i="19"/>
  <c r="D76" i="19"/>
  <c r="D75" i="19" s="1"/>
  <c r="C76" i="19"/>
  <c r="C75" i="19" s="1"/>
  <c r="D73" i="19"/>
  <c r="C73" i="19"/>
  <c r="D69" i="19"/>
  <c r="C69" i="19"/>
  <c r="D67" i="19"/>
  <c r="C67" i="19"/>
  <c r="D63" i="19"/>
  <c r="C63" i="19"/>
  <c r="D61" i="19"/>
  <c r="C61" i="19"/>
  <c r="D58" i="19"/>
  <c r="C58" i="19"/>
  <c r="D57" i="19"/>
  <c r="C57" i="19"/>
  <c r="D54" i="19"/>
  <c r="D51" i="19" s="1"/>
  <c r="D50" i="19" s="1"/>
  <c r="C54" i="19"/>
  <c r="C51" i="19" s="1"/>
  <c r="C50" i="19" s="1"/>
  <c r="D48" i="19"/>
  <c r="C48" i="19"/>
  <c r="D46" i="19"/>
  <c r="C46" i="19"/>
  <c r="D42" i="19"/>
  <c r="D41" i="19" s="1"/>
  <c r="C42" i="19"/>
  <c r="C41" i="19" s="1"/>
  <c r="D39" i="19"/>
  <c r="C39" i="19"/>
  <c r="D37" i="19"/>
  <c r="C37" i="19"/>
  <c r="D34" i="19"/>
  <c r="C34" i="19"/>
  <c r="D31" i="19"/>
  <c r="C31" i="19"/>
  <c r="D29" i="19"/>
  <c r="C29" i="19"/>
  <c r="D27" i="19"/>
  <c r="C27" i="19"/>
  <c r="D25" i="19"/>
  <c r="C25" i="19"/>
  <c r="D19" i="19"/>
  <c r="D18" i="19" s="1"/>
  <c r="C19" i="19"/>
  <c r="C18" i="19" s="1"/>
  <c r="D11" i="19"/>
  <c r="C11" i="19"/>
  <c r="C66" i="19" l="1"/>
  <c r="C65" i="19" s="1"/>
  <c r="C80" i="19"/>
  <c r="D66" i="19"/>
  <c r="D65" i="19" s="1"/>
  <c r="D60" i="19"/>
  <c r="D80" i="19"/>
  <c r="C45" i="19"/>
  <c r="C44" i="19" s="1"/>
  <c r="C60" i="19"/>
  <c r="D45" i="19"/>
  <c r="D44" i="19" s="1"/>
  <c r="C36" i="19"/>
  <c r="C33" i="19" s="1"/>
  <c r="C24" i="19"/>
  <c r="C23" i="19" s="1"/>
  <c r="D36" i="19"/>
  <c r="D24" i="19"/>
  <c r="D23" i="19" s="1"/>
  <c r="D120" i="19"/>
  <c r="D119" i="19" s="1"/>
  <c r="C119" i="19"/>
  <c r="C149" i="19"/>
  <c r="C148" i="19" s="1"/>
  <c r="D85" i="19"/>
  <c r="C85" i="19"/>
  <c r="D149" i="19"/>
  <c r="D148" i="19" s="1"/>
  <c r="F515" i="3"/>
  <c r="F514" i="3" s="1"/>
  <c r="F1005" i="3"/>
  <c r="F1004" i="3" s="1"/>
  <c r="F1003" i="3" s="1"/>
  <c r="G436" i="5"/>
  <c r="G437" i="5" s="1"/>
  <c r="D79" i="19" l="1"/>
  <c r="D78" i="19" s="1"/>
  <c r="D33" i="19"/>
  <c r="D10" i="19" s="1"/>
  <c r="C79" i="19"/>
  <c r="C78" i="19" s="1"/>
  <c r="C10" i="19"/>
  <c r="G435" i="5"/>
  <c r="G434" i="5" s="1"/>
  <c r="D160" i="19" l="1"/>
  <c r="G78" i="19"/>
  <c r="C160" i="19"/>
  <c r="F78" i="19"/>
  <c r="I1215" i="29"/>
  <c r="I9" i="29"/>
  <c r="J1215" i="29"/>
  <c r="G1233" i="29" s="1"/>
  <c r="J9" i="29"/>
  <c r="G1217" i="29"/>
  <c r="D161" i="19"/>
  <c r="H1217" i="29"/>
  <c r="D159" i="19"/>
  <c r="D17" i="18" s="1"/>
  <c r="C159" i="19"/>
  <c r="C17" i="18" s="1"/>
  <c r="C161" i="19"/>
  <c r="G1249" i="29" l="1"/>
  <c r="G1232" i="29"/>
  <c r="G1248" i="29" s="1"/>
  <c r="G868" i="4" l="1"/>
  <c r="G869" i="4"/>
  <c r="G1179" i="4" l="1"/>
  <c r="AK1227" i="4" l="1"/>
  <c r="G196" i="4"/>
  <c r="G195" i="4" s="1"/>
  <c r="G198" i="4" l="1"/>
  <c r="F267" i="3"/>
  <c r="G933" i="5"/>
  <c r="G1227" i="4"/>
  <c r="G194" i="4"/>
  <c r="G949" i="5"/>
  <c r="G948" i="5" l="1"/>
  <c r="G947" i="5" s="1"/>
  <c r="G946" i="5" s="1"/>
  <c r="G945" i="5" s="1"/>
  <c r="G944" i="5" s="1"/>
  <c r="G943" i="5" s="1"/>
  <c r="G1138" i="4" l="1"/>
  <c r="G1137" i="4" l="1"/>
  <c r="G1136" i="4" s="1"/>
  <c r="AJ1227" i="4"/>
  <c r="F465" i="3" l="1"/>
  <c r="F464" i="3" s="1"/>
  <c r="F463" i="3" s="1"/>
  <c r="F462" i="3" s="1"/>
  <c r="G768" i="5"/>
  <c r="G767" i="5" s="1"/>
  <c r="G766" i="5" s="1"/>
  <c r="G765" i="5" s="1"/>
  <c r="G764" i="5" s="1"/>
  <c r="G763" i="5" s="1"/>
  <c r="G1129" i="4"/>
  <c r="AI1227" i="4"/>
  <c r="G1128" i="4" l="1"/>
  <c r="G1127" i="4" s="1"/>
  <c r="F1019" i="3" l="1"/>
  <c r="F1018" i="3" s="1"/>
  <c r="F1017" i="3" s="1"/>
  <c r="G883" i="4" l="1"/>
  <c r="G882" i="4" s="1"/>
  <c r="G38" i="4" l="1"/>
  <c r="F16" i="3" s="1"/>
  <c r="G1175" i="4" l="1"/>
  <c r="F511" i="30" s="1"/>
  <c r="F508" i="30" s="1"/>
  <c r="G1171" i="4"/>
  <c r="F507" i="30" s="1"/>
  <c r="F506" i="30" s="1"/>
  <c r="F505" i="30" l="1"/>
  <c r="F504" i="30" s="1"/>
  <c r="F492" i="30" s="1"/>
  <c r="F476" i="30" s="1"/>
  <c r="D32" i="31" s="1"/>
  <c r="F920" i="3"/>
  <c r="F919" i="3" s="1"/>
  <c r="F918" i="3" s="1"/>
  <c r="F917" i="3" s="1"/>
  <c r="F905" i="3" s="1"/>
  <c r="F790" i="3"/>
  <c r="F789" i="3" s="1"/>
  <c r="F788" i="3" s="1"/>
  <c r="G427" i="4"/>
  <c r="G626" i="32" l="1"/>
  <c r="F860" i="30"/>
  <c r="F859" i="30" s="1"/>
  <c r="F858" i="30" s="1"/>
  <c r="F857" i="30" s="1"/>
  <c r="G369" i="4"/>
  <c r="G368" i="4" s="1"/>
  <c r="G367" i="4" s="1"/>
  <c r="G366" i="4" s="1"/>
  <c r="G472" i="4"/>
  <c r="G471" i="4" s="1"/>
  <c r="G470" i="4" s="1"/>
  <c r="G625" i="32" l="1"/>
  <c r="G624" i="32" s="1"/>
  <c r="G623" i="32" s="1"/>
  <c r="G622" i="32" s="1"/>
  <c r="G621" i="32" s="1"/>
  <c r="G627" i="32"/>
  <c r="AH1227" i="4"/>
  <c r="G932" i="5"/>
  <c r="G931" i="5" s="1"/>
  <c r="G193" i="4"/>
  <c r="G922" i="32" l="1"/>
  <c r="F265" i="30"/>
  <c r="F264" i="30" s="1"/>
  <c r="F263" i="30" s="1"/>
  <c r="F262" i="30" s="1"/>
  <c r="F266" i="3"/>
  <c r="F265" i="3" s="1"/>
  <c r="G934" i="5"/>
  <c r="F261" i="30" l="1"/>
  <c r="F243" i="30"/>
  <c r="G923" i="32"/>
  <c r="G921" i="32"/>
  <c r="G920" i="32" s="1"/>
  <c r="G919" i="32" s="1"/>
  <c r="G918" i="32" s="1"/>
  <c r="G917" i="32" s="1"/>
  <c r="G855" i="32" s="1"/>
  <c r="I855" i="32" s="1"/>
  <c r="F510" i="3"/>
  <c r="D22" i="31" l="1"/>
  <c r="D21" i="31" s="1"/>
  <c r="F242" i="30"/>
  <c r="F509" i="3"/>
  <c r="C160" i="1" l="1"/>
  <c r="G607" i="4"/>
  <c r="F968" i="30" s="1"/>
  <c r="F967" i="30" s="1"/>
  <c r="F966" i="30" s="1"/>
  <c r="F965" i="30" l="1"/>
  <c r="F964" i="30" s="1"/>
  <c r="F928" i="30" s="1"/>
  <c r="K928" i="30" s="1"/>
  <c r="L928" i="30"/>
  <c r="F793" i="3"/>
  <c r="F792" i="3" s="1"/>
  <c r="G828" i="4"/>
  <c r="AG1227" i="4" l="1"/>
  <c r="G632" i="5" l="1"/>
  <c r="G633" i="5" s="1"/>
  <c r="F863" i="3"/>
  <c r="F862" i="3" s="1"/>
  <c r="F861" i="3" s="1"/>
  <c r="F860" i="3" s="1"/>
  <c r="G1125" i="4" l="1"/>
  <c r="F461" i="3"/>
  <c r="F460" i="3" s="1"/>
  <c r="F459" i="3" s="1"/>
  <c r="F458" i="3" s="1"/>
  <c r="G761" i="5"/>
  <c r="G631" i="5"/>
  <c r="G630" i="5" s="1"/>
  <c r="G629" i="5" s="1"/>
  <c r="G628" i="5" s="1"/>
  <c r="G627" i="5" s="1"/>
  <c r="G426" i="4"/>
  <c r="G1124" i="4" l="1"/>
  <c r="G1123" i="4" s="1"/>
  <c r="G425" i="4"/>
  <c r="G424" i="4" s="1"/>
  <c r="G762" i="5"/>
  <c r="G760" i="5"/>
  <c r="G759" i="5" s="1"/>
  <c r="G758" i="5" s="1"/>
  <c r="G757" i="5" s="1"/>
  <c r="G756" i="5" s="1"/>
  <c r="G667" i="4" l="1"/>
  <c r="G666" i="4" s="1"/>
  <c r="G665" i="4" s="1"/>
  <c r="AF1227" i="4" l="1"/>
  <c r="G332" i="5"/>
  <c r="G331" i="5" s="1"/>
  <c r="G330" i="5" l="1"/>
  <c r="G329" i="5" s="1"/>
  <c r="G328" i="5" s="1"/>
  <c r="G327" i="5" s="1"/>
  <c r="F570" i="3"/>
  <c r="F569" i="3" s="1"/>
  <c r="G333" i="5"/>
  <c r="G361" i="4"/>
  <c r="F568" i="3" l="1"/>
  <c r="F567" i="3" s="1"/>
  <c r="G929" i="5" l="1"/>
  <c r="F264" i="3"/>
  <c r="F263" i="3" s="1"/>
  <c r="F262" i="3" s="1"/>
  <c r="F261" i="3" s="1"/>
  <c r="F260" i="3" s="1"/>
  <c r="G192" i="4"/>
  <c r="G191" i="4" l="1"/>
  <c r="G190" i="4" s="1"/>
  <c r="G189" i="4" s="1"/>
  <c r="G663" i="4"/>
  <c r="G662" i="4" s="1"/>
  <c r="G661" i="4" s="1"/>
  <c r="F647" i="3"/>
  <c r="F646" i="3" s="1"/>
  <c r="F645" i="3" s="1"/>
  <c r="F644" i="3" s="1"/>
  <c r="G320" i="5" l="1"/>
  <c r="G319" i="5" s="1"/>
  <c r="G318" i="5" s="1"/>
  <c r="G317" i="5" s="1"/>
  <c r="F566" i="3"/>
  <c r="F565" i="3" s="1"/>
  <c r="F564" i="3" s="1"/>
  <c r="F563" i="3" s="1"/>
  <c r="G325" i="5"/>
  <c r="G324" i="5" s="1"/>
  <c r="G323" i="5" s="1"/>
  <c r="G322" i="5" s="1"/>
  <c r="G744" i="4"/>
  <c r="G743" i="4" s="1"/>
  <c r="G742" i="4" s="1"/>
  <c r="C173" i="1"/>
  <c r="G316" i="5" l="1"/>
  <c r="G315" i="5" s="1"/>
  <c r="G321" i="5"/>
  <c r="G326" i="5"/>
  <c r="G928" i="5" l="1"/>
  <c r="G927" i="5" s="1"/>
  <c r="G926" i="5" l="1"/>
  <c r="G925" i="5" s="1"/>
  <c r="G924" i="5" s="1"/>
  <c r="G930" i="5"/>
  <c r="G1109" i="4" l="1"/>
  <c r="G728" i="32" l="1"/>
  <c r="F445" i="30"/>
  <c r="F444" i="30" s="1"/>
  <c r="F441" i="30" s="1"/>
  <c r="G1134" i="4"/>
  <c r="G729" i="32" l="1"/>
  <c r="G727" i="32"/>
  <c r="G723" i="32" s="1"/>
  <c r="G1133" i="4"/>
  <c r="G1132" i="4" s="1"/>
  <c r="G1131" i="4" s="1"/>
  <c r="G107" i="5" l="1"/>
  <c r="F180" i="3"/>
  <c r="F179" i="3" s="1"/>
  <c r="F178" i="3" s="1"/>
  <c r="G255" i="4"/>
  <c r="G254" i="4" s="1"/>
  <c r="G108" i="5" l="1"/>
  <c r="G106" i="5"/>
  <c r="G105" i="5" s="1"/>
  <c r="G313" i="5"/>
  <c r="G312" i="5" s="1"/>
  <c r="G311" i="5" s="1"/>
  <c r="F643" i="3"/>
  <c r="F642" i="3" s="1"/>
  <c r="F641" i="3" s="1"/>
  <c r="F640" i="3" s="1"/>
  <c r="G310" i="5" l="1"/>
  <c r="G309" i="5" s="1"/>
  <c r="G308" i="5" s="1"/>
  <c r="G314" i="5" s="1"/>
  <c r="G740" i="4" l="1"/>
  <c r="G739" i="4" s="1"/>
  <c r="G738" i="4" s="1"/>
  <c r="AL1226" i="4" l="1"/>
  <c r="AN1226" i="4" s="1"/>
  <c r="F347" i="3" l="1"/>
  <c r="F346" i="3" s="1"/>
  <c r="F345" i="3" s="1"/>
  <c r="C186" i="1"/>
  <c r="C185" i="1" s="1"/>
  <c r="G119" i="5"/>
  <c r="G120" i="5" s="1"/>
  <c r="F950" i="3"/>
  <c r="F949" i="3" s="1"/>
  <c r="G507" i="4"/>
  <c r="G1011" i="4" l="1"/>
  <c r="G1010" i="4" s="1"/>
  <c r="G118" i="5"/>
  <c r="G394" i="5" l="1"/>
  <c r="G393" i="5" s="1"/>
  <c r="G392" i="5" s="1"/>
  <c r="G395" i="5" l="1"/>
  <c r="F506" i="3" l="1"/>
  <c r="F505" i="3" s="1"/>
  <c r="G1170" i="4"/>
  <c r="G15" i="6" l="1"/>
  <c r="G14" i="6" s="1"/>
  <c r="G13" i="6" s="1"/>
  <c r="G12" i="6" s="1"/>
  <c r="G11" i="6" s="1"/>
  <c r="G16" i="6" s="1"/>
  <c r="F678" i="3" l="1"/>
  <c r="F677" i="3" s="1"/>
  <c r="F676" i="3" s="1"/>
  <c r="G167" i="5"/>
  <c r="G166" i="5" s="1"/>
  <c r="G165" i="5" s="1"/>
  <c r="G168" i="5" s="1"/>
  <c r="G775" i="4"/>
  <c r="G774" i="4" s="1"/>
  <c r="F562" i="3" l="1"/>
  <c r="F639" i="3" l="1"/>
  <c r="F23" i="3"/>
  <c r="F22" i="3" s="1"/>
  <c r="F21" i="3" s="1"/>
  <c r="F140" i="3"/>
  <c r="F423" i="3" l="1"/>
  <c r="F823" i="3"/>
  <c r="F822" i="3" s="1"/>
  <c r="F821" i="3" s="1"/>
  <c r="F709" i="3"/>
  <c r="F708" i="3" s="1"/>
  <c r="F707" i="3" s="1"/>
  <c r="G522" i="5"/>
  <c r="G521" i="5" s="1"/>
  <c r="G520" i="5" s="1"/>
  <c r="G523" i="5" s="1"/>
  <c r="G503" i="5"/>
  <c r="G502" i="5" s="1"/>
  <c r="G501" i="5" s="1"/>
  <c r="G504" i="5" s="1"/>
  <c r="G314" i="4"/>
  <c r="G313" i="4" s="1"/>
  <c r="G386" i="4"/>
  <c r="G385" i="4" s="1"/>
  <c r="D169" i="1"/>
  <c r="C168" i="1" l="1"/>
  <c r="AL1225" i="4" l="1"/>
  <c r="AL1227" i="4"/>
  <c r="F655" i="3" l="1"/>
  <c r="F654" i="3" s="1"/>
  <c r="F653" i="3" s="1"/>
  <c r="F652" i="3" s="1"/>
  <c r="D89" i="1"/>
  <c r="G353" i="5"/>
  <c r="G352" i="5" s="1"/>
  <c r="G351" i="5" s="1"/>
  <c r="G350" i="5" s="1"/>
  <c r="G349" i="5" s="1"/>
  <c r="G348" i="5" s="1"/>
  <c r="G354" i="5" s="1"/>
  <c r="G752" i="4"/>
  <c r="G751" i="4" s="1"/>
  <c r="C88" i="1"/>
  <c r="D87" i="1"/>
  <c r="C86" i="1"/>
  <c r="G750" i="4" l="1"/>
  <c r="D105" i="1"/>
  <c r="C83" i="1" l="1"/>
  <c r="F931" i="3" l="1"/>
  <c r="F930" i="3" s="1"/>
  <c r="F929" i="3" s="1"/>
  <c r="F927" i="3" s="1"/>
  <c r="F734" i="3"/>
  <c r="F731" i="3" s="1"/>
  <c r="G674" i="5"/>
  <c r="G675" i="5" s="1"/>
  <c r="G689" i="5"/>
  <c r="G688" i="5" s="1"/>
  <c r="G687" i="5" s="1"/>
  <c r="G690" i="5" s="1"/>
  <c r="G494" i="4"/>
  <c r="G492" i="4"/>
  <c r="G339" i="4"/>
  <c r="G337" i="4"/>
  <c r="G493" i="4" l="1"/>
  <c r="G491" i="4" s="1"/>
  <c r="G338" i="4"/>
  <c r="G336" i="4" s="1"/>
  <c r="F928" i="3"/>
  <c r="F733" i="3"/>
  <c r="F732" i="3" s="1"/>
  <c r="F730" i="3" s="1"/>
  <c r="G306" i="5" l="1"/>
  <c r="G305" i="5" s="1"/>
  <c r="G304" i="5" s="1"/>
  <c r="G303" i="5" s="1"/>
  <c r="G302" i="5" l="1"/>
  <c r="G301" i="5" s="1"/>
  <c r="G307" i="5"/>
  <c r="F848" i="3" l="1"/>
  <c r="F635" i="3"/>
  <c r="F422" i="3"/>
  <c r="F421" i="3" s="1"/>
  <c r="F420" i="3" s="1"/>
  <c r="F638" i="3"/>
  <c r="F637" i="3" s="1"/>
  <c r="F636" i="3" s="1"/>
  <c r="D107" i="1" l="1"/>
  <c r="D109" i="1"/>
  <c r="D167" i="1"/>
  <c r="D127" i="1"/>
  <c r="C110" i="1"/>
  <c r="E105" i="1"/>
  <c r="D123" i="1"/>
  <c r="G736" i="4"/>
  <c r="G735" i="4" s="1"/>
  <c r="G734" i="4" s="1"/>
  <c r="G1087" i="4" l="1"/>
  <c r="G703" i="5"/>
  <c r="G702" i="5" s="1"/>
  <c r="G701" i="5" s="1"/>
  <c r="D111" i="1"/>
  <c r="G1086" i="4" l="1"/>
  <c r="G1085" i="4" s="1"/>
  <c r="G704" i="5"/>
  <c r="G700" i="5"/>
  <c r="G699" i="5" s="1"/>
  <c r="G382" i="5" l="1"/>
  <c r="G381" i="5" s="1"/>
  <c r="G380" i="5" l="1"/>
  <c r="G383" i="5" l="1"/>
  <c r="G379" i="5"/>
  <c r="G183" i="5" l="1"/>
  <c r="G182" i="5" s="1"/>
  <c r="G181" i="5" s="1"/>
  <c r="G184" i="5" l="1"/>
  <c r="D176" i="1"/>
  <c r="D156" i="1"/>
  <c r="D125" i="1"/>
  <c r="D99" i="1"/>
  <c r="F634" i="3" l="1"/>
  <c r="F633" i="3" s="1"/>
  <c r="F632" i="3" s="1"/>
  <c r="F590" i="3"/>
  <c r="F589" i="3" s="1"/>
  <c r="F588" i="3" s="1"/>
  <c r="F139" i="3"/>
  <c r="F138" i="3" s="1"/>
  <c r="F137" i="3" s="1"/>
  <c r="F136" i="3" s="1"/>
  <c r="F135" i="3" s="1"/>
  <c r="D16" i="2" s="1"/>
  <c r="G28" i="4" l="1"/>
  <c r="G27" i="4" s="1"/>
  <c r="G26" i="4" s="1"/>
  <c r="G25" i="4" s="1"/>
  <c r="G24" i="4" s="1"/>
  <c r="G46" i="4" l="1"/>
  <c r="G45" i="4" s="1"/>
  <c r="G44" i="4" s="1"/>
  <c r="D120" i="1" l="1"/>
  <c r="D118" i="1" s="1"/>
  <c r="G43" i="4" l="1"/>
  <c r="G687" i="4"/>
  <c r="G686" i="4" s="1"/>
  <c r="C175" i="1"/>
  <c r="G299" i="5" l="1"/>
  <c r="G298" i="5" s="1"/>
  <c r="G297" i="5" s="1"/>
  <c r="G296" i="5" s="1"/>
  <c r="G295" i="5" s="1"/>
  <c r="G294" i="5" s="1"/>
  <c r="G732" i="4"/>
  <c r="G731" i="4" s="1"/>
  <c r="G730" i="4" s="1"/>
  <c r="G300" i="5" l="1"/>
  <c r="F29" i="3"/>
  <c r="F31" i="3"/>
  <c r="F28" i="3" l="1"/>
  <c r="G1202" i="4" l="1"/>
  <c r="G1200" i="4"/>
  <c r="G1199" i="4" l="1"/>
  <c r="G1172" i="4" l="1"/>
  <c r="G36" i="4" l="1"/>
  <c r="G41" i="4" l="1"/>
  <c r="G40" i="4" s="1"/>
  <c r="F19" i="3"/>
  <c r="G35" i="4"/>
  <c r="G34" i="4" l="1"/>
  <c r="G33" i="4" l="1"/>
  <c r="G32" i="4" s="1"/>
  <c r="G584" i="5" l="1"/>
  <c r="G585" i="5" s="1"/>
  <c r="G528" i="5"/>
  <c r="G527" i="5" s="1"/>
  <c r="G534" i="5"/>
  <c r="G533" i="5" s="1"/>
  <c r="K505" i="5"/>
  <c r="G614" i="5"/>
  <c r="G615" i="5" s="1"/>
  <c r="G607" i="5"/>
  <c r="G608" i="5" s="1"/>
  <c r="G163" i="5"/>
  <c r="G145" i="5"/>
  <c r="G144" i="5" s="1"/>
  <c r="G143" i="5" s="1"/>
  <c r="G142" i="5" s="1"/>
  <c r="G141" i="5" s="1"/>
  <c r="G132" i="5"/>
  <c r="G129" i="5"/>
  <c r="G128" i="5" s="1"/>
  <c r="G122" i="5"/>
  <c r="G103" i="5"/>
  <c r="G95" i="5"/>
  <c r="G88" i="5"/>
  <c r="G81" i="5"/>
  <c r="G74" i="5"/>
  <c r="G58" i="5"/>
  <c r="G51" i="5"/>
  <c r="G37" i="5"/>
  <c r="G121" i="5" l="1"/>
  <c r="G123" i="5"/>
  <c r="G583" i="5"/>
  <c r="G582" i="5" s="1"/>
  <c r="G581" i="5" s="1"/>
  <c r="G580" i="5" s="1"/>
  <c r="G535" i="5"/>
  <c r="G529" i="5"/>
  <c r="G606" i="5"/>
  <c r="G605" i="5" s="1"/>
  <c r="G613" i="5"/>
  <c r="G612" i="5" s="1"/>
  <c r="G611" i="5" s="1"/>
  <c r="G610" i="5" s="1"/>
  <c r="G609" i="5" s="1"/>
  <c r="G130" i="5"/>
  <c r="G146" i="5"/>
  <c r="G131" i="5"/>
  <c r="G127" i="5" s="1"/>
  <c r="G126" i="5" s="1"/>
  <c r="G125" i="5" s="1"/>
  <c r="G124" i="5" s="1"/>
  <c r="G15" i="5"/>
  <c r="G117" i="5" l="1"/>
  <c r="G116" i="5" s="1"/>
  <c r="G115" i="5" s="1"/>
  <c r="G114" i="5" s="1"/>
  <c r="G133" i="5"/>
  <c r="F847" i="3" l="1"/>
  <c r="F846" i="3" s="1"/>
  <c r="F962" i="3"/>
  <c r="F961" i="3" s="1"/>
  <c r="F960" i="3" s="1"/>
  <c r="F959" i="3" s="1"/>
  <c r="F958" i="3"/>
  <c r="F957" i="3" s="1"/>
  <c r="F956" i="3"/>
  <c r="F955" i="3" s="1"/>
  <c r="F952" i="3"/>
  <c r="F951" i="3" s="1"/>
  <c r="F948" i="3" l="1"/>
  <c r="F947" i="3" s="1"/>
  <c r="F954" i="3"/>
  <c r="F953" i="3" s="1"/>
  <c r="F450" i="3"/>
  <c r="F449" i="3" s="1"/>
  <c r="F448" i="3" s="1"/>
  <c r="F946" i="3" l="1"/>
  <c r="F96" i="3"/>
  <c r="F95" i="3" s="1"/>
  <c r="G158" i="5" l="1"/>
  <c r="G159" i="5" s="1"/>
  <c r="G153" i="5"/>
  <c r="C153" i="1" l="1"/>
  <c r="C145" i="1" s="1"/>
  <c r="C108" i="1"/>
  <c r="C106" i="1"/>
  <c r="C104" i="1"/>
  <c r="C98" i="1"/>
  <c r="C92" i="1"/>
  <c r="C166" i="1"/>
  <c r="C54" i="1"/>
  <c r="C51" i="1" s="1"/>
  <c r="G97" i="4"/>
  <c r="G96" i="4" s="1"/>
  <c r="H112" i="1" l="1"/>
  <c r="C112" i="1"/>
  <c r="G720" i="4" l="1"/>
  <c r="G719" i="4" s="1"/>
  <c r="G718" i="4" s="1"/>
  <c r="G512" i="4" l="1"/>
  <c r="G511" i="4" s="1"/>
  <c r="G411" i="4"/>
  <c r="G410" i="4" l="1"/>
  <c r="G437" i="4"/>
  <c r="G644" i="5"/>
  <c r="G645" i="5" s="1"/>
  <c r="F874" i="3"/>
  <c r="F873" i="3" s="1"/>
  <c r="F872" i="3" s="1"/>
  <c r="F871" i="3" s="1"/>
  <c r="D164" i="1"/>
  <c r="G436" i="4" l="1"/>
  <c r="G435" i="4" s="1"/>
  <c r="F356" i="3" l="1"/>
  <c r="G1019" i="4"/>
  <c r="G478" i="5" l="1"/>
  <c r="G477" i="5" s="1"/>
  <c r="G476" i="5" s="1"/>
  <c r="G475" i="5" s="1"/>
  <c r="G474" i="5" s="1"/>
  <c r="G473" i="5" s="1"/>
  <c r="G479" i="5" l="1"/>
  <c r="F1028" i="3"/>
  <c r="F1027" i="3" s="1"/>
  <c r="F1026" i="3" s="1"/>
  <c r="F1025" i="3" s="1"/>
  <c r="G892" i="4"/>
  <c r="G891" i="4" s="1"/>
  <c r="G890" i="4" s="1"/>
  <c r="F972" i="3" l="1"/>
  <c r="G22" i="5" l="1"/>
  <c r="F294" i="3"/>
  <c r="F293" i="3" s="1"/>
  <c r="G989" i="4"/>
  <c r="G21" i="5" l="1"/>
  <c r="G23" i="5"/>
  <c r="G57" i="4"/>
  <c r="F51" i="30" s="1"/>
  <c r="F50" i="30" s="1"/>
  <c r="F45" i="30" s="1"/>
  <c r="F44" i="30" s="1"/>
  <c r="F43" i="30" s="1"/>
  <c r="F42" i="30" s="1"/>
  <c r="D14" i="31" l="1"/>
  <c r="D163" i="1"/>
  <c r="E163" i="1" s="1"/>
  <c r="C11" i="1" l="1"/>
  <c r="G643" i="5" l="1"/>
  <c r="G642" i="5" s="1"/>
  <c r="G641" i="5" s="1"/>
  <c r="G346" i="5"/>
  <c r="G345" i="5" s="1"/>
  <c r="G344" i="5" s="1"/>
  <c r="G292" i="5"/>
  <c r="G291" i="5" s="1"/>
  <c r="G290" i="5" s="1"/>
  <c r="G289" i="5" s="1"/>
  <c r="G288" i="5" l="1"/>
  <c r="G343" i="5"/>
  <c r="G342" i="5" s="1"/>
  <c r="G341" i="5" s="1"/>
  <c r="G635" i="5"/>
  <c r="G634" i="5" s="1"/>
  <c r="F651" i="3"/>
  <c r="F650" i="3" s="1"/>
  <c r="F649" i="3" s="1"/>
  <c r="F648" i="3" s="1"/>
  <c r="F561" i="3"/>
  <c r="F560" i="3" s="1"/>
  <c r="F559" i="3" s="1"/>
  <c r="F971" i="3"/>
  <c r="F970" i="3" s="1"/>
  <c r="F64" i="3"/>
  <c r="F63" i="3" s="1"/>
  <c r="F78" i="3"/>
  <c r="F77" i="3" s="1"/>
  <c r="F76" i="3" s="1"/>
  <c r="G347" i="5" l="1"/>
  <c r="F969" i="3"/>
  <c r="F968" i="3" s="1"/>
  <c r="G293" i="5"/>
  <c r="G287" i="5"/>
  <c r="G748" i="4"/>
  <c r="G747" i="4" s="1"/>
  <c r="G606" i="4"/>
  <c r="G605" i="4" s="1"/>
  <c r="G604" i="4" s="1"/>
  <c r="G603" i="4" s="1"/>
  <c r="G602" i="4" s="1"/>
  <c r="D160" i="1" s="1"/>
  <c r="G574" i="4"/>
  <c r="G573" i="4" s="1"/>
  <c r="G572" i="4" s="1"/>
  <c r="G656" i="4"/>
  <c r="G659" i="4"/>
  <c r="G658" i="4" s="1"/>
  <c r="C96" i="1"/>
  <c r="C85" i="1" s="1"/>
  <c r="D44" i="2" l="1"/>
  <c r="D45" i="31"/>
  <c r="D42" i="31" s="1"/>
  <c r="D159" i="1"/>
  <c r="D85" i="1"/>
  <c r="G746" i="4"/>
  <c r="G655" i="4"/>
  <c r="G654" i="4" s="1"/>
  <c r="D115" i="1" s="1"/>
  <c r="D180" i="1"/>
  <c r="E180" i="1" s="1"/>
  <c r="D161" i="1"/>
  <c r="D126" i="1"/>
  <c r="D122" i="1"/>
  <c r="D121" i="1"/>
  <c r="D117" i="1"/>
  <c r="D114" i="1"/>
  <c r="D93" i="1" l="1"/>
  <c r="D182" i="1"/>
  <c r="E182" i="1" s="1"/>
  <c r="D165" i="1"/>
  <c r="D181" i="1"/>
  <c r="E181" i="1" s="1"/>
  <c r="C81" i="1"/>
  <c r="C80" i="1" s="1"/>
  <c r="G1271" i="4" l="1"/>
  <c r="G915" i="5"/>
  <c r="F1079" i="3"/>
  <c r="F1082" i="3"/>
  <c r="F1087" i="3"/>
  <c r="G539" i="4"/>
  <c r="G534" i="4"/>
  <c r="G530" i="4"/>
  <c r="G526" i="4"/>
  <c r="G533" i="4" l="1"/>
  <c r="G532" i="4" s="1"/>
  <c r="G538" i="4"/>
  <c r="G536" i="4" s="1"/>
  <c r="G528" i="4"/>
  <c r="G531" i="5"/>
  <c r="F1077" i="3"/>
  <c r="F1075" i="3"/>
  <c r="G537" i="4" l="1"/>
  <c r="G525" i="4"/>
  <c r="G524" i="4" s="1"/>
  <c r="G523" i="4" s="1"/>
  <c r="G522" i="4" s="1"/>
  <c r="G521" i="4" s="1"/>
  <c r="G1246" i="4" s="1"/>
  <c r="G530" i="5"/>
  <c r="G526" i="5" s="1"/>
  <c r="G525" i="5" s="1"/>
  <c r="G524" i="5" s="1"/>
  <c r="G532" i="5"/>
  <c r="F132" i="3" l="1"/>
  <c r="F131" i="3" s="1"/>
  <c r="F134" i="3"/>
  <c r="F133" i="3" s="1"/>
  <c r="G116" i="4"/>
  <c r="G118" i="4"/>
  <c r="G115" i="4" l="1"/>
  <c r="G114" i="4" s="1"/>
  <c r="G113" i="4" s="1"/>
  <c r="G112" i="4" s="1"/>
  <c r="F130" i="3"/>
  <c r="F129" i="3" s="1"/>
  <c r="F128" i="3" s="1"/>
  <c r="F127" i="3" s="1"/>
  <c r="F412" i="3"/>
  <c r="F411" i="3" s="1"/>
  <c r="F410" i="3" s="1"/>
  <c r="F409" i="3" s="1"/>
  <c r="F408" i="3" s="1"/>
  <c r="G989" i="5"/>
  <c r="G988" i="5" s="1"/>
  <c r="G987" i="5" s="1"/>
  <c r="G986" i="5" s="1"/>
  <c r="G985" i="5" s="1"/>
  <c r="G984" i="5" s="1"/>
  <c r="G983" i="5" s="1"/>
  <c r="G982" i="5" s="1"/>
  <c r="G1076" i="4"/>
  <c r="D15" i="2" l="1"/>
  <c r="D16" i="31"/>
  <c r="G1075" i="4"/>
  <c r="G1074" i="4" s="1"/>
  <c r="G1073" i="4" s="1"/>
  <c r="G586" i="4"/>
  <c r="F163" i="30" s="1"/>
  <c r="F162" i="30" s="1"/>
  <c r="F161" i="30" s="1"/>
  <c r="F155" i="30" s="1"/>
  <c r="F143" i="30" s="1"/>
  <c r="F142" i="30" s="1"/>
  <c r="D18" i="31" l="1"/>
  <c r="D11" i="31" s="1"/>
  <c r="F9" i="30"/>
  <c r="K9" i="30" l="1"/>
  <c r="C39" i="1"/>
  <c r="C37" i="1"/>
  <c r="C31" i="1"/>
  <c r="C27" i="1"/>
  <c r="C36" i="1" l="1"/>
  <c r="E36" i="1" s="1"/>
  <c r="C65" i="1" l="1"/>
  <c r="F324" i="3" l="1"/>
  <c r="F323" i="3" s="1"/>
  <c r="F322" i="3" s="1"/>
  <c r="F321" i="3" s="1"/>
  <c r="G96" i="5" l="1"/>
  <c r="G300" i="4"/>
  <c r="G299" i="4" l="1"/>
  <c r="G298" i="4" s="1"/>
  <c r="G94" i="5"/>
  <c r="G93" i="5" s="1"/>
  <c r="G92" i="5" s="1"/>
  <c r="G91" i="5" l="1"/>
  <c r="G90" i="5" s="1"/>
  <c r="F520" i="3" l="1"/>
  <c r="F519" i="3" s="1"/>
  <c r="F518" i="3" s="1"/>
  <c r="F517" i="3" s="1"/>
  <c r="F516" i="3" s="1"/>
  <c r="G659" i="5" l="1"/>
  <c r="G658" i="5" s="1"/>
  <c r="G657" i="5" s="1"/>
  <c r="G656" i="5" s="1"/>
  <c r="G655" i="5" s="1"/>
  <c r="G654" i="5" s="1"/>
  <c r="G1184" i="4" l="1"/>
  <c r="G980" i="5"/>
  <c r="G1183" i="4" l="1"/>
  <c r="G1182" i="4" s="1"/>
  <c r="G1181" i="4" s="1"/>
  <c r="F201" i="3"/>
  <c r="F200" i="3" s="1"/>
  <c r="F192" i="3"/>
  <c r="G841" i="5"/>
  <c r="G842" i="5" s="1"/>
  <c r="G844" i="5"/>
  <c r="G843" i="5" s="1"/>
  <c r="G849" i="4"/>
  <c r="G848" i="4" l="1"/>
  <c r="G847" i="4" s="1"/>
  <c r="G846" i="4" s="1"/>
  <c r="G845" i="4" s="1"/>
  <c r="G845" i="5"/>
  <c r="F40" i="3"/>
  <c r="C170" i="1"/>
  <c r="G844" i="4" l="1"/>
  <c r="C25" i="1" l="1"/>
  <c r="C24" i="1" s="1"/>
  <c r="E24" i="1" s="1"/>
  <c r="G40" i="6" l="1"/>
  <c r="G39" i="6" s="1"/>
  <c r="G515" i="4"/>
  <c r="G28" i="6" l="1"/>
  <c r="G27" i="6" s="1"/>
  <c r="G26" i="6" s="1"/>
  <c r="G25" i="6" s="1"/>
  <c r="G24" i="6" s="1"/>
  <c r="G23" i="6" s="1"/>
  <c r="G21" i="6"/>
  <c r="G872" i="5" l="1"/>
  <c r="G724" i="5"/>
  <c r="G696" i="5"/>
  <c r="G725" i="5" l="1"/>
  <c r="G873" i="5"/>
  <c r="G871" i="5"/>
  <c r="G568" i="5"/>
  <c r="G545" i="5"/>
  <c r="G541" i="5"/>
  <c r="G499" i="5"/>
  <c r="G496" i="5"/>
  <c r="G493" i="5"/>
  <c r="G621" i="5"/>
  <c r="G204" i="5"/>
  <c r="F938" i="3"/>
  <c r="F1061" i="3"/>
  <c r="F1049" i="3"/>
  <c r="G870" i="5" l="1"/>
  <c r="G14" i="5"/>
  <c r="F1081" i="3"/>
  <c r="G567" i="5"/>
  <c r="G569" i="5"/>
  <c r="G544" i="5"/>
  <c r="G546" i="5"/>
  <c r="G540" i="5"/>
  <c r="G542" i="5"/>
  <c r="G495" i="5"/>
  <c r="G497" i="5"/>
  <c r="G492" i="5"/>
  <c r="G494" i="5"/>
  <c r="G498" i="5"/>
  <c r="G500" i="5"/>
  <c r="G620" i="5"/>
  <c r="G622" i="5"/>
  <c r="G203" i="5"/>
  <c r="G205" i="5"/>
  <c r="G16" i="5"/>
  <c r="F1009" i="3"/>
  <c r="F1002" i="3"/>
  <c r="F999" i="3"/>
  <c r="F996" i="3"/>
  <c r="F992" i="3"/>
  <c r="F985" i="3"/>
  <c r="F967" i="3"/>
  <c r="F937" i="3"/>
  <c r="F904" i="3"/>
  <c r="F898" i="3"/>
  <c r="F896" i="3"/>
  <c r="F887" i="3"/>
  <c r="F879" i="3"/>
  <c r="F856" i="3"/>
  <c r="F852" i="3"/>
  <c r="F843" i="3"/>
  <c r="F836" i="3"/>
  <c r="F829" i="3"/>
  <c r="G551" i="32" s="1"/>
  <c r="F827" i="3"/>
  <c r="F820" i="3"/>
  <c r="F818" i="3"/>
  <c r="F762" i="3"/>
  <c r="F758" i="3"/>
  <c r="F752" i="3"/>
  <c r="G41" i="32" s="1"/>
  <c r="F749" i="3"/>
  <c r="F742" i="3"/>
  <c r="F739" i="3"/>
  <c r="F722" i="3"/>
  <c r="F716" i="3"/>
  <c r="F713" i="3"/>
  <c r="G327" i="4"/>
  <c r="G550" i="32" l="1"/>
  <c r="G552" i="32"/>
  <c r="G42" i="32"/>
  <c r="G40" i="32"/>
  <c r="G39" i="32" s="1"/>
  <c r="G34" i="32" s="1"/>
  <c r="G33" i="32" s="1"/>
  <c r="G491" i="5"/>
  <c r="G490" i="5" s="1"/>
  <c r="G326" i="4"/>
  <c r="G619" i="5"/>
  <c r="G618" i="5" s="1"/>
  <c r="G566" i="5"/>
  <c r="G202" i="5"/>
  <c r="G13" i="5"/>
  <c r="F721" i="3"/>
  <c r="G601" i="5"/>
  <c r="F895" i="3"/>
  <c r="G554" i="5"/>
  <c r="F855" i="3"/>
  <c r="F897" i="3"/>
  <c r="F712" i="3"/>
  <c r="F741" i="3"/>
  <c r="G557" i="5"/>
  <c r="F878" i="3"/>
  <c r="F1080" i="3"/>
  <c r="F715" i="3"/>
  <c r="F817" i="3"/>
  <c r="F851" i="3"/>
  <c r="F886" i="3"/>
  <c r="F936" i="3"/>
  <c r="F984" i="3"/>
  <c r="F835" i="3"/>
  <c r="G574" i="5"/>
  <c r="F748" i="3"/>
  <c r="F751" i="3"/>
  <c r="G41" i="5"/>
  <c r="F757" i="3"/>
  <c r="F761" i="3"/>
  <c r="G545" i="32" l="1"/>
  <c r="G544" i="32" s="1"/>
  <c r="G32" i="32"/>
  <c r="G31" i="32"/>
  <c r="G30" i="32" s="1"/>
  <c r="I30" i="32" s="1"/>
  <c r="G617" i="5"/>
  <c r="G616" i="5" s="1"/>
  <c r="G555" i="5"/>
  <c r="G325" i="4"/>
  <c r="G52" i="5"/>
  <c r="G686" i="5"/>
  <c r="G676" i="5" s="1"/>
  <c r="G565" i="5"/>
  <c r="G564" i="5" s="1"/>
  <c r="G553" i="5"/>
  <c r="G558" i="5"/>
  <c r="G600" i="5"/>
  <c r="G599" i="5" s="1"/>
  <c r="G604" i="5" s="1"/>
  <c r="G10" i="5"/>
  <c r="G12" i="5"/>
  <c r="G556" i="5"/>
  <c r="F760" i="3"/>
  <c r="F834" i="3"/>
  <c r="F833" i="3" s="1"/>
  <c r="F983" i="3"/>
  <c r="F877" i="3"/>
  <c r="F876" i="3" s="1"/>
  <c r="F740" i="3"/>
  <c r="F854" i="3"/>
  <c r="F853" i="3" s="1"/>
  <c r="F747" i="3"/>
  <c r="F750" i="3"/>
  <c r="F885" i="3"/>
  <c r="F884" i="3" s="1"/>
  <c r="F935" i="3"/>
  <c r="F711" i="3"/>
  <c r="F720" i="3"/>
  <c r="G573" i="5"/>
  <c r="G575" i="5"/>
  <c r="G57" i="5"/>
  <c r="G59" i="5"/>
  <c r="G40" i="5"/>
  <c r="G42" i="5"/>
  <c r="G36" i="5"/>
  <c r="G38" i="5"/>
  <c r="J498" i="32" l="1"/>
  <c r="G530" i="32"/>
  <c r="G480" i="32" s="1"/>
  <c r="G35" i="5"/>
  <c r="G572" i="5"/>
  <c r="G571" i="5" s="1"/>
  <c r="G563" i="5" s="1"/>
  <c r="G39" i="5"/>
  <c r="G552" i="5"/>
  <c r="F719" i="3"/>
  <c r="F934" i="3"/>
  <c r="F759" i="3"/>
  <c r="F746" i="3"/>
  <c r="F706" i="3"/>
  <c r="F704" i="3"/>
  <c r="F702" i="3"/>
  <c r="F738" i="3"/>
  <c r="F785" i="3"/>
  <c r="F806" i="3"/>
  <c r="F689" i="3"/>
  <c r="F685" i="3"/>
  <c r="F631" i="3"/>
  <c r="F669" i="3"/>
  <c r="F616" i="3"/>
  <c r="F609" i="3"/>
  <c r="F596" i="3"/>
  <c r="F586" i="3"/>
  <c r="F575" i="3"/>
  <c r="F580" i="3"/>
  <c r="F548" i="3"/>
  <c r="F544" i="3"/>
  <c r="F541" i="3"/>
  <c r="F527" i="3"/>
  <c r="F513" i="3"/>
  <c r="F480" i="3"/>
  <c r="F482" i="3"/>
  <c r="F490" i="3"/>
  <c r="K480" i="32" l="1"/>
  <c r="G983" i="32"/>
  <c r="I480" i="32"/>
  <c r="G551" i="5"/>
  <c r="G550" i="5" s="1"/>
  <c r="G598" i="5"/>
  <c r="G34" i="5"/>
  <c r="F684" i="3"/>
  <c r="F737" i="3"/>
  <c r="F875" i="3"/>
  <c r="F688" i="3"/>
  <c r="F701" i="3"/>
  <c r="F933" i="3"/>
  <c r="G191" i="5"/>
  <c r="G190" i="5" s="1"/>
  <c r="F805" i="3"/>
  <c r="F703" i="3"/>
  <c r="F489" i="3"/>
  <c r="G178" i="5"/>
  <c r="F512" i="3"/>
  <c r="F579" i="3"/>
  <c r="F608" i="3"/>
  <c r="F784" i="3"/>
  <c r="F705" i="3"/>
  <c r="F526" i="3"/>
  <c r="F454" i="3"/>
  <c r="G743" i="32" s="1"/>
  <c r="F457" i="3"/>
  <c r="F418" i="3"/>
  <c r="G1082" i="4"/>
  <c r="F436" i="3"/>
  <c r="F432" i="3"/>
  <c r="G710" i="32" s="1"/>
  <c r="G744" i="32" l="1"/>
  <c r="G742" i="32"/>
  <c r="G741" i="32" s="1"/>
  <c r="G740" i="32" s="1"/>
  <c r="G739" i="32" s="1"/>
  <c r="G738" i="32" s="1"/>
  <c r="G711" i="32"/>
  <c r="G709" i="32"/>
  <c r="F511" i="3"/>
  <c r="G1081" i="4"/>
  <c r="G189" i="5"/>
  <c r="F700" i="3"/>
  <c r="F699" i="3" s="1"/>
  <c r="G154" i="5"/>
  <c r="G192" i="5"/>
  <c r="G179" i="5"/>
  <c r="G177" i="5"/>
  <c r="G157" i="5"/>
  <c r="G717" i="5"/>
  <c r="F525" i="3"/>
  <c r="F524" i="3" s="1"/>
  <c r="F783" i="3"/>
  <c r="F488" i="3"/>
  <c r="F804" i="3"/>
  <c r="D42" i="2"/>
  <c r="F687" i="3"/>
  <c r="F736" i="3"/>
  <c r="F417" i="3"/>
  <c r="F453" i="3"/>
  <c r="G750" i="5"/>
  <c r="F456" i="3"/>
  <c r="G754" i="5"/>
  <c r="F407" i="3"/>
  <c r="G826" i="32" s="1"/>
  <c r="F403" i="3"/>
  <c r="G819" i="32" s="1"/>
  <c r="F399" i="3"/>
  <c r="G812" i="32" s="1"/>
  <c r="F378" i="3"/>
  <c r="F373" i="3"/>
  <c r="F375" i="3"/>
  <c r="F370" i="3"/>
  <c r="F365" i="3"/>
  <c r="F367" i="3"/>
  <c r="F359" i="3"/>
  <c r="F361" i="3"/>
  <c r="F355" i="3"/>
  <c r="F353" i="3"/>
  <c r="F290" i="3"/>
  <c r="F296" i="3"/>
  <c r="F320" i="3"/>
  <c r="F316" i="3"/>
  <c r="F312" i="3"/>
  <c r="F329" i="3"/>
  <c r="F274" i="3"/>
  <c r="F278" i="3"/>
  <c r="G776" i="32" s="1"/>
  <c r="F247" i="3"/>
  <c r="F240" i="3"/>
  <c r="F204" i="3"/>
  <c r="F198" i="3"/>
  <c r="F162" i="3"/>
  <c r="F233" i="3"/>
  <c r="G820" i="32" l="1"/>
  <c r="G818" i="32"/>
  <c r="G817" i="32" s="1"/>
  <c r="G816" i="32" s="1"/>
  <c r="G815" i="32" s="1"/>
  <c r="G814" i="32" s="1"/>
  <c r="G775" i="32"/>
  <c r="G774" i="32" s="1"/>
  <c r="G773" i="32" s="1"/>
  <c r="G772" i="32" s="1"/>
  <c r="G771" i="32" s="1"/>
  <c r="G763" i="32" s="1"/>
  <c r="G777" i="32"/>
  <c r="G827" i="32"/>
  <c r="G825" i="32"/>
  <c r="G824" i="32" s="1"/>
  <c r="G823" i="32" s="1"/>
  <c r="G822" i="32" s="1"/>
  <c r="G821" i="32" s="1"/>
  <c r="G813" i="32"/>
  <c r="G811" i="32"/>
  <c r="G810" i="32" s="1"/>
  <c r="G809" i="32" s="1"/>
  <c r="G808" i="32" s="1"/>
  <c r="G807" i="32" s="1"/>
  <c r="F354" i="3"/>
  <c r="F203" i="3"/>
  <c r="G1080" i="4"/>
  <c r="G716" i="5"/>
  <c r="G718" i="5"/>
  <c r="G156" i="5"/>
  <c r="G155" i="5" s="1"/>
  <c r="G570" i="5"/>
  <c r="G176" i="5"/>
  <c r="F239" i="3"/>
  <c r="F161" i="3"/>
  <c r="F455" i="3"/>
  <c r="F258" i="3"/>
  <c r="F289" i="3"/>
  <c r="F374" i="3"/>
  <c r="F735" i="3"/>
  <c r="F197" i="3"/>
  <c r="F273" i="3"/>
  <c r="F364" i="3"/>
  <c r="F452" i="3"/>
  <c r="F416" i="3"/>
  <c r="F295" i="3"/>
  <c r="F369" i="3"/>
  <c r="F352" i="3"/>
  <c r="F366" i="3"/>
  <c r="F372" i="3"/>
  <c r="F686" i="3"/>
  <c r="F398" i="3"/>
  <c r="G819" i="5"/>
  <c r="F402" i="3"/>
  <c r="G826" i="5"/>
  <c r="G753" i="5"/>
  <c r="G755" i="5"/>
  <c r="F277" i="3"/>
  <c r="G783" i="5"/>
  <c r="F406" i="3"/>
  <c r="G833" i="5"/>
  <c r="G751" i="5"/>
  <c r="G749" i="5"/>
  <c r="F232" i="3"/>
  <c r="F328" i="3"/>
  <c r="G367" i="5"/>
  <c r="F311" i="3"/>
  <c r="G75" i="5"/>
  <c r="F319" i="3"/>
  <c r="F315" i="3"/>
  <c r="F223" i="3"/>
  <c r="F209" i="3"/>
  <c r="F213" i="3"/>
  <c r="F195" i="3"/>
  <c r="F146" i="3"/>
  <c r="F92" i="3"/>
  <c r="F101" i="3"/>
  <c r="G1079" i="4" l="1"/>
  <c r="G73" i="5"/>
  <c r="G834" i="5"/>
  <c r="G820" i="5"/>
  <c r="G752" i="5"/>
  <c r="G748" i="5"/>
  <c r="G827" i="5"/>
  <c r="F191" i="3"/>
  <c r="F276" i="3"/>
  <c r="F401" i="3"/>
  <c r="F368" i="3"/>
  <c r="F415" i="3"/>
  <c r="F160" i="3"/>
  <c r="F145" i="3"/>
  <c r="F405" i="3"/>
  <c r="F397" i="3"/>
  <c r="F170" i="3"/>
  <c r="F363" i="3"/>
  <c r="F314" i="3"/>
  <c r="F313" i="3" s="1"/>
  <c r="F318" i="3"/>
  <c r="F327" i="3"/>
  <c r="F451" i="3"/>
  <c r="F194" i="3"/>
  <c r="F310" i="3"/>
  <c r="F371" i="3"/>
  <c r="F272" i="3"/>
  <c r="F271" i="3" s="1"/>
  <c r="F288" i="3"/>
  <c r="F238" i="3"/>
  <c r="G782" i="5"/>
  <c r="G784" i="5"/>
  <c r="G366" i="5"/>
  <c r="G368" i="5"/>
  <c r="G87" i="5"/>
  <c r="G89" i="5"/>
  <c r="G80" i="5"/>
  <c r="G82" i="5"/>
  <c r="F100" i="3"/>
  <c r="G401" i="5"/>
  <c r="F91" i="3"/>
  <c r="G387" i="5"/>
  <c r="F109" i="3"/>
  <c r="F114" i="3"/>
  <c r="F62" i="3"/>
  <c r="F57" i="3"/>
  <c r="F39" i="3"/>
  <c r="F18" i="3"/>
  <c r="F326" i="3" l="1"/>
  <c r="F325" i="3" s="1"/>
  <c r="F309" i="3"/>
  <c r="F317" i="3"/>
  <c r="G365" i="5"/>
  <c r="G364" i="5" s="1"/>
  <c r="G781" i="5"/>
  <c r="G388" i="5"/>
  <c r="G747" i="5"/>
  <c r="G79" i="5"/>
  <c r="G78" i="5" s="1"/>
  <c r="G86" i="5"/>
  <c r="G85" i="5" s="1"/>
  <c r="F38" i="3"/>
  <c r="F56" i="3"/>
  <c r="F275" i="3"/>
  <c r="F61" i="3"/>
  <c r="F113" i="3"/>
  <c r="F99" i="3"/>
  <c r="F98" i="3" s="1"/>
  <c r="F287" i="3"/>
  <c r="F237" i="3"/>
  <c r="F396" i="3"/>
  <c r="F17" i="3"/>
  <c r="F169" i="3"/>
  <c r="F404" i="3"/>
  <c r="F144" i="3"/>
  <c r="F414" i="3"/>
  <c r="F400" i="3"/>
  <c r="G400" i="5"/>
  <c r="G402" i="5"/>
  <c r="F60" i="3" l="1"/>
  <c r="F308" i="3"/>
  <c r="G84" i="5"/>
  <c r="G83" i="5" s="1"/>
  <c r="G746" i="5"/>
  <c r="G399" i="5"/>
  <c r="G398" i="5" s="1"/>
  <c r="G397" i="5" s="1"/>
  <c r="G396" i="5" s="1"/>
  <c r="G780" i="5"/>
  <c r="F236" i="3"/>
  <c r="F112" i="3"/>
  <c r="G77" i="5" l="1"/>
  <c r="G76" i="5" s="1"/>
  <c r="G363" i="5"/>
  <c r="G362" i="5" s="1"/>
  <c r="G779" i="5"/>
  <c r="G745" i="5"/>
  <c r="F307" i="3"/>
  <c r="F235" i="3"/>
  <c r="F1074" i="3" l="1"/>
  <c r="F816" i="3"/>
  <c r="F815" i="3" s="1"/>
  <c r="F107" i="3"/>
  <c r="G778" i="5"/>
  <c r="G361" i="5"/>
  <c r="F234" i="3"/>
  <c r="G1121" i="4"/>
  <c r="G1042" i="4"/>
  <c r="F106" i="3" l="1"/>
  <c r="G1041" i="4"/>
  <c r="G1120" i="4"/>
  <c r="F336" i="3"/>
  <c r="F20" i="3"/>
  <c r="G1000" i="4"/>
  <c r="G222" i="4" l="1"/>
  <c r="G221" i="4" l="1"/>
  <c r="G101" i="4"/>
  <c r="G92" i="4"/>
  <c r="G220" i="4" l="1"/>
  <c r="G100" i="4"/>
  <c r="G99" i="4" s="1"/>
  <c r="G94" i="4"/>
  <c r="F94" i="3"/>
  <c r="G88" i="4"/>
  <c r="F88" i="3"/>
  <c r="G91" i="4" l="1"/>
  <c r="G90" i="4" s="1"/>
  <c r="G87" i="4"/>
  <c r="F87" i="3"/>
  <c r="G375" i="5"/>
  <c r="F93" i="3"/>
  <c r="G390" i="5"/>
  <c r="G364" i="4"/>
  <c r="G354" i="4"/>
  <c r="G86" i="4" l="1"/>
  <c r="G85" i="4" s="1"/>
  <c r="G1255" i="4" s="1"/>
  <c r="G353" i="4"/>
  <c r="G363" i="4"/>
  <c r="G376" i="5"/>
  <c r="G391" i="5"/>
  <c r="F90" i="3"/>
  <c r="F89" i="3" s="1"/>
  <c r="F86" i="3"/>
  <c r="G362" i="4" l="1"/>
  <c r="F85" i="3"/>
  <c r="G44" i="6"/>
  <c r="G43" i="6" s="1"/>
  <c r="G42" i="6" s="1"/>
  <c r="G41" i="6" s="1"/>
  <c r="G20" i="6"/>
  <c r="G979" i="5"/>
  <c r="G964" i="5"/>
  <c r="G893" i="5"/>
  <c r="G884" i="5"/>
  <c r="G879" i="5"/>
  <c r="G899" i="5"/>
  <c r="G889" i="5"/>
  <c r="G922" i="5"/>
  <c r="G868" i="5"/>
  <c r="G860" i="5"/>
  <c r="G856" i="5"/>
  <c r="G852" i="5"/>
  <c r="G848" i="5"/>
  <c r="G832" i="5"/>
  <c r="G825" i="5"/>
  <c r="G776" i="5"/>
  <c r="G735" i="5"/>
  <c r="G728" i="5"/>
  <c r="G743" i="5"/>
  <c r="G694" i="5"/>
  <c r="G673" i="5"/>
  <c r="G664" i="5"/>
  <c r="G443" i="5"/>
  <c r="G432" i="5"/>
  <c r="G433" i="5" s="1"/>
  <c r="G428" i="5"/>
  <c r="G409" i="5"/>
  <c r="G386" i="5"/>
  <c r="G233" i="5"/>
  <c r="G280" i="5"/>
  <c r="G251" i="5"/>
  <c r="G219" i="5"/>
  <c r="G72" i="5"/>
  <c r="G71" i="5" s="1"/>
  <c r="G56" i="5"/>
  <c r="G1210" i="4"/>
  <c r="G1207" i="4"/>
  <c r="G1192" i="4"/>
  <c r="G1162" i="4"/>
  <c r="G1177" i="4"/>
  <c r="G1176" i="4" s="1"/>
  <c r="G1154" i="4"/>
  <c r="G1146" i="4"/>
  <c r="G1144" i="4"/>
  <c r="G1118" i="4"/>
  <c r="G1111" i="4"/>
  <c r="G1108" i="4"/>
  <c r="G1103" i="4"/>
  <c r="G1114" i="4"/>
  <c r="G723" i="5"/>
  <c r="G1098" i="4"/>
  <c r="G710" i="5"/>
  <c r="G1071" i="4"/>
  <c r="G1067" i="4"/>
  <c r="G1063" i="4"/>
  <c r="G1039" i="4"/>
  <c r="G1037" i="4"/>
  <c r="G1034" i="4"/>
  <c r="G1031" i="4"/>
  <c r="G1029" i="4"/>
  <c r="G1025" i="4"/>
  <c r="G1023" i="4"/>
  <c r="G985" i="4"/>
  <c r="G963" i="4"/>
  <c r="G940" i="4"/>
  <c r="F149" i="3"/>
  <c r="G925" i="4"/>
  <c r="G913" i="4"/>
  <c r="G873" i="4"/>
  <c r="G866" i="4"/>
  <c r="G863" i="4"/>
  <c r="G424" i="5"/>
  <c r="G417" i="5"/>
  <c r="G841" i="4"/>
  <c r="G823" i="4"/>
  <c r="G799" i="4"/>
  <c r="G786" i="4"/>
  <c r="G782" i="4"/>
  <c r="G781" i="4" s="1"/>
  <c r="G766" i="4"/>
  <c r="G761" i="4"/>
  <c r="G728" i="4"/>
  <c r="G264" i="5"/>
  <c r="G706" i="4"/>
  <c r="G693" i="4"/>
  <c r="G677" i="4"/>
  <c r="G672" i="4"/>
  <c r="G652" i="4"/>
  <c r="G642" i="4"/>
  <c r="G638" i="4"/>
  <c r="G628" i="4"/>
  <c r="G614" i="4"/>
  <c r="G585" i="4"/>
  <c r="G570" i="4"/>
  <c r="G563" i="4"/>
  <c r="G519" i="4"/>
  <c r="G139" i="5"/>
  <c r="G481" i="4"/>
  <c r="G467" i="4"/>
  <c r="G461" i="4"/>
  <c r="G459" i="4"/>
  <c r="G450" i="4"/>
  <c r="G442" i="4"/>
  <c r="G419" i="4"/>
  <c r="G415" i="4"/>
  <c r="G406" i="4"/>
  <c r="G405" i="4" s="1"/>
  <c r="G404" i="4" s="1"/>
  <c r="G399" i="4"/>
  <c r="F828" i="3"/>
  <c r="G48" i="5"/>
  <c r="G344" i="4"/>
  <c r="G321" i="4"/>
  <c r="G318" i="4"/>
  <c r="G296" i="4"/>
  <c r="G292" i="4"/>
  <c r="G288" i="4"/>
  <c r="G280" i="4"/>
  <c r="G275" i="4"/>
  <c r="G272" i="4"/>
  <c r="G269" i="4"/>
  <c r="G266" i="4"/>
  <c r="G263" i="4"/>
  <c r="G235" i="4"/>
  <c r="G229" i="4"/>
  <c r="G209" i="4"/>
  <c r="G205" i="4"/>
  <c r="G187" i="4"/>
  <c r="G168" i="4"/>
  <c r="G161" i="4"/>
  <c r="G151" i="4"/>
  <c r="G146" i="4"/>
  <c r="G142" i="4"/>
  <c r="G374" i="5"/>
  <c r="G133" i="4"/>
  <c r="G132" i="4" s="1"/>
  <c r="G110" i="4"/>
  <c r="G107" i="4"/>
  <c r="G64" i="4"/>
  <c r="G56" i="4"/>
  <c r="G52" i="4"/>
  <c r="G22" i="4"/>
  <c r="G19" i="4"/>
  <c r="G15" i="4"/>
  <c r="F1048" i="3"/>
  <c r="F1007" i="3"/>
  <c r="F1001" i="3"/>
  <c r="F998" i="3"/>
  <c r="F982" i="3"/>
  <c r="F965" i="3"/>
  <c r="F964" i="3" s="1"/>
  <c r="F903" i="3"/>
  <c r="F883" i="3"/>
  <c r="F850" i="3"/>
  <c r="F842" i="3"/>
  <c r="F841" i="3" s="1"/>
  <c r="F819" i="3"/>
  <c r="F668" i="3"/>
  <c r="F615" i="3"/>
  <c r="F578" i="3"/>
  <c r="F574" i="3"/>
  <c r="F557" i="3"/>
  <c r="F547" i="3"/>
  <c r="F543" i="3"/>
  <c r="F533" i="3"/>
  <c r="F481" i="3"/>
  <c r="F447" i="3"/>
  <c r="G732" i="32" s="1"/>
  <c r="F444" i="3"/>
  <c r="F439" i="3"/>
  <c r="F377" i="3"/>
  <c r="F360" i="3"/>
  <c r="F335" i="3"/>
  <c r="F231" i="3"/>
  <c r="F222" i="3"/>
  <c r="F212" i="3"/>
  <c r="F208" i="3"/>
  <c r="F196" i="3"/>
  <c r="F193" i="3"/>
  <c r="F190" i="3"/>
  <c r="F111" i="3"/>
  <c r="F108" i="3"/>
  <c r="F50" i="3"/>
  <c r="F37" i="3"/>
  <c r="C195" i="1"/>
  <c r="C179" i="1"/>
  <c r="C178" i="1" s="1"/>
  <c r="C172" i="1" s="1"/>
  <c r="C76" i="1"/>
  <c r="C63" i="1"/>
  <c r="C61" i="1"/>
  <c r="C48" i="1"/>
  <c r="C46" i="1"/>
  <c r="C42" i="1"/>
  <c r="C34" i="1"/>
  <c r="C29" i="1"/>
  <c r="C23" i="1" s="1"/>
  <c r="F434" i="30" l="1"/>
  <c r="F432" i="30" s="1"/>
  <c r="F429" i="30" s="1"/>
  <c r="F425" i="30" s="1"/>
  <c r="F420" i="30" s="1"/>
  <c r="F414" i="30" s="1"/>
  <c r="G733" i="32"/>
  <c r="G731" i="32"/>
  <c r="G730" i="32" s="1"/>
  <c r="G140" i="5"/>
  <c r="G138" i="5"/>
  <c r="G137" i="5" s="1"/>
  <c r="G136" i="5" s="1"/>
  <c r="G135" i="5" s="1"/>
  <c r="G134" i="5" s="1"/>
  <c r="G113" i="5" s="1"/>
  <c r="D166" i="1"/>
  <c r="D124" i="1"/>
  <c r="G106" i="4"/>
  <c r="G693" i="5"/>
  <c r="G692" i="5" s="1"/>
  <c r="G150" i="4"/>
  <c r="G149" i="4" s="1"/>
  <c r="G279" i="4"/>
  <c r="G548" i="5"/>
  <c r="G549" i="5" s="1"/>
  <c r="G441" i="4"/>
  <c r="G466" i="4"/>
  <c r="G760" i="4"/>
  <c r="G798" i="4"/>
  <c r="F391" i="3"/>
  <c r="G798" i="32" s="1"/>
  <c r="G160" i="4"/>
  <c r="G158" i="4" s="1"/>
  <c r="G268" i="4"/>
  <c r="G295" i="4"/>
  <c r="G294" i="4" s="1"/>
  <c r="G676" i="4"/>
  <c r="G285" i="5"/>
  <c r="G765" i="4"/>
  <c r="F803" i="3"/>
  <c r="G924" i="4"/>
  <c r="F151" i="3"/>
  <c r="F150" i="3" s="1"/>
  <c r="G21" i="4"/>
  <c r="G61" i="4"/>
  <c r="G141" i="4"/>
  <c r="G186" i="4"/>
  <c r="G234" i="4"/>
  <c r="G233" i="4" s="1"/>
  <c r="G271" i="4"/>
  <c r="G317" i="4"/>
  <c r="G595" i="5"/>
  <c r="G596" i="5" s="1"/>
  <c r="G518" i="4"/>
  <c r="G565" i="4"/>
  <c r="G584" i="4"/>
  <c r="G637" i="4"/>
  <c r="G651" i="4"/>
  <c r="G650" i="4" s="1"/>
  <c r="F675" i="3"/>
  <c r="G785" i="4"/>
  <c r="G840" i="4"/>
  <c r="G862" i="4"/>
  <c r="F1016" i="3"/>
  <c r="F1066" i="3"/>
  <c r="F1065" i="3" s="1"/>
  <c r="F153" i="3"/>
  <c r="G984" i="4"/>
  <c r="G1062" i="4"/>
  <c r="G1102" i="4"/>
  <c r="G1117" i="4"/>
  <c r="F13" i="3"/>
  <c r="G265" i="4"/>
  <c r="G343" i="4"/>
  <c r="G418" i="4"/>
  <c r="G417" i="4" s="1"/>
  <c r="G569" i="4"/>
  <c r="G671" i="4"/>
  <c r="G872" i="4"/>
  <c r="G1070" i="4"/>
  <c r="G58" i="4"/>
  <c r="G109" i="4"/>
  <c r="G208" i="4"/>
  <c r="G228" i="4"/>
  <c r="G287" i="4"/>
  <c r="G449" i="4"/>
  <c r="G448" i="4" s="1"/>
  <c r="F554" i="3"/>
  <c r="G822" i="4"/>
  <c r="G912" i="4"/>
  <c r="G1110" i="4"/>
  <c r="G1191" i="4"/>
  <c r="G63" i="4"/>
  <c r="G145" i="4"/>
  <c r="G204" i="4"/>
  <c r="G203" i="4" s="1"/>
  <c r="F304" i="3"/>
  <c r="F303" i="3" s="1"/>
  <c r="G262" i="4"/>
  <c r="G274" i="4"/>
  <c r="G291" i="4"/>
  <c r="G591" i="5"/>
  <c r="G398" i="4"/>
  <c r="G397" i="4" s="1"/>
  <c r="G414" i="4"/>
  <c r="G34" i="6"/>
  <c r="G33" i="6" s="1"/>
  <c r="G32" i="6" s="1"/>
  <c r="G31" i="6" s="1"/>
  <c r="G30" i="6" s="1"/>
  <c r="G29" i="6" s="1"/>
  <c r="G567" i="4"/>
  <c r="F218" i="3"/>
  <c r="G627" i="4"/>
  <c r="G641" i="4"/>
  <c r="G692" i="4"/>
  <c r="G705" i="4"/>
  <c r="F627" i="3"/>
  <c r="G727" i="4"/>
  <c r="G726" i="4" s="1"/>
  <c r="G865" i="4"/>
  <c r="F1056" i="3"/>
  <c r="G939" i="4"/>
  <c r="F298" i="3"/>
  <c r="G1033" i="4"/>
  <c r="G1066" i="4"/>
  <c r="G732" i="5"/>
  <c r="G941" i="5"/>
  <c r="G940" i="5" s="1"/>
  <c r="G1153" i="4"/>
  <c r="G1209" i="4"/>
  <c r="G1113" i="4"/>
  <c r="G962" i="4"/>
  <c r="G613" i="4"/>
  <c r="G167" i="4"/>
  <c r="G963" i="5"/>
  <c r="G824" i="5"/>
  <c r="G373" i="5"/>
  <c r="G672" i="5"/>
  <c r="G831" i="5"/>
  <c r="G849" i="5"/>
  <c r="G978" i="5"/>
  <c r="G55" i="5"/>
  <c r="G19" i="6"/>
  <c r="G18" i="6" s="1"/>
  <c r="G17" i="6" s="1"/>
  <c r="F49" i="3"/>
  <c r="F438" i="3"/>
  <c r="F556" i="3"/>
  <c r="F555" i="3" s="1"/>
  <c r="F614" i="3"/>
  <c r="F840" i="3"/>
  <c r="L807" i="3" s="1"/>
  <c r="F211" i="3"/>
  <c r="F443" i="3"/>
  <c r="F148" i="3"/>
  <c r="F15" i="3"/>
  <c r="F110" i="3"/>
  <c r="F199" i="3"/>
  <c r="F221" i="3"/>
  <c r="F376" i="3"/>
  <c r="F542" i="3"/>
  <c r="F573" i="3"/>
  <c r="F667" i="3"/>
  <c r="F902" i="3"/>
  <c r="F981" i="3"/>
  <c r="F1047" i="3"/>
  <c r="F207" i="3"/>
  <c r="F1000" i="3"/>
  <c r="F532" i="3"/>
  <c r="F849" i="3"/>
  <c r="F36" i="3"/>
  <c r="F202" i="3"/>
  <c r="F230" i="3"/>
  <c r="F546" i="3"/>
  <c r="F577" i="3"/>
  <c r="F997" i="3"/>
  <c r="F84" i="3"/>
  <c r="C50" i="1"/>
  <c r="E50" i="1" s="1"/>
  <c r="C194" i="1"/>
  <c r="C41" i="1"/>
  <c r="C75" i="1"/>
  <c r="F446" i="3"/>
  <c r="G739" i="5"/>
  <c r="C58" i="1"/>
  <c r="C57" i="1"/>
  <c r="C33" i="1"/>
  <c r="C60" i="1"/>
  <c r="C45" i="1"/>
  <c r="E45" i="1" s="1"/>
  <c r="C19" i="1"/>
  <c r="G921" i="5"/>
  <c r="G923" i="5"/>
  <c r="G898" i="5"/>
  <c r="G900" i="5"/>
  <c r="G888" i="5"/>
  <c r="G890" i="5"/>
  <c r="G892" i="5"/>
  <c r="G894" i="5"/>
  <c r="G883" i="5"/>
  <c r="G885" i="5"/>
  <c r="G878" i="5"/>
  <c r="G880" i="5"/>
  <c r="G867" i="5"/>
  <c r="G869" i="5"/>
  <c r="G855" i="5"/>
  <c r="G857" i="5"/>
  <c r="G840" i="5"/>
  <c r="G851" i="5"/>
  <c r="G853" i="5"/>
  <c r="G859" i="5"/>
  <c r="G861" i="5"/>
  <c r="G847" i="5"/>
  <c r="G818" i="5"/>
  <c r="G775" i="5"/>
  <c r="G777" i="5"/>
  <c r="G742" i="5"/>
  <c r="G744" i="5"/>
  <c r="G727" i="5"/>
  <c r="G729" i="5"/>
  <c r="G734" i="5"/>
  <c r="G736" i="5"/>
  <c r="G709" i="5"/>
  <c r="G711" i="5"/>
  <c r="G722" i="5"/>
  <c r="G663" i="5"/>
  <c r="G665" i="5"/>
  <c r="G442" i="5"/>
  <c r="G444" i="5"/>
  <c r="G431" i="5"/>
  <c r="G423" i="5"/>
  <c r="G425" i="5"/>
  <c r="G427" i="5"/>
  <c r="G429" i="5"/>
  <c r="G416" i="5"/>
  <c r="G418" i="5"/>
  <c r="G408" i="5"/>
  <c r="G410" i="5"/>
  <c r="G263" i="5"/>
  <c r="G265" i="5"/>
  <c r="G232" i="5"/>
  <c r="G234" i="5"/>
  <c r="G279" i="5"/>
  <c r="G281" i="5"/>
  <c r="G250" i="5"/>
  <c r="G252" i="5"/>
  <c r="G218" i="5"/>
  <c r="G220" i="5"/>
  <c r="G53" i="5"/>
  <c r="G922" i="4"/>
  <c r="F1058" i="3"/>
  <c r="G447" i="5"/>
  <c r="F1012" i="3"/>
  <c r="G918" i="4"/>
  <c r="F1054" i="3"/>
  <c r="G903" i="4"/>
  <c r="F1039" i="3"/>
  <c r="G909" i="5"/>
  <c r="F1033" i="3"/>
  <c r="G464" i="5"/>
  <c r="G465" i="5" s="1"/>
  <c r="F1068" i="3"/>
  <c r="F978" i="3"/>
  <c r="F945" i="3"/>
  <c r="F926" i="3"/>
  <c r="G38" i="6"/>
  <c r="G37" i="6" s="1"/>
  <c r="G36" i="6" s="1"/>
  <c r="G35" i="6" s="1"/>
  <c r="F980" i="3"/>
  <c r="G331" i="4"/>
  <c r="F726" i="3"/>
  <c r="F718" i="3"/>
  <c r="G334" i="4"/>
  <c r="F756" i="3"/>
  <c r="F814" i="3"/>
  <c r="F810" i="3" s="1"/>
  <c r="G805" i="4"/>
  <c r="F767" i="3"/>
  <c r="G836" i="4"/>
  <c r="F801" i="3"/>
  <c r="G625" i="4"/>
  <c r="F531" i="3"/>
  <c r="G255" i="5"/>
  <c r="F551" i="3"/>
  <c r="G225" i="5"/>
  <c r="F603" i="3"/>
  <c r="F622" i="3"/>
  <c r="F621" i="3" s="1"/>
  <c r="F620" i="3" s="1"/>
  <c r="G779" i="4"/>
  <c r="F682" i="3"/>
  <c r="G211" i="5"/>
  <c r="F538" i="3"/>
  <c r="F606" i="3"/>
  <c r="G268" i="5"/>
  <c r="F619" i="3"/>
  <c r="G830" i="4"/>
  <c r="G827" i="4" s="1"/>
  <c r="F795" i="3"/>
  <c r="G1148" i="4"/>
  <c r="G1143" i="4" s="1"/>
  <c r="F484" i="3"/>
  <c r="G690" i="4"/>
  <c r="F593" i="3"/>
  <c r="G237" i="5"/>
  <c r="F612" i="3"/>
  <c r="G813" i="4"/>
  <c r="F775" i="3"/>
  <c r="G1169" i="4"/>
  <c r="F508" i="3"/>
  <c r="F507" i="3" s="1"/>
  <c r="G273" i="5"/>
  <c r="F693" i="3"/>
  <c r="G811" i="4"/>
  <c r="F773" i="3"/>
  <c r="G834" i="4"/>
  <c r="F799" i="3"/>
  <c r="G1164" i="4"/>
  <c r="G184" i="4"/>
  <c r="G580" i="4"/>
  <c r="G579" i="4" s="1"/>
  <c r="F157" i="3"/>
  <c r="F383" i="3"/>
  <c r="F430" i="3"/>
  <c r="F433" i="3"/>
  <c r="G713" i="32" s="1"/>
  <c r="F257" i="3"/>
  <c r="F250" i="3"/>
  <c r="G1002" i="4"/>
  <c r="F338" i="3"/>
  <c r="G597" i="4"/>
  <c r="F341" i="3"/>
  <c r="G1008" i="4"/>
  <c r="F344" i="3"/>
  <c r="F387" i="3"/>
  <c r="G791" i="32" s="1"/>
  <c r="G217" i="4"/>
  <c r="F306" i="3"/>
  <c r="F284" i="3"/>
  <c r="F395" i="3"/>
  <c r="G805" i="32" s="1"/>
  <c r="F177" i="3"/>
  <c r="G71" i="4"/>
  <c r="F68" i="3"/>
  <c r="G73" i="4"/>
  <c r="F70" i="3"/>
  <c r="G76" i="4"/>
  <c r="F73" i="3"/>
  <c r="G78" i="4"/>
  <c r="F75" i="3"/>
  <c r="F683" i="3"/>
  <c r="F55" i="3"/>
  <c r="F358" i="3"/>
  <c r="G943" i="4"/>
  <c r="G1059" i="4"/>
  <c r="G1100" i="4"/>
  <c r="G311" i="4"/>
  <c r="G489" i="4"/>
  <c r="G790" i="4"/>
  <c r="G645" i="4"/>
  <c r="F991" i="3"/>
  <c r="G182" i="4"/>
  <c r="G215" i="4"/>
  <c r="G509" i="4"/>
  <c r="G506" i="4" s="1"/>
  <c r="G700" i="4"/>
  <c r="G947" i="4"/>
  <c r="G979" i="4"/>
  <c r="G458" i="4"/>
  <c r="G307" i="4"/>
  <c r="G1051" i="4"/>
  <c r="F470" i="3"/>
  <c r="F1060" i="3"/>
  <c r="G241" i="4"/>
  <c r="G252" i="4"/>
  <c r="G323" i="4"/>
  <c r="G513" i="4"/>
  <c r="G838" i="4"/>
  <c r="G876" i="4"/>
  <c r="G945" i="4"/>
  <c r="F435" i="3"/>
  <c r="F1010" i="3"/>
  <c r="F442" i="3"/>
  <c r="F479" i="3"/>
  <c r="F995" i="3"/>
  <c r="G178" i="4"/>
  <c r="G479" i="4"/>
  <c r="G483" i="4"/>
  <c r="G709" i="4"/>
  <c r="G716" i="4"/>
  <c r="G856" i="4"/>
  <c r="G860" i="4"/>
  <c r="G1028" i="4"/>
  <c r="G1091" i="4"/>
  <c r="G50" i="5"/>
  <c r="G360" i="4"/>
  <c r="G357" i="4" s="1"/>
  <c r="G215" i="5"/>
  <c r="G635" i="4"/>
  <c r="G259" i="5"/>
  <c r="F540" i="3"/>
  <c r="G1017" i="4"/>
  <c r="G1016" i="4" s="1"/>
  <c r="G956" i="5"/>
  <c r="G590" i="4"/>
  <c r="G772" i="4"/>
  <c r="F674" i="3"/>
  <c r="G920" i="4"/>
  <c r="G1005" i="4"/>
  <c r="F607" i="3"/>
  <c r="G14" i="4"/>
  <c r="G515" i="5"/>
  <c r="G381" i="4"/>
  <c r="G66" i="5"/>
  <c r="G502" i="4"/>
  <c r="G152" i="5"/>
  <c r="G621" i="4"/>
  <c r="G648" i="4"/>
  <c r="G28" i="5"/>
  <c r="G128" i="4"/>
  <c r="G703" i="4"/>
  <c r="G229" i="5"/>
  <c r="G724" i="4"/>
  <c r="F595" i="3"/>
  <c r="G392" i="4"/>
  <c r="G880" i="4"/>
  <c r="G1047" i="4"/>
  <c r="G1205" i="4"/>
  <c r="G1022" i="4"/>
  <c r="G1036" i="4"/>
  <c r="F427" i="3"/>
  <c r="G130" i="4"/>
  <c r="G358" i="4"/>
  <c r="G518" i="5"/>
  <c r="G383" i="4"/>
  <c r="G351" i="4"/>
  <c r="G54" i="4"/>
  <c r="G389" i="5"/>
  <c r="G385" i="5" s="1"/>
  <c r="G175" i="4"/>
  <c r="F246" i="3"/>
  <c r="G309" i="4"/>
  <c r="G379" i="4"/>
  <c r="F826" i="3"/>
  <c r="G390" i="4"/>
  <c r="G600" i="4"/>
  <c r="G599" i="4" s="1"/>
  <c r="F585" i="3"/>
  <c r="G244" i="5"/>
  <c r="G461" i="5"/>
  <c r="G930" i="4"/>
  <c r="G632" i="4"/>
  <c r="G683" i="4"/>
  <c r="G713" i="4"/>
  <c r="G25" i="5"/>
  <c r="G991" i="4"/>
  <c r="G1055" i="4"/>
  <c r="G1094" i="4"/>
  <c r="G714" i="5"/>
  <c r="G897" i="4"/>
  <c r="G932" i="4"/>
  <c r="G993" i="4"/>
  <c r="G1096" i="4"/>
  <c r="G1106" i="4"/>
  <c r="D18" i="2"/>
  <c r="F894" i="3"/>
  <c r="D31" i="31" l="1"/>
  <c r="D28" i="31" s="1"/>
  <c r="D52" i="31" s="1"/>
  <c r="F331" i="30"/>
  <c r="G792" i="32"/>
  <c r="G790" i="32"/>
  <c r="G789" i="32" s="1"/>
  <c r="G788" i="32" s="1"/>
  <c r="G787" i="32" s="1"/>
  <c r="G786" i="32" s="1"/>
  <c r="G714" i="32"/>
  <c r="G712" i="32"/>
  <c r="G705" i="32" s="1"/>
  <c r="G700" i="32" s="1"/>
  <c r="G699" i="32" s="1"/>
  <c r="G698" i="32" s="1"/>
  <c r="G690" i="32" s="1"/>
  <c r="G799" i="32"/>
  <c r="G797" i="32"/>
  <c r="G796" i="32" s="1"/>
  <c r="G795" i="32" s="1"/>
  <c r="G794" i="32" s="1"/>
  <c r="G793" i="32" s="1"/>
  <c r="G804" i="32"/>
  <c r="G803" i="32" s="1"/>
  <c r="G802" i="32" s="1"/>
  <c r="G801" i="32" s="1"/>
  <c r="G800" i="32" s="1"/>
  <c r="G806" i="32"/>
  <c r="F893" i="3"/>
  <c r="G1142" i="4"/>
  <c r="G457" i="4"/>
  <c r="G456" i="4" s="1"/>
  <c r="G1168" i="4"/>
  <c r="G1156" i="4" s="1"/>
  <c r="G290" i="4"/>
  <c r="F189" i="3"/>
  <c r="F188" i="3" s="1"/>
  <c r="G286" i="4"/>
  <c r="G389" i="4"/>
  <c r="G388" i="4" s="1"/>
  <c r="G47" i="6"/>
  <c r="G306" i="4"/>
  <c r="G305" i="4" s="1"/>
  <c r="G378" i="4"/>
  <c r="G374" i="4" s="1"/>
  <c r="G810" i="4"/>
  <c r="G809" i="4" s="1"/>
  <c r="D116" i="1"/>
  <c r="G232" i="4"/>
  <c r="G1256" i="4" s="1"/>
  <c r="G384" i="5"/>
  <c r="G378" i="5" s="1"/>
  <c r="G988" i="4"/>
  <c r="G159" i="4"/>
  <c r="G833" i="4"/>
  <c r="G832" i="4" s="1"/>
  <c r="G51" i="4"/>
  <c r="G562" i="4"/>
  <c r="G561" i="4" s="1"/>
  <c r="G560" i="4" s="1"/>
  <c r="G478" i="4"/>
  <c r="G474" i="4" s="1"/>
  <c r="G181" i="4"/>
  <c r="G105" i="4"/>
  <c r="G942" i="4"/>
  <c r="G938" i="4" s="1"/>
  <c r="G937" i="4" s="1"/>
  <c r="G240" i="4"/>
  <c r="D153" i="1" s="1"/>
  <c r="G917" i="4"/>
  <c r="G916" i="4" s="1"/>
  <c r="G915" i="4" s="1"/>
  <c r="G261" i="4"/>
  <c r="G260" i="4" s="1"/>
  <c r="G148" i="4"/>
  <c r="D157" i="1"/>
  <c r="G674" i="4"/>
  <c r="G517" i="4"/>
  <c r="G342" i="4"/>
  <c r="G675" i="4"/>
  <c r="G547" i="5"/>
  <c r="G543" i="5" s="1"/>
  <c r="G539" i="5" s="1"/>
  <c r="F167" i="3"/>
  <c r="F390" i="3"/>
  <c r="F553" i="3"/>
  <c r="F552" i="3" s="1"/>
  <c r="F152" i="3"/>
  <c r="G797" i="4"/>
  <c r="G612" i="4"/>
  <c r="G611" i="4" s="1"/>
  <c r="F626" i="3"/>
  <c r="F625" i="3" s="1"/>
  <c r="F624" i="3" s="1"/>
  <c r="G805" i="5"/>
  <c r="G806" i="5" s="1"/>
  <c r="G454" i="5"/>
  <c r="G453" i="5" s="1"/>
  <c r="F802" i="3"/>
  <c r="F217" i="3"/>
  <c r="F216" i="3" s="1"/>
  <c r="G839" i="5"/>
  <c r="F297" i="3"/>
  <c r="G731" i="5"/>
  <c r="G730" i="5" s="1"/>
  <c r="F165" i="3"/>
  <c r="G796" i="4"/>
  <c r="G286" i="5"/>
  <c r="G277" i="4"/>
  <c r="G278" i="4"/>
  <c r="G341" i="4"/>
  <c r="G733" i="5"/>
  <c r="G284" i="5"/>
  <c r="G283" i="5" s="1"/>
  <c r="G282" i="5" s="1"/>
  <c r="F105" i="3"/>
  <c r="G592" i="5"/>
  <c r="G590" i="5"/>
  <c r="G589" i="5" s="1"/>
  <c r="G594" i="5"/>
  <c r="G593" i="5" s="1"/>
  <c r="G70" i="5"/>
  <c r="G54" i="5"/>
  <c r="G1105" i="4"/>
  <c r="G631" i="4"/>
  <c r="G712" i="4"/>
  <c r="G1270" i="4"/>
  <c r="G174" i="4"/>
  <c r="G620" i="4"/>
  <c r="G619" i="4" s="1"/>
  <c r="G708" i="4"/>
  <c r="G251" i="4"/>
  <c r="G1050" i="4"/>
  <c r="G488" i="4"/>
  <c r="G1007" i="4"/>
  <c r="G999" i="4"/>
  <c r="G682" i="4"/>
  <c r="G681" i="4" s="1"/>
  <c r="G350" i="4"/>
  <c r="G1204" i="4"/>
  <c r="G1198" i="4" s="1"/>
  <c r="G723" i="4"/>
  <c r="G722" i="4" s="1"/>
  <c r="G771" i="4"/>
  <c r="G770" i="4" s="1"/>
  <c r="G634" i="4"/>
  <c r="G859" i="4"/>
  <c r="G858" i="4" s="1"/>
  <c r="G699" i="4"/>
  <c r="G624" i="4"/>
  <c r="G333" i="4"/>
  <c r="G902" i="4"/>
  <c r="G901" i="4" s="1"/>
  <c r="G1065" i="4"/>
  <c r="G1190" i="4"/>
  <c r="G207" i="4"/>
  <c r="G1069" i="4"/>
  <c r="G670" i="4"/>
  <c r="G1116" i="4"/>
  <c r="G1061" i="4"/>
  <c r="G784" i="4"/>
  <c r="G140" i="4"/>
  <c r="G60" i="4"/>
  <c r="G764" i="4"/>
  <c r="G759" i="4"/>
  <c r="G896" i="4"/>
  <c r="G1046" i="4"/>
  <c r="G501" i="4"/>
  <c r="G13" i="4"/>
  <c r="G1004" i="4"/>
  <c r="G589" i="4"/>
  <c r="G855" i="4"/>
  <c r="G854" i="4" s="1"/>
  <c r="G644" i="4"/>
  <c r="G789" i="4"/>
  <c r="G1099" i="4"/>
  <c r="G596" i="4"/>
  <c r="G330" i="4"/>
  <c r="G879" i="4"/>
  <c r="G702" i="4"/>
  <c r="G647" i="4"/>
  <c r="G1090" i="4"/>
  <c r="G715" i="4"/>
  <c r="G177" i="4"/>
  <c r="G875" i="4"/>
  <c r="G320" i="4"/>
  <c r="G316" i="4" s="1"/>
  <c r="G978" i="4"/>
  <c r="G1058" i="4"/>
  <c r="G689" i="4"/>
  <c r="G685" i="4" s="1"/>
  <c r="G162" i="5"/>
  <c r="G413" i="4"/>
  <c r="G144" i="4"/>
  <c r="G227" i="4"/>
  <c r="G983" i="4"/>
  <c r="F12" i="3"/>
  <c r="G164" i="5"/>
  <c r="G804" i="4"/>
  <c r="G671" i="5"/>
  <c r="G961" i="4"/>
  <c r="G65" i="5"/>
  <c r="G955" i="5"/>
  <c r="G249" i="5"/>
  <c r="G662" i="5"/>
  <c r="G708" i="5"/>
  <c r="G817" i="5"/>
  <c r="G887" i="5"/>
  <c r="G877" i="5"/>
  <c r="G891" i="5"/>
  <c r="G897" i="5"/>
  <c r="G896" i="5" s="1"/>
  <c r="G914" i="5"/>
  <c r="G262" i="5"/>
  <c r="G415" i="5"/>
  <c r="G414" i="5" s="1"/>
  <c r="G422" i="5"/>
  <c r="G441" i="5"/>
  <c r="G866" i="5"/>
  <c r="G882" i="5"/>
  <c r="G920" i="5"/>
  <c r="G774" i="5"/>
  <c r="G773" i="5" s="1"/>
  <c r="G846" i="5"/>
  <c r="G858" i="5"/>
  <c r="G977" i="5"/>
  <c r="G830" i="5"/>
  <c r="G372" i="5"/>
  <c r="G962" i="5"/>
  <c r="G151" i="5"/>
  <c r="G150" i="5" s="1"/>
  <c r="G149" i="5" s="1"/>
  <c r="G278" i="5"/>
  <c r="G277" i="5" s="1"/>
  <c r="G231" i="5"/>
  <c r="G407" i="5"/>
  <c r="G406" i="5" s="1"/>
  <c r="G426" i="5"/>
  <c r="G430" i="5"/>
  <c r="G217" i="5"/>
  <c r="G726" i="5"/>
  <c r="G741" i="5"/>
  <c r="G850" i="5"/>
  <c r="G854" i="5"/>
  <c r="G939" i="5"/>
  <c r="G823" i="5"/>
  <c r="G166" i="4"/>
  <c r="F245" i="3"/>
  <c r="F539" i="3"/>
  <c r="F1008" i="3"/>
  <c r="F80" i="3"/>
  <c r="F537" i="3"/>
  <c r="F979" i="3"/>
  <c r="F441" i="3"/>
  <c r="F692" i="3"/>
  <c r="F618" i="3"/>
  <c r="F1067" i="3"/>
  <c r="F206" i="3"/>
  <c r="F437" i="3"/>
  <c r="F584" i="3"/>
  <c r="F583" i="3" s="1"/>
  <c r="F825" i="3"/>
  <c r="F824" i="3" s="1"/>
  <c r="F426" i="3"/>
  <c r="F51" i="3"/>
  <c r="F673" i="3"/>
  <c r="F672" i="3" s="1"/>
  <c r="F994" i="3"/>
  <c r="F993" i="3" s="1"/>
  <c r="F434" i="3"/>
  <c r="F74" i="3"/>
  <c r="F82" i="3"/>
  <c r="F72" i="3"/>
  <c r="F67" i="3"/>
  <c r="F340" i="3"/>
  <c r="F249" i="3"/>
  <c r="F681" i="3"/>
  <c r="F725" i="3"/>
  <c r="F445" i="3"/>
  <c r="F69" i="3"/>
  <c r="F343" i="3"/>
  <c r="F337" i="3"/>
  <c r="F156" i="3"/>
  <c r="F155" i="3" s="1"/>
  <c r="F47" i="3"/>
  <c r="F34" i="3"/>
  <c r="F594" i="3"/>
  <c r="F469" i="3"/>
  <c r="F54" i="3"/>
  <c r="F283" i="3"/>
  <c r="F429" i="3"/>
  <c r="F798" i="3"/>
  <c r="F504" i="3"/>
  <c r="F611" i="3"/>
  <c r="F483" i="3"/>
  <c r="F605" i="3"/>
  <c r="F602" i="3"/>
  <c r="F766" i="3"/>
  <c r="F717" i="3"/>
  <c r="F944" i="3"/>
  <c r="F1086" i="3"/>
  <c r="F1038" i="3"/>
  <c r="F1057" i="3"/>
  <c r="F229" i="3"/>
  <c r="F963" i="3"/>
  <c r="F220" i="3"/>
  <c r="F45" i="3"/>
  <c r="F990" i="3"/>
  <c r="F989" i="3" s="1"/>
  <c r="F357" i="3"/>
  <c r="F305" i="3"/>
  <c r="F351" i="3"/>
  <c r="F772" i="3"/>
  <c r="F774" i="3"/>
  <c r="F794" i="3"/>
  <c r="F791" i="3" s="1"/>
  <c r="F787" i="3" s="1"/>
  <c r="F550" i="3"/>
  <c r="F800" i="3"/>
  <c r="F728" i="3"/>
  <c r="F925" i="3"/>
  <c r="F977" i="3"/>
  <c r="F1032" i="3"/>
  <c r="F1053" i="3"/>
  <c r="F1078" i="3"/>
  <c r="F576" i="3"/>
  <c r="F666" i="3"/>
  <c r="F572" i="3"/>
  <c r="F362" i="3"/>
  <c r="F210" i="3"/>
  <c r="C18" i="1"/>
  <c r="C193" i="1"/>
  <c r="C44" i="1"/>
  <c r="D44" i="1" s="1"/>
  <c r="F394" i="3"/>
  <c r="G812" i="5"/>
  <c r="F386" i="3"/>
  <c r="G798" i="5"/>
  <c r="F382" i="3"/>
  <c r="G791" i="5"/>
  <c r="G740" i="5"/>
  <c r="G738" i="5"/>
  <c r="F431" i="3"/>
  <c r="G720" i="5"/>
  <c r="G908" i="5"/>
  <c r="G910" i="5"/>
  <c r="G713" i="5"/>
  <c r="G715" i="5"/>
  <c r="G514" i="5"/>
  <c r="G516" i="5"/>
  <c r="G517" i="5"/>
  <c r="G519" i="5"/>
  <c r="G463" i="5"/>
  <c r="G460" i="5"/>
  <c r="G462" i="5"/>
  <c r="G446" i="5"/>
  <c r="G448" i="5"/>
  <c r="G243" i="5"/>
  <c r="G245" i="5"/>
  <c r="G272" i="5"/>
  <c r="G274" i="5"/>
  <c r="G267" i="5"/>
  <c r="G269" i="5"/>
  <c r="G236" i="5"/>
  <c r="G238" i="5"/>
  <c r="G224" i="5"/>
  <c r="G226" i="5"/>
  <c r="G228" i="5"/>
  <c r="G230" i="5"/>
  <c r="G254" i="5"/>
  <c r="G256" i="5"/>
  <c r="G258" i="5"/>
  <c r="G260" i="5"/>
  <c r="G210" i="5"/>
  <c r="G212" i="5"/>
  <c r="G214" i="5"/>
  <c r="G216" i="5"/>
  <c r="G24" i="5"/>
  <c r="G26" i="5"/>
  <c r="G27" i="5"/>
  <c r="G29" i="5"/>
  <c r="G691" i="5"/>
  <c r="G778" i="4"/>
  <c r="G777" i="4" s="1"/>
  <c r="G200" i="5"/>
  <c r="F592" i="3"/>
  <c r="G187" i="5"/>
  <c r="F530" i="3"/>
  <c r="G174" i="5"/>
  <c r="F755" i="3"/>
  <c r="F1006" i="3"/>
  <c r="F1055" i="3"/>
  <c r="F1059" i="3"/>
  <c r="G252" i="3"/>
  <c r="G214" i="4"/>
  <c r="G75" i="4"/>
  <c r="D158" i="1" s="1"/>
  <c r="E158" i="1" s="1"/>
  <c r="G70" i="4"/>
  <c r="G1027" i="4"/>
  <c r="F176" i="3"/>
  <c r="F1076" i="3"/>
  <c r="G1054" i="4"/>
  <c r="G127" i="4"/>
  <c r="G1093" i="4"/>
  <c r="G929" i="4"/>
  <c r="G511" i="5" l="1"/>
  <c r="G506" i="5" s="1"/>
  <c r="K331" i="30"/>
  <c r="H331" i="30"/>
  <c r="F1084" i="30"/>
  <c r="G778" i="32"/>
  <c r="J589" i="5"/>
  <c r="G588" i="5"/>
  <c r="G587" i="5" s="1"/>
  <c r="G586" i="5" s="1"/>
  <c r="G1264" i="4"/>
  <c r="G329" i="4"/>
  <c r="G623" i="4"/>
  <c r="G66" i="4"/>
  <c r="G250" i="4"/>
  <c r="G249" i="4" s="1"/>
  <c r="E18" i="1"/>
  <c r="E10" i="1" s="1"/>
  <c r="C10" i="1"/>
  <c r="G1268" i="4"/>
  <c r="G1233" i="4"/>
  <c r="G421" i="5"/>
  <c r="G420" i="5" s="1"/>
  <c r="G419" i="5" s="1"/>
  <c r="G803" i="4"/>
  <c r="G802" i="4" s="1"/>
  <c r="G711" i="4"/>
  <c r="G139" i="4"/>
  <c r="F205" i="3"/>
  <c r="G998" i="4"/>
  <c r="D152" i="1"/>
  <c r="E152" i="1" s="1"/>
  <c r="G213" i="4"/>
  <c r="G838" i="5"/>
  <c r="G1089" i="4"/>
  <c r="G1084" i="4" s="1"/>
  <c r="G1261" i="4" s="1"/>
  <c r="G538" i="5"/>
  <c r="G537" i="5" s="1"/>
  <c r="G536" i="5" s="1"/>
  <c r="G20" i="5"/>
  <c r="F292" i="3"/>
  <c r="F291" i="3" s="1"/>
  <c r="G640" i="4"/>
  <c r="G50" i="4"/>
  <c r="D171" i="1"/>
  <c r="G231" i="4"/>
  <c r="G173" i="4"/>
  <c r="F389" i="3"/>
  <c r="F388" i="3" s="1"/>
  <c r="F164" i="3"/>
  <c r="F147" i="3"/>
  <c r="G804" i="5"/>
  <c r="G803" i="5" s="1"/>
  <c r="G455" i="5"/>
  <c r="F104" i="3"/>
  <c r="F103" i="3" s="1"/>
  <c r="G1015" i="4"/>
  <c r="G1014" i="4" s="1"/>
  <c r="F11" i="3"/>
  <c r="G285" i="4"/>
  <c r="G284" i="4" s="1"/>
  <c r="G630" i="4"/>
  <c r="F1052" i="3"/>
  <c r="F1051" i="3" s="1"/>
  <c r="F1050" i="3" s="1"/>
  <c r="G1197" i="4"/>
  <c r="G595" i="4"/>
  <c r="G594" i="4" s="1"/>
  <c r="F771" i="3"/>
  <c r="F770" i="3" s="1"/>
  <c r="G698" i="4"/>
  <c r="F71" i="3"/>
  <c r="G69" i="5"/>
  <c r="G68" i="5" s="1"/>
  <c r="G161" i="5"/>
  <c r="G160" i="5" s="1"/>
  <c r="G371" i="5"/>
  <c r="G104" i="5"/>
  <c r="G102" i="5"/>
  <c r="G101" i="5" s="1"/>
  <c r="G100" i="5" s="1"/>
  <c r="G826" i="4"/>
  <c r="G825" i="4" s="1"/>
  <c r="G1057" i="4"/>
  <c r="G373" i="4"/>
  <c r="G878" i="4"/>
  <c r="G1245" i="4" s="1"/>
  <c r="G500" i="4"/>
  <c r="G895" i="4"/>
  <c r="G219" i="4"/>
  <c r="G1254" i="4" s="1"/>
  <c r="G669" i="4"/>
  <c r="G1189" i="4"/>
  <c r="G349" i="4"/>
  <c r="G578" i="4"/>
  <c r="G928" i="4"/>
  <c r="G927" i="4" s="1"/>
  <c r="G239" i="4"/>
  <c r="G1242" i="4" s="1"/>
  <c r="G126" i="4"/>
  <c r="G121" i="4" s="1"/>
  <c r="G1053" i="4"/>
  <c r="G356" i="4"/>
  <c r="G977" i="4"/>
  <c r="G871" i="4"/>
  <c r="G469" i="4"/>
  <c r="F350" i="3"/>
  <c r="F349" i="3" s="1"/>
  <c r="G180" i="4"/>
  <c r="G226" i="4"/>
  <c r="G788" i="4"/>
  <c r="G505" i="4"/>
  <c r="G504" i="4" s="1"/>
  <c r="G588" i="4"/>
  <c r="G12" i="4"/>
  <c r="G1045" i="4"/>
  <c r="G758" i="4"/>
  <c r="G763" i="4"/>
  <c r="G447" i="4"/>
  <c r="G487" i="4"/>
  <c r="G486" i="4" s="1"/>
  <c r="G1049" i="4"/>
  <c r="G104" i="4"/>
  <c r="G960" i="4"/>
  <c r="G959" i="4" s="1"/>
  <c r="G886" i="5"/>
  <c r="G907" i="5"/>
  <c r="G961" i="5"/>
  <c r="G223" i="5"/>
  <c r="G445" i="5"/>
  <c r="G213" i="5"/>
  <c r="G271" i="5"/>
  <c r="G165" i="4"/>
  <c r="G938" i="5"/>
  <c r="G829" i="5"/>
  <c r="G976" i="5"/>
  <c r="G209" i="5"/>
  <c r="G242" i="5"/>
  <c r="G241" i="5" s="1"/>
  <c r="G253" i="5"/>
  <c r="G881" i="5"/>
  <c r="G954" i="5"/>
  <c r="F44" i="3"/>
  <c r="F66" i="3"/>
  <c r="G257" i="5"/>
  <c r="G227" i="5"/>
  <c r="G235" i="5"/>
  <c r="G266" i="5"/>
  <c r="G261" i="5" s="1"/>
  <c r="G737" i="5"/>
  <c r="G452" i="5"/>
  <c r="G919" i="5"/>
  <c r="G865" i="5"/>
  <c r="G913" i="5"/>
  <c r="G876" i="5"/>
  <c r="G816" i="5"/>
  <c r="G661" i="5"/>
  <c r="G660" i="5" s="1"/>
  <c r="G647" i="5" s="1"/>
  <c r="G64" i="5"/>
  <c r="F754" i="3"/>
  <c r="F385" i="3"/>
  <c r="F215" i="3"/>
  <c r="F214" i="3"/>
  <c r="F665" i="3"/>
  <c r="F714" i="3"/>
  <c r="F710" i="3" s="1"/>
  <c r="F601" i="3"/>
  <c r="F248" i="3"/>
  <c r="F440" i="3"/>
  <c r="F428" i="3"/>
  <c r="F797" i="3"/>
  <c r="F976" i="3"/>
  <c r="L932" i="3" s="1"/>
  <c r="F529" i="3"/>
  <c r="F528" i="3" s="1"/>
  <c r="F591" i="3"/>
  <c r="F587" i="3" s="1"/>
  <c r="F381" i="3"/>
  <c r="F393" i="3"/>
  <c r="F251" i="3"/>
  <c r="F727" i="3"/>
  <c r="F1085" i="3"/>
  <c r="F342" i="3"/>
  <c r="F724" i="3"/>
  <c r="F478" i="3"/>
  <c r="F477" i="3" s="1"/>
  <c r="F79" i="3"/>
  <c r="F571" i="3"/>
  <c r="F1031" i="3"/>
  <c r="F924" i="3"/>
  <c r="F549" i="3"/>
  <c r="F302" i="3"/>
  <c r="F219" i="3"/>
  <c r="F1037" i="3"/>
  <c r="F1036" i="3" s="1"/>
  <c r="F943" i="3"/>
  <c r="F765" i="3"/>
  <c r="F764" i="3" s="1"/>
  <c r="F604" i="3"/>
  <c r="F610" i="3"/>
  <c r="F282" i="3"/>
  <c r="F53" i="3"/>
  <c r="F468" i="3"/>
  <c r="F33" i="3"/>
  <c r="F27" i="3" s="1"/>
  <c r="F334" i="3"/>
  <c r="F680" i="3"/>
  <c r="F679" i="3" s="1"/>
  <c r="F339" i="3"/>
  <c r="F425" i="3"/>
  <c r="F892" i="3"/>
  <c r="F1064" i="3"/>
  <c r="F617" i="3"/>
  <c r="F691" i="3"/>
  <c r="F536" i="3"/>
  <c r="G799" i="5"/>
  <c r="G797" i="5"/>
  <c r="G721" i="5"/>
  <c r="G719" i="5"/>
  <c r="G792" i="5"/>
  <c r="G790" i="5"/>
  <c r="G813" i="5"/>
  <c r="G811" i="5"/>
  <c r="G610" i="4"/>
  <c r="G459" i="5"/>
  <c r="G370" i="5"/>
  <c r="G199" i="5"/>
  <c r="G201" i="5"/>
  <c r="G186" i="5"/>
  <c r="G188" i="5"/>
  <c r="G173" i="5"/>
  <c r="G175" i="5"/>
  <c r="G47" i="5"/>
  <c r="G49" i="5"/>
  <c r="G822" i="5"/>
  <c r="G33" i="5"/>
  <c r="F1073" i="3"/>
  <c r="F175" i="3"/>
  <c r="F174" i="3" s="1"/>
  <c r="G987" i="4"/>
  <c r="G982" i="4"/>
  <c r="G1251" i="4" s="1"/>
  <c r="F809" i="3" l="1"/>
  <c r="F808" i="3" s="1"/>
  <c r="F10" i="3"/>
  <c r="F9" i="3" s="1"/>
  <c r="G853" i="4"/>
  <c r="G1258" i="4" s="1"/>
  <c r="G1260" i="4"/>
  <c r="G680" i="4"/>
  <c r="G679" i="4" s="1"/>
  <c r="G372" i="4"/>
  <c r="F723" i="3"/>
  <c r="F698" i="3" s="1"/>
  <c r="F59" i="3"/>
  <c r="L8" i="3" s="1"/>
  <c r="G1216" i="4"/>
  <c r="C200" i="1"/>
  <c r="G769" i="4"/>
  <c r="G1236" i="4"/>
  <c r="L330" i="3"/>
  <c r="F466" i="3"/>
  <c r="G1230" i="4"/>
  <c r="G618" i="4"/>
  <c r="F333" i="3"/>
  <c r="G148" i="5"/>
  <c r="F424" i="3"/>
  <c r="F419" i="3" s="1"/>
  <c r="F163" i="3"/>
  <c r="G164" i="3"/>
  <c r="G302" i="3"/>
  <c r="G62" i="3"/>
  <c r="G304" i="4"/>
  <c r="G1259" i="4" s="1"/>
  <c r="G49" i="4"/>
  <c r="G48" i="4" s="1"/>
  <c r="G348" i="4"/>
  <c r="G347" i="4" s="1"/>
  <c r="G238" i="4"/>
  <c r="G237" i="4" s="1"/>
  <c r="G172" i="4"/>
  <c r="G171" i="4" s="1"/>
  <c r="G202" i="4"/>
  <c r="G201" i="4" s="1"/>
  <c r="G212" i="4"/>
  <c r="G211" i="4" s="1"/>
  <c r="F143" i="3"/>
  <c r="K11" i="3" s="1"/>
  <c r="G997" i="4"/>
  <c r="G996" i="4" s="1"/>
  <c r="G240" i="5"/>
  <c r="G900" i="4"/>
  <c r="G837" i="5"/>
  <c r="G836" i="5" s="1"/>
  <c r="G208" i="5"/>
  <c r="G103" i="4"/>
  <c r="G225" i="4"/>
  <c r="G1044" i="4"/>
  <c r="G1013" i="4" s="1"/>
  <c r="G283" i="4"/>
  <c r="G11" i="4"/>
  <c r="G10" i="4" s="1"/>
  <c r="G559" i="4"/>
  <c r="G577" i="4"/>
  <c r="G1188" i="4"/>
  <c r="G894" i="4"/>
  <c r="G1265" i="4" s="1"/>
  <c r="G593" i="4"/>
  <c r="G1196" i="4"/>
  <c r="G1195" i="4" s="1"/>
  <c r="G1141" i="4"/>
  <c r="G1140" i="4" s="1"/>
  <c r="G587" i="4"/>
  <c r="G976" i="4"/>
  <c r="G499" i="4"/>
  <c r="G498" i="4" s="1"/>
  <c r="G808" i="4"/>
  <c r="G1266" i="4"/>
  <c r="G815" i="5"/>
  <c r="G814" i="5" s="1"/>
  <c r="G609" i="4"/>
  <c r="G222" i="5"/>
  <c r="G821" i="5"/>
  <c r="G172" i="5"/>
  <c r="G171" i="5" s="1"/>
  <c r="G198" i="5"/>
  <c r="G197" i="5" s="1"/>
  <c r="G458" i="5"/>
  <c r="G918" i="5"/>
  <c r="G906" i="5"/>
  <c r="G789" i="5"/>
  <c r="G796" i="5"/>
  <c r="G875" i="5"/>
  <c r="G828" i="5"/>
  <c r="G810" i="5"/>
  <c r="G712" i="5"/>
  <c r="G707" i="5" s="1"/>
  <c r="G706" i="5" s="1"/>
  <c r="G705" i="5" s="1"/>
  <c r="G953" i="5"/>
  <c r="G974" i="5"/>
  <c r="G975" i="5"/>
  <c r="G276" i="5"/>
  <c r="G275" i="5" s="1"/>
  <c r="G164" i="4"/>
  <c r="G916" i="5"/>
  <c r="G912" i="5"/>
  <c r="G405" i="5"/>
  <c r="G270" i="5"/>
  <c r="G960" i="5"/>
  <c r="G19" i="5"/>
  <c r="G937" i="5"/>
  <c r="G185" i="5"/>
  <c r="G180" i="5" s="1"/>
  <c r="G248" i="5"/>
  <c r="G63" i="5"/>
  <c r="G895" i="5"/>
  <c r="G864" i="5"/>
  <c r="G451" i="5"/>
  <c r="G802" i="5"/>
  <c r="G489" i="5"/>
  <c r="J489" i="5" s="1"/>
  <c r="G440" i="5"/>
  <c r="F975" i="3"/>
  <c r="F503" i="3"/>
  <c r="F491" i="3" s="1"/>
  <c r="F690" i="3"/>
  <c r="F671" i="3" s="1"/>
  <c r="F1063" i="3"/>
  <c r="F1062" i="3" s="1"/>
  <c r="F763" i="3"/>
  <c r="F301" i="3"/>
  <c r="L268" i="3" s="1"/>
  <c r="F1030" i="3"/>
  <c r="F286" i="3"/>
  <c r="F1084" i="3"/>
  <c r="F769" i="3"/>
  <c r="F392" i="3"/>
  <c r="F796" i="3"/>
  <c r="F384" i="3"/>
  <c r="F753" i="3"/>
  <c r="F154" i="3"/>
  <c r="F600" i="3"/>
  <c r="F244" i="3"/>
  <c r="F545" i="3"/>
  <c r="F535" i="3"/>
  <c r="F613" i="3"/>
  <c r="F630" i="3"/>
  <c r="F467" i="3"/>
  <c r="F281" i="3"/>
  <c r="F942" i="3"/>
  <c r="F923" i="3"/>
  <c r="F43" i="3"/>
  <c r="K10" i="3" s="1"/>
  <c r="F380" i="3"/>
  <c r="G32" i="5"/>
  <c r="G46" i="5"/>
  <c r="G11" i="5"/>
  <c r="F1072" i="3"/>
  <c r="G981" i="4"/>
  <c r="G646" i="5" l="1"/>
  <c r="G303" i="4"/>
  <c r="G617" i="4"/>
  <c r="G1253" i="4"/>
  <c r="G1272" i="4" s="1"/>
  <c r="G1249" i="4"/>
  <c r="F413" i="3"/>
  <c r="D30" i="2" s="1"/>
  <c r="F523" i="3"/>
  <c r="F670" i="3"/>
  <c r="D11" i="2"/>
  <c r="G247" i="5"/>
  <c r="G1262" i="4"/>
  <c r="G576" i="4"/>
  <c r="G852" i="4"/>
  <c r="G200" i="4"/>
  <c r="G207" i="5"/>
  <c r="G221" i="5"/>
  <c r="G592" i="4"/>
  <c r="G1187" i="4"/>
  <c r="G9" i="4"/>
  <c r="G485" i="4"/>
  <c r="G455" i="4" s="1"/>
  <c r="G807" i="4"/>
  <c r="G936" i="4"/>
  <c r="G248" i="4"/>
  <c r="G224" i="4"/>
  <c r="G170" i="4"/>
  <c r="G1267" i="4"/>
  <c r="G1263" i="4"/>
  <c r="G31" i="4"/>
  <c r="G975" i="4"/>
  <c r="G899" i="4"/>
  <c r="G282" i="4"/>
  <c r="G958" i="4"/>
  <c r="G99" i="5"/>
  <c r="G98" i="5" s="1"/>
  <c r="G97" i="5" s="1"/>
  <c r="G45" i="5"/>
  <c r="G863" i="5"/>
  <c r="G163" i="4"/>
  <c r="G981" i="5"/>
  <c r="G788" i="5"/>
  <c r="G905" i="5"/>
  <c r="G917" i="5"/>
  <c r="G457" i="5"/>
  <c r="G450" i="5"/>
  <c r="G801" i="5"/>
  <c r="G62" i="5"/>
  <c r="G936" i="5"/>
  <c r="G935" i="5" s="1"/>
  <c r="G403" i="5"/>
  <c r="G404" i="5"/>
  <c r="G239" i="5"/>
  <c r="G439" i="5"/>
  <c r="G18" i="5"/>
  <c r="G958" i="5"/>
  <c r="G959" i="5"/>
  <c r="G952" i="5"/>
  <c r="G809" i="5"/>
  <c r="G505" i="5"/>
  <c r="G835" i="5"/>
  <c r="G413" i="5"/>
  <c r="G911" i="5"/>
  <c r="G795" i="5"/>
  <c r="G377" i="5"/>
  <c r="G369" i="5" s="1"/>
  <c r="F26" i="3"/>
  <c r="F379" i="3"/>
  <c r="F348" i="3" s="1"/>
  <c r="F285" i="3"/>
  <c r="F1035" i="3"/>
  <c r="F1034" i="3" s="1"/>
  <c r="F974" i="3"/>
  <c r="F1071" i="3"/>
  <c r="F476" i="3"/>
  <c r="F280" i="3"/>
  <c r="F243" i="3"/>
  <c r="F242" i="3" s="1"/>
  <c r="F332" i="3"/>
  <c r="F270" i="3"/>
  <c r="F922" i="3"/>
  <c r="F941" i="3"/>
  <c r="F940" i="3" s="1"/>
  <c r="F1029" i="3"/>
  <c r="F629" i="3"/>
  <c r="F173" i="3"/>
  <c r="F172" i="3" s="1"/>
  <c r="F142" i="3"/>
  <c r="F745" i="3"/>
  <c r="F786" i="3"/>
  <c r="F1083" i="3"/>
  <c r="F300" i="3"/>
  <c r="F42" i="3"/>
  <c r="G597" i="5"/>
  <c r="K142" i="3" l="1"/>
  <c r="F141" i="3"/>
  <c r="G488" i="5"/>
  <c r="G487" i="5" s="1"/>
  <c r="G247" i="4"/>
  <c r="G1252" i="4"/>
  <c r="D17" i="2"/>
  <c r="G1225" i="4"/>
  <c r="F628" i="3"/>
  <c r="F582" i="3" s="1"/>
  <c r="F581" i="3" s="1"/>
  <c r="G30" i="4"/>
  <c r="G851" i="4"/>
  <c r="J505" i="5"/>
  <c r="G170" i="5"/>
  <c r="G169" i="5" s="1"/>
  <c r="G206" i="5"/>
  <c r="F475" i="3"/>
  <c r="G698" i="5"/>
  <c r="G697" i="5" s="1"/>
  <c r="G346" i="4"/>
  <c r="G302" i="4" s="1"/>
  <c r="G1078" i="4"/>
  <c r="G935" i="4"/>
  <c r="G974" i="4"/>
  <c r="G1228" i="4" s="1"/>
  <c r="G768" i="4"/>
  <c r="G558" i="4"/>
  <c r="G1186" i="4"/>
  <c r="G801" i="4"/>
  <c r="G497" i="4"/>
  <c r="G794" i="5"/>
  <c r="G17" i="5"/>
  <c r="G449" i="5"/>
  <c r="G412" i="5"/>
  <c r="G950" i="5"/>
  <c r="G951" i="5"/>
  <c r="G965" i="5"/>
  <c r="G772" i="5"/>
  <c r="G787" i="5"/>
  <c r="G44" i="5"/>
  <c r="G61" i="5"/>
  <c r="G874" i="5"/>
  <c r="G800" i="5"/>
  <c r="G808" i="5"/>
  <c r="G438" i="5"/>
  <c r="G456" i="5"/>
  <c r="G1224" i="4"/>
  <c r="G246" i="5"/>
  <c r="F939" i="3"/>
  <c r="D25" i="2"/>
  <c r="F269" i="3"/>
  <c r="F331" i="3"/>
  <c r="F279" i="3"/>
  <c r="F1070" i="3"/>
  <c r="F768" i="3"/>
  <c r="F102" i="3"/>
  <c r="D14" i="2" s="1"/>
  <c r="F41" i="3"/>
  <c r="F299" i="3"/>
  <c r="F744" i="3"/>
  <c r="F1015" i="3"/>
  <c r="F921" i="3"/>
  <c r="F973" i="3"/>
  <c r="F25" i="3"/>
  <c r="G147" i="5" l="1"/>
  <c r="G990" i="5" s="1"/>
  <c r="D13" i="2"/>
  <c r="K9" i="3"/>
  <c r="G411" i="5"/>
  <c r="F891" i="3"/>
  <c r="F807" i="3" s="1"/>
  <c r="G1226" i="4"/>
  <c r="G995" i="4"/>
  <c r="G862" i="5"/>
  <c r="G557" i="4"/>
  <c r="K487" i="5"/>
  <c r="F932" i="3"/>
  <c r="K932" i="3" s="1"/>
  <c r="G371" i="4"/>
  <c r="G616" i="4"/>
  <c r="G1234" i="4" s="1"/>
  <c r="F522" i="3"/>
  <c r="D33" i="2" s="1"/>
  <c r="G986" i="32"/>
  <c r="G1229" i="4"/>
  <c r="G1194" i="4"/>
  <c r="G246" i="4"/>
  <c r="G496" i="4"/>
  <c r="G942" i="5"/>
  <c r="G43" i="5"/>
  <c r="G807" i="5"/>
  <c r="G786" i="5"/>
  <c r="G793" i="5"/>
  <c r="G60" i="5"/>
  <c r="G771" i="5"/>
  <c r="G957" i="5"/>
  <c r="G9" i="5"/>
  <c r="D45" i="2"/>
  <c r="D26" i="2"/>
  <c r="D29" i="2"/>
  <c r="D24" i="2"/>
  <c r="F268" i="3"/>
  <c r="K268" i="3" s="1"/>
  <c r="D23" i="2"/>
  <c r="F241" i="3"/>
  <c r="D21" i="2"/>
  <c r="D31" i="2"/>
  <c r="F330" i="3"/>
  <c r="D39" i="2"/>
  <c r="F8" i="3"/>
  <c r="K8" i="3" s="1"/>
  <c r="D12" i="2"/>
  <c r="F1014" i="3"/>
  <c r="F743" i="3"/>
  <c r="D37" i="2"/>
  <c r="F1069" i="3"/>
  <c r="D50" i="2"/>
  <c r="D28" i="2"/>
  <c r="D40" i="2" l="1"/>
  <c r="G1240" i="4"/>
  <c r="G1231" i="4"/>
  <c r="G1232" i="4" s="1"/>
  <c r="G1221" i="4"/>
  <c r="G992" i="5"/>
  <c r="G785" i="5"/>
  <c r="H330" i="3"/>
  <c r="K330" i="3"/>
  <c r="K807" i="3"/>
  <c r="G608" i="4"/>
  <c r="G1237" i="4"/>
  <c r="G245" i="4"/>
  <c r="G934" i="4"/>
  <c r="G770" i="5"/>
  <c r="I862" i="5"/>
  <c r="G31" i="5"/>
  <c r="G30" i="5" s="1"/>
  <c r="G67" i="5"/>
  <c r="F1013" i="3"/>
  <c r="F988" i="3" s="1"/>
  <c r="D36" i="2"/>
  <c r="D10" i="2"/>
  <c r="D35" i="2"/>
  <c r="D48" i="2"/>
  <c r="D43" i="2"/>
  <c r="D41" i="2" s="1"/>
  <c r="D49" i="2"/>
  <c r="D38" i="2"/>
  <c r="D20" i="2"/>
  <c r="D22" i="2"/>
  <c r="F987" i="3" l="1"/>
  <c r="L986" i="3"/>
  <c r="G1243" i="4"/>
  <c r="G1247" i="4" s="1"/>
  <c r="G843" i="4"/>
  <c r="G1212" i="4" s="1"/>
  <c r="G1241" i="4"/>
  <c r="I487" i="5"/>
  <c r="D27" i="2"/>
  <c r="F1011" i="3"/>
  <c r="F1086" i="30" l="1"/>
  <c r="G1215" i="4"/>
  <c r="D57" i="31"/>
  <c r="D58" i="31" s="1"/>
  <c r="D53" i="31"/>
  <c r="D54" i="31" s="1"/>
  <c r="G1244" i="4"/>
  <c r="I30" i="5"/>
  <c r="D34" i="2"/>
  <c r="F521" i="3"/>
  <c r="L521" i="3" s="1"/>
  <c r="G1086" i="30" l="1"/>
  <c r="E57" i="31"/>
  <c r="E58" i="31" s="1"/>
  <c r="E53" i="31"/>
  <c r="E54" i="31" s="1"/>
  <c r="H521" i="3"/>
  <c r="C19" i="7"/>
  <c r="D56" i="2"/>
  <c r="D52" i="2"/>
  <c r="F1089" i="3"/>
  <c r="D32" i="2"/>
  <c r="D47" i="2" l="1"/>
  <c r="F986" i="3"/>
  <c r="H986" i="3" l="1"/>
  <c r="K986" i="3"/>
  <c r="D46" i="2"/>
  <c r="F1088" i="3"/>
  <c r="D51" i="2" l="1"/>
  <c r="D57" i="2" s="1"/>
  <c r="F1090" i="3"/>
  <c r="D53" i="2" l="1"/>
  <c r="I147" i="5" l="1"/>
  <c r="G993" i="5" l="1"/>
  <c r="C144" i="1" l="1"/>
  <c r="C143" i="1" s="1"/>
  <c r="C79" i="1" l="1"/>
  <c r="I143" i="1"/>
  <c r="D19" i="18"/>
  <c r="D11" i="18" s="1"/>
  <c r="D10" i="18" s="1"/>
  <c r="C78" i="1" l="1"/>
  <c r="E1214" i="29" s="1"/>
  <c r="G1217" i="4"/>
  <c r="C201" i="1" l="1"/>
  <c r="E1214" i="4"/>
  <c r="C199" i="1"/>
  <c r="G1218" i="4" s="1"/>
  <c r="D78" i="1"/>
  <c r="C19" i="18"/>
  <c r="C11" i="18" s="1"/>
  <c r="C10" i="18" s="1"/>
  <c r="G1213" i="4" l="1"/>
  <c r="G1214" i="4" s="1"/>
  <c r="C18" i="7"/>
  <c r="C20" i="7" s="1"/>
  <c r="C14" i="7" s="1"/>
  <c r="C13" i="7" s="1"/>
  <c r="D55" i="31"/>
  <c r="D56" i="31" s="1"/>
  <c r="D54" i="2"/>
  <c r="D55" i="2" s="1"/>
  <c r="C13" i="18"/>
  <c r="C14" i="18" s="1"/>
  <c r="C11" i="7"/>
  <c r="C10" i="7" l="1"/>
  <c r="D13" i="18"/>
  <c r="D14" i="18" s="1"/>
  <c r="C12" i="18"/>
  <c r="D12" i="18" s="1"/>
  <c r="D9" i="18" s="1"/>
  <c r="C15" i="7"/>
  <c r="C9" i="18" l="1"/>
  <c r="G1235" i="4" l="1"/>
  <c r="G1248" i="4" s="1"/>
</calcChain>
</file>

<file path=xl/comments1.xml><?xml version="1.0" encoding="utf-8"?>
<comments xmlns="http://schemas.openxmlformats.org/spreadsheetml/2006/main">
  <authors>
    <author>Автор</author>
  </authors>
  <commentList>
    <comment ref="D105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1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<sst xmlns="http://schemas.openxmlformats.org/spreadsheetml/2006/main" count="29913" uniqueCount="1373">
  <si>
    <t>к решению СПОГО</t>
  </si>
  <si>
    <t>(тыс.руб.)</t>
  </si>
  <si>
    <t xml:space="preserve">Код </t>
  </si>
  <si>
    <t>Наименование налога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</si>
  <si>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</si>
  <si>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</si>
  <si>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</si>
  <si>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</si>
  <si>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</si>
  <si>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</si>
  <si>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</si>
  <si>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</si>
  <si>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</si>
  <si>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</si>
  <si>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</si>
  <si>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</si>
  <si>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</si>
  <si>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</si>
  <si>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</si>
  <si>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</si>
  <si>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</si>
  <si>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</si>
  <si>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</si>
  <si>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</si>
  <si>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</si>
  <si>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</si>
  <si>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</si>
  <si>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</si>
  <si>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</si>
  <si>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</si>
  <si>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</si>
  <si>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</si>
  <si>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</si>
  <si>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</si>
  <si>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</si>
  <si>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</si>
  <si>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</si>
  <si>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</si>
  <si>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</si>
  <si>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</si>
  <si>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</si>
  <si>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</si>
  <si>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</si>
  <si>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</si>
  <si>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</si>
  <si>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</si>
  <si>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</si>
  <si>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</si>
  <si>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</si>
  <si>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</si>
  <si>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</si>
  <si>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</si>
  <si>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</si>
  <si>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</si>
  <si>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</si>
  <si>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</si>
  <si>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</si>
  <si>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</si>
  <si>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</si>
  <si>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</si>
  <si>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</si>
  <si>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</si>
  <si>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</si>
  <si>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</si>
  <si>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</si>
  <si>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</si>
  <si>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</si>
  <si>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</si>
  <si>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</si>
  <si>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</si>
  <si>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</si>
  <si>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</si>
  <si>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</si>
  <si>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</si>
  <si>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</si>
  <si>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</si>
  <si>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</si>
  <si>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</si>
  <si>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</si>
  <si>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</si>
  <si>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</si>
  <si>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</si>
  <si>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</si>
  <si>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</si>
  <si>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</si>
  <si>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</si>
  <si>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</si>
  <si>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</si>
  <si>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</si>
  <si>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</si>
  <si>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</si>
  <si>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</si>
  <si>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</si>
  <si>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</si>
  <si>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</si>
  <si>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</si>
  <si>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</si>
  <si>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</si>
  <si>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</si>
  <si>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</si>
  <si>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</si>
  <si>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</si>
  <si>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</si>
  <si>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</si>
  <si>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</si>
  <si>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</si>
  <si>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</si>
  <si>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</si>
  <si>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</si>
  <si>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</si>
  <si>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</si>
  <si>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</si>
  <si>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</si>
  <si>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</si>
  <si>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</si>
  <si>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</si>
  <si>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</si>
  <si>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</si>
  <si>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</si>
  <si>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</si>
  <si>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</si>
  <si>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</si>
  <si>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</si>
  <si>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</si>
  <si>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</si>
  <si>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</si>
  <si>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</si>
  <si>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</si>
  <si>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</si>
  <si>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</si>
  <si>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</si>
  <si>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</si>
  <si>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</si>
  <si>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</si>
  <si>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</si>
  <si>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</si>
  <si>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</si>
  <si>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</si>
  <si>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</si>
  <si>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</si>
  <si>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 прочих работников аппарата местной администрации</t>
  </si>
  <si>
    <t>53 0 00 00000</t>
  </si>
  <si>
    <t>810</t>
  </si>
  <si>
    <t>54 0 00 00000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</si>
  <si>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</si>
  <si>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Мероприятия по профилактике злоупотребления наркотическими средствами</t>
  </si>
  <si>
    <t>Меропрития по профилактике правонарушений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</si>
  <si>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</si>
  <si>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</si>
  <si>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по составлению списков кандидатов в присяжные заседатели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</si>
  <si>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</si>
  <si>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Подготовка участников резерва управленческих кадров Магаданской области из числа муниципальных служащих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</si>
  <si>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</si>
  <si>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</si>
  <si>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</si>
  <si>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Расходы на выплату персоналу казенных учреждений</t>
  </si>
  <si>
    <t>110</t>
  </si>
  <si>
    <t>Национальная оборона</t>
  </si>
  <si>
    <t>02</t>
  </si>
  <si>
    <t>03</t>
  </si>
  <si>
    <t>Другие вопросы в области национальной обороны</t>
  </si>
  <si>
    <t>09</t>
  </si>
  <si>
    <t>Мероприятия в области национальной обороны</t>
  </si>
  <si>
    <t>Национальная безопасность и правоохранительная деятельность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</si>
  <si>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</si>
  <si>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</si>
  <si>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</si>
  <si>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</si>
  <si>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</si>
  <si>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</si>
  <si>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</si>
  <si>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</si>
  <si>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</si>
  <si>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</si>
  <si>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</si>
  <si>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</si>
  <si>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</si>
  <si>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</si>
  <si>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</si>
  <si>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</si>
  <si>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</si>
  <si>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</si>
  <si>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55 0 00 00000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</si>
  <si>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</si>
  <si>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</si>
  <si>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Управление культуры, социальной и молодежной политики  администрации Омсукчанского городского округа</t>
  </si>
  <si>
    <t>Образование</t>
  </si>
  <si>
    <t>07</t>
  </si>
  <si>
    <t>Дополнительное образование детей</t>
  </si>
  <si>
    <t>58 0 00 00000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</si>
  <si>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</si>
  <si>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</si>
  <si>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</si>
  <si>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</si>
  <si>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</si>
  <si>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</si>
  <si>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</si>
  <si>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</si>
  <si>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</si>
  <si>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Целевые субсидии муниципальным учреждениям на приобретение жилья работникам учреждения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</si>
  <si>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</si>
  <si>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Другие вопросы в области образования</t>
  </si>
  <si>
    <t>Культура, кинематография</t>
  </si>
  <si>
    <t>08</t>
  </si>
  <si>
    <t>Культура</t>
  </si>
  <si>
    <t>Субсидии муниципальным учреждениям культуры на выполнение муниципального задания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</si>
  <si>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</si>
  <si>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</si>
  <si>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Другие вопросы в области культуры, кинематографии</t>
  </si>
  <si>
    <t>63 0 00 00000</t>
  </si>
  <si>
    <t>Адаптация муниципальных учреждений для доступности инвалидам и МГН</t>
  </si>
  <si>
    <t>Обеспечение  новогодними подарками детей-инвалидов</t>
  </si>
  <si>
    <t>Расходы на выплаты персоналу казенных учреждений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</si>
  <si>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</si>
  <si>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</si>
  <si>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</si>
  <si>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</si>
  <si>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</si>
  <si>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</si>
  <si>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</si>
  <si>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 xml:space="preserve">Подпрограмма  "Улучшение демографической ситуации в Омсукчанском городском округе" </t>
  </si>
  <si>
    <t>51 3 00 00000</t>
  </si>
  <si>
    <t>51 4 00 00000</t>
  </si>
  <si>
    <t>51 5 00 00000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</si>
  <si>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</si>
  <si>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</si>
  <si>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</si>
  <si>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</si>
  <si>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 xml:space="preserve">Поддержка преподавания этнических языков (корякский, эвенский, юкагирский и якутский) 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</si>
  <si>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</si>
  <si>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</si>
  <si>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</si>
  <si>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Жилищное хозяйство</t>
  </si>
  <si>
    <t>Взносы на капитальный ремонт муниципального жилищного фонда</t>
  </si>
  <si>
    <t>Охрана семьи и детства</t>
  </si>
  <si>
    <t>Управление образования администрации Омсукчанского городского округа</t>
  </si>
  <si>
    <t>Дошкольное образование</t>
  </si>
  <si>
    <t>52 0 00 00000</t>
  </si>
  <si>
    <t xml:space="preserve">Целевые субсидии муниципальным учреждениям  на выполнение мероприятий по организации питания </t>
  </si>
  <si>
    <t>Общее образование</t>
  </si>
  <si>
    <t>Субсидии муниципальным учреждениям общего образования на выполнение муниципального задания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</si>
  <si>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</si>
  <si>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муниципальным учреждениям  на проведение физкультурно-спортивных мероприятий</t>
  </si>
  <si>
    <t>Осуществление мероприятий по реконструкции и капитальному ремонту общеобразовательных организаций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</si>
  <si>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</si>
  <si>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</si>
  <si>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Молодежная политика и оздоровление детей</t>
  </si>
  <si>
    <t>Прочие мероприятия в области образования</t>
  </si>
  <si>
    <t>Управление спорта и туризма администрации Омсукчанского городского округа</t>
  </si>
  <si>
    <t>57 0 00 00000</t>
  </si>
  <si>
    <t>Физическая культура и спорт</t>
  </si>
  <si>
    <t>11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</si>
  <si>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</si>
  <si>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</si>
  <si>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Другие вопросы в области физической культуры и спорта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</si>
  <si>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</si>
  <si>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</si>
  <si>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</si>
  <si>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Дорожное хозяйство (дорожные фонды)</t>
  </si>
  <si>
    <t>50 0 00 00000</t>
  </si>
  <si>
    <t>Содержание автомобильных дорог</t>
  </si>
  <si>
    <t>Мероприятия в области жилищного хозяйства</t>
  </si>
  <si>
    <t>Коммунальное хозяйство</t>
  </si>
  <si>
    <t>62 0 00 00000</t>
  </si>
  <si>
    <t>Ремонт и подготовка жилфонда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</si>
  <si>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</si>
  <si>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</si>
  <si>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</si>
  <si>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</si>
  <si>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</si>
  <si>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</si>
  <si>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Мероприятия в области коммунального хозяйства</t>
  </si>
  <si>
    <t>Благоустройство</t>
  </si>
  <si>
    <t>60 0 00 00000</t>
  </si>
  <si>
    <t xml:space="preserve">Прочие мероприятия в области  благоустройства </t>
  </si>
  <si>
    <t>Наружнее освещение, иллюминация</t>
  </si>
  <si>
    <t>Благоустройство в дворовых территориях</t>
  </si>
  <si>
    <t>Озеленение</t>
  </si>
  <si>
    <t>Санация территории от безнадзорных животных</t>
  </si>
  <si>
    <t>Содержание мест захоронения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</si>
  <si>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</si>
  <si>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</si>
  <si>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</si>
  <si>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Организация ритуальных услуг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</si>
  <si>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</si>
  <si>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</si>
  <si>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</si>
  <si>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</si>
  <si>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</si>
  <si>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Периодическая печать и издательства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</si>
  <si>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</si>
  <si>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</si>
  <si>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</si>
  <si>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</si>
  <si>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</si>
  <si>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</si>
  <si>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</si>
  <si>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</si>
  <si>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</si>
  <si>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</si>
  <si>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</si>
  <si>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</si>
  <si>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</si>
  <si>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</si>
  <si>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</si>
  <si>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903</t>
  </si>
  <si>
    <t xml:space="preserve">Подпрограмма "Улучшение демографической ситуации в Омсукчанском городском округе" </t>
  </si>
  <si>
    <t>906</t>
  </si>
  <si>
    <t>902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</si>
  <si>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</si>
  <si>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</si>
  <si>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</si>
  <si>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</si>
  <si>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</si>
  <si>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</si>
  <si>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</si>
  <si>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</si>
  <si>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</si>
  <si>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</si>
  <si>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</si>
  <si>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</si>
  <si>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</si>
  <si>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</si>
  <si>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</si>
  <si>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</si>
  <si>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</si>
  <si>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</si>
  <si>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</si>
  <si>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</si>
  <si>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</si>
  <si>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</si>
  <si>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</si>
  <si>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Осуществление государственных полномочий по отлову и содержанию безнадзорных животных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</si>
  <si>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</si>
  <si>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</si>
  <si>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</si>
  <si>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</si>
  <si>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</si>
  <si>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Уплата налогов, сборов и иных платежей</t>
  </si>
  <si>
    <t>64 0 00 00000</t>
  </si>
  <si>
    <t>Проведение мероприятий в рамках муниципальных программ</t>
  </si>
  <si>
    <t>65 0 00 00000</t>
  </si>
  <si>
    <t>(+100)</t>
  </si>
  <si>
    <t>(+500)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</si>
  <si>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</si>
  <si>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</si>
  <si>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</si>
  <si>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</si>
  <si>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</si>
  <si>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</si>
  <si>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</si>
  <si>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</si>
  <si>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</si>
  <si>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</si>
  <si>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</si>
  <si>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</si>
  <si>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</si>
  <si>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</si>
  <si>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</si>
  <si>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</si>
  <si>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</si>
  <si>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</si>
  <si>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</si>
  <si>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</si>
  <si>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</si>
  <si>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</si>
  <si>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</si>
  <si>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</si>
  <si>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</si>
  <si>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</si>
  <si>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</si>
  <si>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</si>
  <si>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</si>
  <si>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</si>
  <si>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</si>
  <si>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</si>
  <si>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</si>
  <si>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</si>
  <si>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</si>
  <si>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</si>
  <si>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</si>
  <si>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</si>
  <si>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</si>
  <si>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</si>
  <si>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</si>
  <si>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</si>
  <si>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</si>
  <si>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</si>
  <si>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</si>
  <si>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</si>
  <si>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</si>
  <si>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</si>
  <si>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</si>
  <si>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</si>
  <si>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</si>
  <si>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</si>
  <si>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</si>
  <si>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</si>
  <si>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</si>
  <si>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</si>
  <si>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</si>
  <si>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</si>
  <si>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</si>
  <si>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</si>
  <si>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</si>
  <si>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</si>
  <si>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</si>
  <si>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</si>
  <si>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</si>
  <si>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</si>
  <si>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</si>
  <si>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</si>
  <si>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</si>
  <si>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</si>
  <si>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</si>
  <si>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</si>
  <si>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</si>
  <si>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</si>
  <si>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</si>
  <si>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</si>
  <si>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</si>
  <si>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</si>
  <si>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</si>
  <si>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</si>
  <si>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</si>
  <si>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</si>
  <si>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</si>
  <si>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</si>
  <si>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</si>
  <si>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</si>
  <si>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</si>
  <si>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</si>
  <si>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</si>
  <si>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</si>
  <si>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</si>
  <si>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</si>
  <si>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</si>
  <si>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</si>
  <si>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</si>
  <si>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</si>
  <si>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</si>
  <si>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</si>
  <si>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</si>
  <si>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</si>
  <si>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</si>
  <si>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</si>
  <si>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</si>
  <si>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</si>
  <si>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</si>
  <si>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</si>
  <si>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</si>
  <si>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</si>
  <si>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</si>
  <si>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</si>
  <si>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</si>
  <si>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</si>
  <si>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</si>
  <si>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</si>
  <si>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</si>
  <si>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</si>
  <si>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</si>
  <si>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</si>
  <si>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</si>
  <si>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</si>
  <si>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</si>
  <si>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</si>
  <si>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</si>
  <si>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</si>
  <si>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</si>
  <si>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</si>
  <si>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</si>
  <si>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</si>
  <si>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</si>
  <si>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</si>
  <si>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</si>
  <si>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</si>
  <si>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</si>
  <si>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</si>
  <si>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</si>
  <si>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</si>
  <si>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</si>
  <si>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</si>
  <si>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</si>
  <si>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</si>
  <si>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</si>
  <si>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</si>
  <si>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</si>
  <si>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</si>
  <si>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</si>
  <si>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</si>
  <si>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</si>
  <si>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</si>
  <si>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</si>
  <si>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</si>
  <si>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</si>
  <si>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</si>
  <si>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</si>
  <si>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</si>
  <si>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</si>
  <si>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</si>
  <si>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</si>
  <si>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</si>
  <si>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</si>
  <si>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</si>
  <si>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</si>
  <si>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</si>
  <si>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</si>
  <si>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</si>
  <si>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</si>
  <si>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</si>
  <si>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</si>
  <si>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</si>
  <si>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</si>
  <si>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</si>
  <si>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</si>
  <si>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</si>
  <si>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</si>
  <si>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</si>
  <si>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</si>
  <si>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</si>
  <si>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</si>
  <si>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</si>
  <si>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</si>
  <si>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</si>
  <si>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</si>
  <si>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</si>
  <si>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</si>
  <si>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</si>
  <si>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</si>
  <si>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</si>
  <si>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</si>
  <si>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</si>
  <si>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</si>
  <si>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</si>
  <si>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</si>
  <si>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</si>
  <si>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</si>
  <si>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</si>
  <si>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</si>
  <si>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</si>
  <si>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</si>
  <si>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</si>
  <si>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</si>
  <si>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</si>
  <si>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</si>
  <si>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</si>
  <si>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</si>
  <si>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</si>
  <si>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</si>
  <si>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</si>
  <si>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</si>
  <si>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</si>
  <si>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</si>
  <si>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01 0 01 01790</t>
  </si>
  <si>
    <t>Расходы на обеспечение деятельности муниципальных служащих</t>
  </si>
  <si>
    <t>01 0 01 01030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</si>
  <si>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</si>
  <si>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</si>
  <si>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</si>
  <si>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</si>
  <si>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</si>
  <si>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</si>
  <si>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</si>
  <si>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</si>
  <si>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</si>
  <si>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</si>
  <si>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</si>
  <si>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</si>
  <si>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</si>
  <si>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</si>
  <si>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</si>
  <si>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</si>
  <si>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</si>
  <si>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</si>
  <si>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</si>
  <si>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</si>
  <si>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</si>
  <si>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</si>
  <si>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</si>
  <si>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</si>
  <si>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</si>
  <si>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</si>
  <si>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</si>
  <si>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</si>
  <si>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</si>
  <si>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</si>
  <si>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</si>
  <si>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</si>
  <si>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</si>
  <si>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</si>
  <si>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</si>
  <si>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</si>
  <si>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</si>
  <si>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</si>
  <si>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</si>
  <si>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</si>
  <si>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</si>
  <si>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</si>
  <si>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</si>
  <si>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</si>
  <si>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</si>
  <si>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</si>
  <si>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</si>
  <si>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</si>
  <si>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</si>
  <si>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</si>
  <si>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</si>
  <si>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</si>
  <si>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</si>
  <si>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</si>
  <si>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</si>
  <si>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</si>
  <si>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</si>
  <si>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</si>
  <si>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</si>
  <si>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</si>
  <si>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</si>
  <si>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</si>
  <si>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</si>
  <si>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</si>
  <si>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</si>
  <si>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</si>
  <si>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</si>
  <si>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</si>
  <si>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</si>
  <si>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</si>
  <si>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</si>
  <si>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</si>
  <si>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 xml:space="preserve">01 0 03 51200 </t>
  </si>
  <si>
    <t>02 0 02 01110</t>
  </si>
  <si>
    <t>67 0 01 00000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</si>
  <si>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</si>
  <si>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</si>
  <si>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</si>
  <si>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</si>
  <si>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</si>
  <si>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</si>
  <si>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</si>
  <si>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</si>
  <si>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</si>
  <si>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</si>
  <si>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</si>
  <si>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</si>
  <si>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</si>
  <si>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</si>
  <si>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</si>
  <si>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</si>
  <si>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</si>
  <si>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</si>
  <si>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</si>
  <si>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</si>
  <si>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</si>
  <si>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</si>
  <si>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</si>
  <si>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</si>
  <si>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</si>
  <si>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</si>
  <si>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</si>
  <si>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</si>
  <si>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</si>
  <si>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</si>
  <si>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</si>
  <si>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</si>
  <si>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</si>
  <si>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</si>
  <si>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</si>
  <si>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</si>
  <si>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</si>
  <si>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</si>
  <si>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</si>
  <si>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</si>
  <si>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</si>
  <si>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</si>
  <si>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</si>
  <si>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</si>
  <si>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</si>
  <si>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</si>
  <si>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</si>
  <si>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</si>
  <si>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</si>
  <si>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</si>
  <si>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</si>
  <si>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</si>
  <si>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</si>
  <si>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</si>
  <si>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</si>
  <si>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</si>
  <si>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</si>
  <si>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</si>
  <si>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</si>
  <si>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</si>
  <si>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</si>
  <si>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</si>
  <si>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</si>
  <si>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</si>
  <si>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</si>
  <si>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</si>
  <si>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</si>
  <si>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</si>
  <si>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</si>
  <si>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</si>
  <si>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</si>
  <si>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</si>
  <si>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</si>
  <si>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</si>
  <si>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</si>
  <si>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</si>
  <si>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</si>
  <si>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</si>
  <si>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</si>
  <si>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</si>
  <si>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</si>
  <si>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</si>
  <si>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</si>
  <si>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</si>
  <si>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</si>
  <si>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</si>
  <si>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</si>
  <si>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</si>
  <si>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</si>
  <si>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</si>
  <si>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</si>
  <si>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</si>
  <si>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</si>
  <si>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</si>
  <si>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Основное мероприятие "Государственная поддержка отрасли культуры"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</si>
  <si>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</si>
  <si>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</si>
  <si>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</si>
  <si>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</si>
  <si>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</si>
  <si>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</si>
  <si>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</si>
  <si>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</si>
  <si>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</si>
  <si>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</si>
  <si>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</si>
  <si>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</si>
  <si>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</si>
  <si>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</si>
  <si>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</si>
  <si>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</si>
  <si>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</si>
  <si>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</si>
  <si>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</si>
  <si>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</si>
  <si>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</si>
  <si>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</si>
  <si>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</si>
  <si>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</si>
  <si>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</si>
  <si>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A1 00000</t>
  </si>
  <si>
    <t>58 0 A1 55190</t>
  </si>
  <si>
    <t>58 0 05 00000</t>
  </si>
  <si>
    <t>58 0 05 01740</t>
  </si>
  <si>
    <t>58 0 06 00000</t>
  </si>
  <si>
    <t>58 0 06 S3160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</si>
  <si>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</si>
  <si>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</si>
  <si>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</si>
  <si>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</si>
  <si>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</si>
  <si>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</si>
  <si>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</si>
  <si>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</si>
  <si>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</si>
  <si>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</si>
  <si>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</si>
  <si>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</si>
  <si>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</si>
  <si>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</si>
  <si>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</si>
  <si>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</si>
  <si>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</si>
  <si>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</si>
  <si>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</si>
  <si>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</si>
  <si>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52 0 10 00000</t>
  </si>
  <si>
    <t>52 0 10 S3420</t>
  </si>
  <si>
    <t>52 0 10 73420</t>
  </si>
  <si>
    <t>52 0 01 12000</t>
  </si>
  <si>
    <t>52 0 02 74130</t>
  </si>
  <si>
    <t>Основное мероприятие "Развитие образовательных  учреждений"</t>
  </si>
  <si>
    <t>52 0 03 20060</t>
  </si>
  <si>
    <t>52 0 08 00000</t>
  </si>
  <si>
    <t>52 0 08 S3950</t>
  </si>
  <si>
    <t>52 0 05 20070</t>
  </si>
  <si>
    <t>52 0 09 00000</t>
  </si>
  <si>
    <t>52 0 01 13000</t>
  </si>
  <si>
    <t>52 0 04 S3210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</si>
  <si>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</si>
  <si>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</si>
  <si>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</si>
  <si>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</si>
  <si>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</si>
  <si>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</si>
  <si>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</si>
  <si>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</si>
  <si>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</si>
  <si>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</si>
  <si>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</si>
  <si>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</si>
  <si>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</si>
  <si>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</si>
  <si>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</si>
  <si>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</si>
  <si>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>Субсидии на создание модельных библиотек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</si>
  <si>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</si>
  <si>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</si>
  <si>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</si>
  <si>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</si>
  <si>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60 0 03 74190</t>
  </si>
  <si>
    <t>60 0 03 00000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</si>
  <si>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</si>
  <si>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</si>
  <si>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</si>
  <si>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</si>
  <si>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</si>
  <si>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 образовательных учреждений"</t>
  </si>
  <si>
    <t>57 0 03 20070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</si>
  <si>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</si>
  <si>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</si>
  <si>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</si>
  <si>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58 0 01 01790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</si>
  <si>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</si>
  <si>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</si>
  <si>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</si>
  <si>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</si>
  <si>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</si>
  <si>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</si>
  <si>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</si>
  <si>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</si>
  <si>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</si>
  <si>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</si>
  <si>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60 0 03 74170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</si>
  <si>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</si>
  <si>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</si>
  <si>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</si>
  <si>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</si>
  <si>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</si>
  <si>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</si>
  <si>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</si>
  <si>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</si>
  <si>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</si>
  <si>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</si>
  <si>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</si>
  <si>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</si>
  <si>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</si>
  <si>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</si>
  <si>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</si>
  <si>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</si>
  <si>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</si>
  <si>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</si>
  <si>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</si>
  <si>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</si>
  <si>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</si>
  <si>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</si>
  <si>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</si>
  <si>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</si>
  <si>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</si>
  <si>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</si>
  <si>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</si>
  <si>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</si>
  <si>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</si>
  <si>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</si>
  <si>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</si>
  <si>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</si>
  <si>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</si>
  <si>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>Муниципальная программа "Развитие культуры в Омсукчанском городском  округе"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</si>
  <si>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</si>
  <si>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</si>
  <si>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</si>
  <si>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</si>
  <si>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</si>
  <si>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</si>
  <si>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</si>
  <si>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</si>
  <si>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</si>
  <si>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</si>
  <si>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</si>
  <si>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</si>
  <si>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</si>
  <si>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</si>
  <si>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</si>
  <si>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</si>
  <si>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</si>
  <si>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</si>
  <si>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</si>
  <si>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</si>
  <si>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</si>
  <si>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</si>
  <si>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</si>
  <si>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</si>
  <si>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</si>
  <si>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</si>
  <si>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</si>
  <si>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</si>
  <si>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</si>
  <si>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</si>
  <si>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</si>
  <si>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</si>
  <si>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</si>
  <si>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</si>
  <si>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</si>
  <si>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</si>
  <si>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</si>
  <si>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</si>
  <si>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</si>
  <si>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</si>
  <si>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</si>
  <si>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</si>
  <si>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</si>
  <si>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</si>
  <si>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</si>
  <si>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52 0 09 S3443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</si>
  <si>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</si>
  <si>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</si>
  <si>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</si>
  <si>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</si>
  <si>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</si>
  <si>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</si>
  <si>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</si>
  <si>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</si>
  <si>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</si>
  <si>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</si>
  <si>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</si>
  <si>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</si>
  <si>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</si>
  <si>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</si>
  <si>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</si>
  <si>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</si>
  <si>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</si>
  <si>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</si>
  <si>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</si>
  <si>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</si>
  <si>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</si>
  <si>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</si>
  <si>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</si>
  <si>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</si>
  <si>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</si>
  <si>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</si>
  <si>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</si>
  <si>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</si>
  <si>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</si>
  <si>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</si>
  <si>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</si>
  <si>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</si>
  <si>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</si>
  <si>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</si>
  <si>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</si>
  <si>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</si>
  <si>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</si>
  <si>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</si>
  <si>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</si>
  <si>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</si>
  <si>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</si>
  <si>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</si>
  <si>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</si>
  <si>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</si>
  <si>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</si>
  <si>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</si>
  <si>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</si>
  <si>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58 0 01 S3У10</t>
  </si>
  <si>
    <t>Обеспечение гарантированного комплектования фондов муниципальных библиотек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</si>
  <si>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</si>
  <si>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</si>
  <si>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</si>
  <si>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</si>
  <si>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</si>
  <si>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</si>
  <si>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</si>
  <si>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</si>
  <si>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</si>
  <si>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</si>
  <si>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</si>
  <si>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</si>
  <si>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</si>
  <si>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</si>
  <si>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</si>
  <si>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</si>
  <si>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</si>
  <si>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</si>
  <si>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</si>
  <si>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</si>
  <si>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</si>
  <si>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</si>
  <si>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</si>
  <si>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</si>
  <si>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</si>
  <si>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</si>
  <si>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</si>
  <si>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</si>
  <si>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</si>
  <si>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</si>
  <si>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</si>
  <si>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</si>
  <si>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</si>
  <si>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</si>
  <si>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</si>
  <si>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</si>
  <si>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</si>
  <si>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</si>
  <si>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</si>
  <si>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</si>
  <si>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</si>
  <si>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</si>
  <si>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</si>
  <si>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</si>
  <si>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</si>
  <si>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</si>
  <si>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</si>
  <si>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</si>
  <si>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</si>
  <si>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</si>
  <si>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</si>
  <si>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</si>
  <si>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Мероприятия по поддержке социально ориентированных некоммерческих организаций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</si>
  <si>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</si>
  <si>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</si>
  <si>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</si>
  <si>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</si>
  <si>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</si>
  <si>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</si>
  <si>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</si>
  <si>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</si>
  <si>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</si>
  <si>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</si>
  <si>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</si>
  <si>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</si>
  <si>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</si>
  <si>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</si>
  <si>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</si>
  <si>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</si>
  <si>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</si>
  <si>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</si>
  <si>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</si>
  <si>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</si>
  <si>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</si>
  <si>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</si>
  <si>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</si>
  <si>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</si>
  <si>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</si>
  <si>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</si>
  <si>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</si>
  <si>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</si>
  <si>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</si>
  <si>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</si>
  <si>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</si>
  <si>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</si>
  <si>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</si>
  <si>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</si>
  <si>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</si>
  <si>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</si>
  <si>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</si>
  <si>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</si>
  <si>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</si>
  <si>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</si>
  <si>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</si>
  <si>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</si>
  <si>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</si>
  <si>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</si>
  <si>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</si>
  <si>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</si>
  <si>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</si>
  <si>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</si>
  <si>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</si>
  <si>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Бюджетные инвестиции иным юридическим лицам</t>
  </si>
  <si>
    <t>450</t>
  </si>
  <si>
    <t>11 05</t>
  </si>
  <si>
    <t>60 0 05 00000</t>
  </si>
  <si>
    <t>Основное мероприятие "Реализация инициативных проектов в области благоустройства"</t>
  </si>
  <si>
    <t>Субсидии бюджетам городских округов на реализацию инициативных проектов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</si>
  <si>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</si>
  <si>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</si>
  <si>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</si>
  <si>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</si>
  <si>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синхронизация с НЦ Городская среда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</si>
  <si>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</si>
  <si>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60 0 05 S2140</t>
  </si>
  <si>
    <t>57 0 02 20100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</si>
  <si>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</si>
  <si>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</si>
  <si>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</si>
  <si>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</si>
  <si>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</si>
  <si>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</si>
  <si>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</si>
  <si>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</si>
  <si>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</si>
  <si>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</si>
  <si>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</si>
  <si>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</si>
  <si>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</si>
  <si>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</si>
  <si>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</si>
  <si>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</si>
  <si>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</si>
  <si>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</si>
  <si>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</si>
  <si>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</si>
  <si>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</si>
  <si>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</si>
  <si>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58 0 A1 5454F</t>
  </si>
  <si>
    <t>Создание модельных муниципальных библиотек за счет резервного фонда Правительства Российской Федерации</t>
  </si>
  <si>
    <t>Единая субвенция, предоставляемая бюджетам городских округов Магаданской области из областного бюджета, для осуществления переданных государственных полномочий Магаданской области</t>
  </si>
  <si>
    <t>Содержание  казенных учреждений</t>
  </si>
  <si>
    <t>Контрольно- счетная палата Омсукчанского городского округа</t>
  </si>
  <si>
    <t>Основное мероприятие "Организация питания в образовательных учреждениях"</t>
  </si>
  <si>
    <t>Целевые субсидии на организацию питания в образовательных учреждениях</t>
  </si>
  <si>
    <t>52 0 06 S3090</t>
  </si>
  <si>
    <t>Основное мероприятие ""</t>
  </si>
  <si>
    <t>Основное мероприятие " "</t>
  </si>
  <si>
    <t>Обеспечение персонифицированного финансирования дополнительного образования детей</t>
  </si>
  <si>
    <t>52 0 17 01570</t>
  </si>
  <si>
    <t>бюджет Омсукчанского городского округа в 2022 году</t>
  </si>
  <si>
    <t xml:space="preserve">Ведомственная  структура расходов бюджета Омсукчанского городского округа на 2022 год </t>
  </si>
  <si>
    <t>1 01 02080 01 0000110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</si>
  <si>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</si>
  <si>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2 02 25210 04 0000 150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</si>
  <si>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</t>
  </si>
  <si>
    <t>Субсидии бюджетам городских округов на организацию питания в образовательных учреждениях</t>
  </si>
  <si>
    <t>Субсидии бюджетам городских округов на укрепление материально-технической базы в области физической культуры и спорта</t>
  </si>
  <si>
    <t>Основное мероприятие "Укрепление материально-технической базы"</t>
  </si>
  <si>
    <t>57 0 07 00000</t>
  </si>
  <si>
    <t>57 0 07 S1830</t>
  </si>
  <si>
    <t>Укрепление материально-технической базы в области физической культуры  и спорта</t>
  </si>
  <si>
    <t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</t>
  </si>
  <si>
    <t>Мероприятия в сфере укрепления гражданского единства, гармонизации межнациональных отношений, профилактики экстремизма</t>
  </si>
  <si>
    <t>Мероприятия по реализации инициативных проектов</t>
  </si>
  <si>
    <t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</si>
  <si>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</si>
  <si>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Мероприятия по увековечиванию памяти погибших при защите Отечества</t>
  </si>
  <si>
    <t>51 4 01 L2990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</si>
  <si>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
</t>
  </si>
  <si>
    <t>Развитие сети учреждений культурно-досугового типа</t>
  </si>
  <si>
    <t>58 0 A1 55130</t>
  </si>
  <si>
    <t>Субсидии бюджетам городских округов на развитие сети учреждений культурно-досугового типа</t>
  </si>
  <si>
    <t>Мероприятия по государственной поддержке отрасли культуры</t>
  </si>
  <si>
    <t>58 0 06 L5190</t>
  </si>
  <si>
    <t>2 02 25497 04 0000 150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</si>
  <si>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</si>
  <si>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</si>
  <si>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</si>
  <si>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</si>
  <si>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</si>
  <si>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</si>
  <si>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Субсидии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</t>
  </si>
  <si>
    <t>Осуществление переданных государственных полномочий Магаданской области за счет единой субвенции</t>
  </si>
  <si>
    <t>52 0 02 74200</t>
  </si>
  <si>
    <t>58 0 04 74200</t>
  </si>
  <si>
    <t>бюджета Омсукчанского городского округа  на 2022 год</t>
  </si>
  <si>
    <t xml:space="preserve"> расходов бюджетов Российской Федерации на  2022 год</t>
  </si>
  <si>
    <t>01 0 03 74200</t>
  </si>
  <si>
    <t>01 0 04 01790</t>
  </si>
  <si>
    <t>52 0 07 S3090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</si>
  <si>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
</t>
  </si>
  <si>
    <t>на плановый период 2023-2024 годов</t>
  </si>
  <si>
    <t>План на 2024 год</t>
  </si>
  <si>
    <t>Распределения бюджетных ассигнований, направляемых на исполнение публичных нормативных обязательств на 2022 год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</si>
  <si>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2022 год</t>
  </si>
  <si>
    <t xml:space="preserve">2 02 25299 04 0000 150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</si>
  <si>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</si>
  <si>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</si>
  <si>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2 02 25497 00 0000 150</t>
  </si>
  <si>
    <t>Субсидии бюджетам на реализацию мероприятий по обеспечению жильем молодых семей</t>
  </si>
  <si>
    <t>2 02 25513 00 0000 150</t>
  </si>
  <si>
    <t>Субсидии бюджетам на развитие сети учреждений культурно-досугового типа</t>
  </si>
  <si>
    <t>2 02 25513 04 0000 150</t>
  </si>
  <si>
    <t>Субсидии бюджетам городских округов на возмещение расходов по коммунальным услугам учреждениям социальной сферы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</si>
  <si>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</si>
  <si>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</si>
  <si>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</si>
  <si>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</si>
  <si>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1 16 01070 01 0000 140
</t>
  </si>
  <si>
    <t xml:space="preserve">1 16 01073 01 0000 140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</si>
  <si>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</si>
  <si>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</si>
  <si>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Ведомственная  структура расходов бюджета Омсукчанского городского округа на 2023-2024 годы </t>
  </si>
  <si>
    <t>от                 2021г. №</t>
  </si>
  <si>
    <t xml:space="preserve">План на 2023год </t>
  </si>
  <si>
    <t>='Пр.4.1 ведом.23-24 '!G1030</t>
  </si>
  <si>
    <t xml:space="preserve"> расходов бюджетов Российской Федерации на  2023-2024 годы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</si>
  <si>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2023-2024 годы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</si>
  <si>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</t>
  </si>
  <si>
    <t xml:space="preserve">План на 2024год </t>
  </si>
  <si>
    <t>Приложение № 3.1.</t>
  </si>
  <si>
    <t>Приложение № 6.1.</t>
  </si>
  <si>
    <t>Распределения бюджетных ассигнований, направляемых на исполнение публичных нормативных обязательств на 2023-2024 годы</t>
  </si>
  <si>
    <t>58 0 А2 00000</t>
  </si>
  <si>
    <t>58 0 A2 55190</t>
  </si>
  <si>
    <t>Основное мероприятие " Создание условий для реализации творческого потенциала нации"</t>
  </si>
  <si>
    <t>52 0 17 01970</t>
  </si>
  <si>
    <t>58 0 01 15000</t>
  </si>
  <si>
    <t>Целевые субсидии на проведение мероприятий в области культуры и искусства</t>
  </si>
  <si>
    <t>58 0 02 20020</t>
  </si>
  <si>
    <t>58 0 03 20140</t>
  </si>
  <si>
    <t>59 0 01 0 20110</t>
  </si>
  <si>
    <t>64 0 02 20110</t>
  </si>
  <si>
    <t>Приложение № 5.1.</t>
  </si>
  <si>
    <t>от                 2022г. №</t>
  </si>
  <si>
    <t>(+13)</t>
  </si>
  <si>
    <t>изменились суммы</t>
  </si>
  <si>
    <t xml:space="preserve">изменились суммы </t>
  </si>
  <si>
    <t>(+1356,4)</t>
  </si>
  <si>
    <t>(+0,3)</t>
  </si>
  <si>
    <t>(-0,3)</t>
  </si>
  <si>
    <t>(+21,18)</t>
  </si>
  <si>
    <t>(-255)</t>
  </si>
  <si>
    <t>(+5,06)(+5,06)</t>
  </si>
  <si>
    <t>(+21,18)(+21,18)</t>
  </si>
  <si>
    <t>(+135,74)</t>
  </si>
  <si>
    <t>(+135,74)(+135,74)</t>
  </si>
  <si>
    <t>(-0,1)</t>
  </si>
  <si>
    <t>(-41,8)</t>
  </si>
  <si>
    <t>(-129)</t>
  </si>
  <si>
    <t>(-122,5)(-126,2)</t>
  </si>
  <si>
    <t>(-2,8)</t>
  </si>
  <si>
    <t>(-2,447)</t>
  </si>
  <si>
    <t>(-1,35)</t>
  </si>
  <si>
    <t>(-0,125)(-0,05)</t>
  </si>
  <si>
    <t>(-0,1)(-0,05)</t>
  </si>
  <si>
    <t>(+30,1)</t>
  </si>
  <si>
    <t>(+181)</t>
  </si>
  <si>
    <t>ВР 122(21К)+30,1</t>
  </si>
  <si>
    <t>ВР244(310)+181</t>
  </si>
  <si>
    <t>(+80)</t>
  </si>
  <si>
    <t>ВР122(21К)+80</t>
  </si>
  <si>
    <t>(+185,9)</t>
  </si>
  <si>
    <t>ВР122(21К)+185,9</t>
  </si>
  <si>
    <t>(+199,2)</t>
  </si>
  <si>
    <t>ВР244(310)+199,2</t>
  </si>
  <si>
    <t>(+60)</t>
  </si>
  <si>
    <t>ВР244(310)+60</t>
  </si>
  <si>
    <t>(+300)</t>
  </si>
  <si>
    <t>ВР244(34П)+300</t>
  </si>
  <si>
    <t>(+10,9)</t>
  </si>
  <si>
    <t>ВР112(21К)+10,9</t>
  </si>
  <si>
    <t>(+46,1)</t>
  </si>
  <si>
    <t>(+53,3)</t>
  </si>
  <si>
    <t>ВР611(39М)+53,3</t>
  </si>
  <si>
    <t>(+17,2)</t>
  </si>
  <si>
    <t>ВР112(21К)+17,2</t>
  </si>
  <si>
    <t>(+59,5)</t>
  </si>
  <si>
    <t>ВР122(21К)+59,5</t>
  </si>
  <si>
    <t>(+37)</t>
  </si>
  <si>
    <t>(+50)</t>
  </si>
  <si>
    <t>(+30)</t>
  </si>
  <si>
    <t>ВР244(310)+30</t>
  </si>
  <si>
    <t>ВР244(310)+50</t>
  </si>
  <si>
    <t>(+27,8)</t>
  </si>
  <si>
    <t>ВР122(21К)+27,8</t>
  </si>
  <si>
    <t>(+16,4)</t>
  </si>
  <si>
    <t>ВР122(21К)+16,4</t>
  </si>
  <si>
    <t>(+200)</t>
  </si>
  <si>
    <t>ВР244(310)+200</t>
  </si>
  <si>
    <t xml:space="preserve">д/с Омс(ВР611(39М)+40,4 </t>
  </si>
  <si>
    <t xml:space="preserve">д/с Дук(ВР611(310)+80 </t>
  </si>
  <si>
    <t xml:space="preserve">д/с Омс(ВР611(310)+80 </t>
  </si>
  <si>
    <t>(+200,4)</t>
  </si>
  <si>
    <t>(+490)</t>
  </si>
  <si>
    <t>СОШ Омс: (39М)+90т.р., (310)+100т.р.</t>
  </si>
  <si>
    <t>СОШ ДУК: (39М)+50т.р., (310)+100т.р.</t>
  </si>
  <si>
    <t>ООШ: (39М)+50т.р., (310)+100т.р.</t>
  </si>
  <si>
    <t>ВР 612(225) +100- по каждой школе</t>
  </si>
  <si>
    <t>(+10)</t>
  </si>
  <si>
    <t>ВР611(39М)+10</t>
  </si>
  <si>
    <t>(+63,2),</t>
  </si>
  <si>
    <t>ВР122(21К)+63,2</t>
  </si>
  <si>
    <t>(+37,3)</t>
  </si>
  <si>
    <t>ВР122(21К)+37,3</t>
  </si>
  <si>
    <t>ВР122(21К)+60</t>
  </si>
  <si>
    <t>(+46)</t>
  </si>
  <si>
    <t>ВР122(21К)+46</t>
  </si>
  <si>
    <t>(+69,6)</t>
  </si>
  <si>
    <t>ВР244(310)+69,6</t>
  </si>
  <si>
    <t>ВР244(34П)+500</t>
  </si>
  <si>
    <t>(+45,6)</t>
  </si>
  <si>
    <t>ВР122(21К)+45,6</t>
  </si>
  <si>
    <t>(+17,3)</t>
  </si>
  <si>
    <t>ВР112(21К)+17,3</t>
  </si>
  <si>
    <t>ВР244(310)+100</t>
  </si>
  <si>
    <t>ВР122(21К)+100</t>
  </si>
  <si>
    <t>(+25590)</t>
  </si>
  <si>
    <t>План на 2024год</t>
  </si>
  <si>
    <t>бюджета Омсукчанского городского округа  на 2023-20243 годы</t>
  </si>
  <si>
    <t>(-535,0)</t>
  </si>
  <si>
    <t>(-456,6)</t>
  </si>
  <si>
    <t>(-456,6)(-456,6)</t>
  </si>
  <si>
    <t>(-3466,0)</t>
  </si>
  <si>
    <t>(+8030,2)</t>
  </si>
  <si>
    <t>(+32,8)</t>
  </si>
  <si>
    <t>(+110,7)</t>
  </si>
  <si>
    <t>(-1734,8)</t>
  </si>
  <si>
    <t>(-40,4)</t>
  </si>
  <si>
    <t>(-0,033)</t>
  </si>
  <si>
    <t>(-0,035)</t>
  </si>
  <si>
    <t>(-0,038)</t>
  </si>
  <si>
    <t>(-0,08)</t>
  </si>
  <si>
    <t>в Кристе по Уведомлениям</t>
  </si>
  <si>
    <t>(-3,2)</t>
  </si>
  <si>
    <t>(-42,3)</t>
  </si>
  <si>
    <t>(+42,3)(+3,2)</t>
  </si>
  <si>
    <t>(+45,5)</t>
  </si>
  <si>
    <t>(+48,9)(+55,8)</t>
  </si>
  <si>
    <t>(-48,9)(-55,8)</t>
  </si>
  <si>
    <t>(+894,5)</t>
  </si>
  <si>
    <t>ставим с областью (область-2501,0)</t>
  </si>
  <si>
    <t>68 0 00 00000</t>
  </si>
  <si>
    <t>68 0 01 00000</t>
  </si>
  <si>
    <t>68 0 01 01980</t>
  </si>
  <si>
    <t>350</t>
  </si>
  <si>
    <t>(+30)(+30)</t>
  </si>
  <si>
    <t>68 0 00 01980</t>
  </si>
  <si>
    <t>(-348)</t>
  </si>
  <si>
    <t>(+445,3)</t>
  </si>
  <si>
    <t>(-0,063)</t>
  </si>
  <si>
    <t>(-0,01)(-0,01)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</si>
  <si>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городской округ" " </t>
  </si>
  <si>
    <t>Основное мероприятие "Реализация кадровой политики, направленной на минимизацию коррупционных рисков"</t>
  </si>
  <si>
    <t>Проведение конкурсов на антитеррористическую тематику</t>
  </si>
  <si>
    <t xml:space="preserve"> Премии и гранты</t>
  </si>
  <si>
    <t>(-13,7)(-65,87)</t>
  </si>
  <si>
    <t>(+478,51)</t>
  </si>
  <si>
    <t>(+478,41)(+478,41)</t>
  </si>
  <si>
    <t>(-335,19)</t>
  </si>
  <si>
    <t>(-335,19)(-350,69)</t>
  </si>
  <si>
    <t>(+15,8)</t>
  </si>
  <si>
    <t>(+15,8)(+15,8)</t>
  </si>
  <si>
    <t>(-159,1)</t>
  </si>
  <si>
    <t>(-159,1)(-159,1)</t>
  </si>
  <si>
    <t>(+15,6)</t>
  </si>
  <si>
    <t>(-0,08)(+0,02)</t>
  </si>
  <si>
    <t>(+0,1)</t>
  </si>
  <si>
    <t>(-511)</t>
  </si>
  <si>
    <t>(+100)(+280)</t>
  </si>
  <si>
    <t>(+380)(+380)</t>
  </si>
  <si>
    <t>(+1)</t>
  </si>
  <si>
    <t>(+130)</t>
  </si>
  <si>
    <t>(+130)(+130)</t>
  </si>
  <si>
    <t>(+0,2)</t>
  </si>
  <si>
    <t>(+0,1)(+0,2)</t>
  </si>
  <si>
    <t>(-0,1)(-0,2)</t>
  </si>
  <si>
    <t>(-3)</t>
  </si>
  <si>
    <t>(-0,3)(-0,3)</t>
  </si>
  <si>
    <t>(+0,3)(+0,3)</t>
  </si>
  <si>
    <t>(+1)(+1)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</si>
  <si>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</si>
  <si>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от 20.01.2022 № 1 </t>
  </si>
  <si>
    <t xml:space="preserve">                                                                                                                               от 20.01.2022 № 1 </t>
  </si>
  <si>
    <t xml:space="preserve">       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</si>
  <si>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        Приложение № 1</t>
  </si>
  <si>
    <t xml:space="preserve">               Приложение № 1.1.</t>
  </si>
  <si>
    <t xml:space="preserve">             от 20.01.2022 № 1</t>
  </si>
  <si>
    <t xml:space="preserve">               к решению СПОГО</t>
  </si>
  <si>
    <t xml:space="preserve">   Приложение № 2</t>
  </si>
  <si>
    <t xml:space="preserve">       к решению СПОГО</t>
  </si>
  <si>
    <t xml:space="preserve">          от 20.01.2022 № 1       </t>
  </si>
  <si>
    <t xml:space="preserve">                             к решению СПОГО</t>
  </si>
  <si>
    <t xml:space="preserve">                                от 20.01.2022 № 1      </t>
  </si>
  <si>
    <t xml:space="preserve">                            Приложение № 2.1.</t>
  </si>
  <si>
    <t>от 20.01.2022 № 1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</si>
  <si>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2022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</si>
  <si>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2023-2024 годы</t>
  </si>
  <si>
    <t xml:space="preserve">                от 20.01.2022 № 1</t>
  </si>
  <si>
    <t>Приложение № 4</t>
  </si>
  <si>
    <t xml:space="preserve"> от 20.01.2022 № 1 </t>
  </si>
  <si>
    <t xml:space="preserve">   к решению СПОГО</t>
  </si>
  <si>
    <t>Приложение № 4.1.</t>
  </si>
  <si>
    <t xml:space="preserve">                    от 20.01.2022 № 1 </t>
  </si>
  <si>
    <t>________________________</t>
  </si>
  <si>
    <t xml:space="preserve">                                                                                       от 20.01.2022 № 1      </t>
  </si>
  <si>
    <t xml:space="preserve">                                                                                    к решению СПОГО</t>
  </si>
  <si>
    <t xml:space="preserve">                                                        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</si>
</sst>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164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4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0" fontId="8" fillId="0" borderId="0" xfId="1" applyFill="1"/>
    <xf numFmtId="0" fontId="8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0" fontId="16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right"/>
    </xf>
    <xf numFmtId="0" fontId="19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Fill="1"/>
    <xf numFmtId="165" fontId="0" fillId="0" borderId="0" xfId="0" applyNumberFormat="1" applyFill="1" applyBorder="1"/>
    <xf numFmtId="165" fontId="0" fillId="0" borderId="0" xfId="0" applyNumberFormat="1" applyFill="1"/>
    <xf numFmtId="4" fontId="0" fillId="0" borderId="0" xfId="0" applyNumberFormat="1" applyFill="1" applyBorder="1"/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/>
    <xf numFmtId="0" fontId="1" fillId="0" borderId="12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165" fontId="26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0" fillId="0" borderId="0" xfId="0" applyFont="1"/>
    <xf numFmtId="49" fontId="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8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/>
    <xf numFmtId="165" fontId="30" fillId="0" borderId="0" xfId="0" applyNumberFormat="1" applyFont="1" applyFill="1"/>
    <xf numFmtId="0" fontId="31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1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0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8" xfId="0" applyFont="1" applyFill="1" applyBorder="1" applyAlignment="1">
      <alignment vertical="center" wrapText="1"/>
    </xf>
    <xf numFmtId="4" fontId="0" fillId="0" borderId="0" xfId="0" applyNumberFormat="1"/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7" fillId="0" borderId="2" xfId="0" applyFont="1" applyFill="1" applyBorder="1"/>
    <xf numFmtId="0" fontId="1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5" fontId="34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1" fillId="0" borderId="2" xfId="0" applyNumberFormat="1" applyFont="1" applyBorder="1" applyAlignment="1">
      <alignment horizontal="center" vertical="center"/>
    </xf>
    <xf numFmtId="4" fontId="42" fillId="5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43" fillId="6" borderId="2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165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/>
    <xf numFmtId="0" fontId="25" fillId="0" borderId="0" xfId="0" applyNumberFormat="1" applyFont="1" applyFill="1"/>
    <xf numFmtId="165" fontId="25" fillId="0" borderId="0" xfId="0" applyNumberFormat="1" applyFont="1" applyFill="1"/>
    <xf numFmtId="0" fontId="25" fillId="0" borderId="0" xfId="0" applyFont="1"/>
    <xf numFmtId="4" fontId="25" fillId="0" borderId="0" xfId="0" applyNumberFormat="1" applyFont="1"/>
    <xf numFmtId="2" fontId="24" fillId="0" borderId="0" xfId="0" applyNumberFormat="1" applyFont="1" applyFill="1" applyAlignment="1">
      <alignment horizontal="center" vertical="center"/>
    </xf>
    <xf numFmtId="2" fontId="24" fillId="0" borderId="0" xfId="1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26" fillId="0" borderId="0" xfId="0" applyNumberFormat="1" applyFont="1"/>
    <xf numFmtId="2" fontId="44" fillId="0" borderId="0" xfId="0" applyNumberFormat="1" applyFont="1" applyFill="1" applyAlignment="1">
      <alignment horizontal="center" vertical="center"/>
    </xf>
    <xf numFmtId="4" fontId="45" fillId="0" borderId="0" xfId="0" applyNumberFormat="1" applyFont="1"/>
    <xf numFmtId="0" fontId="45" fillId="0" borderId="0" xfId="0" applyFont="1"/>
    <xf numFmtId="165" fontId="1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6" borderId="2" xfId="0" applyNumberForma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7" borderId="2" xfId="0" applyNumberForma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49" fontId="0" fillId="0" borderId="0" xfId="0" applyNumberFormat="1" applyFill="1"/>
    <xf numFmtId="49" fontId="0" fillId="0" borderId="2" xfId="0" applyNumberFormat="1" applyFill="1" applyBorder="1" applyAlignment="1">
      <alignment horizontal="center"/>
    </xf>
    <xf numFmtId="4" fontId="0" fillId="6" borderId="2" xfId="0" applyNumberFormat="1" applyFill="1" applyBorder="1"/>
    <xf numFmtId="0" fontId="1" fillId="0" borderId="0" xfId="0" applyNumberFormat="1" applyFont="1" applyFill="1" applyAlignment="1">
      <alignment horizontal="left" vertical="top" wrapText="1"/>
    </xf>
    <xf numFmtId="0" fontId="46" fillId="0" borderId="3" xfId="0" applyFont="1" applyFill="1" applyBorder="1" applyAlignment="1">
      <alignment horizontal="right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46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2" fillId="0" borderId="11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46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/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8" fillId="0" borderId="0" xfId="1" applyNumberFormat="1" applyFill="1"/>
    <xf numFmtId="2" fontId="24" fillId="0" borderId="0" xfId="1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/>
    <xf numFmtId="4" fontId="0" fillId="0" borderId="17" xfId="0" applyNumberFormat="1" applyFill="1" applyBorder="1"/>
    <xf numFmtId="4" fontId="0" fillId="0" borderId="14" xfId="0" applyNumberFormat="1" applyFill="1" applyBorder="1"/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/>
    <xf numFmtId="0" fontId="43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4" xfId="0" applyFill="1" applyBorder="1"/>
    <xf numFmtId="0" fontId="0" fillId="0" borderId="0" xfId="0"/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4" fillId="0" borderId="3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8" borderId="19" xfId="0" applyFill="1" applyBorder="1"/>
    <xf numFmtId="0" fontId="0" fillId="8" borderId="18" xfId="0" applyFill="1" applyBorder="1"/>
    <xf numFmtId="0" fontId="0" fillId="0" borderId="0" xfId="0" applyFill="1" applyBorder="1" applyAlignment="1">
      <alignment horizontal="center"/>
    </xf>
    <xf numFmtId="0" fontId="0" fillId="8" borderId="0" xfId="0" applyFill="1"/>
    <xf numFmtId="168" fontId="0" fillId="6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/>
    <xf numFmtId="0" fontId="0" fillId="0" borderId="0" xfId="0" applyFill="1" applyBorder="1" applyAlignment="1">
      <alignment horizontal="center"/>
    </xf>
    <xf numFmtId="0" fontId="8" fillId="0" borderId="0" xfId="1" applyNumberFormat="1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/>
    <xf numFmtId="14" fontId="1" fillId="0" borderId="9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1" fillId="0" borderId="15" xfId="1" applyNumberFormat="1" applyFont="1" applyFill="1" applyBorder="1" applyAlignment="1">
      <alignment horizontal="left" vertical="center"/>
    </xf>
    <xf numFmtId="14" fontId="0" fillId="0" borderId="18" xfId="0" applyNumberFormat="1" applyFill="1" applyBorder="1"/>
    <xf numFmtId="14" fontId="0" fillId="0" borderId="1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 applyBorder="1" applyAlignment="1">
      <alignment horizontal="right"/>
    </xf>
    <xf numFmtId="14" fontId="1" fillId="0" borderId="9" xfId="1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6" fontId="0" fillId="0" borderId="0" xfId="0" applyNumberFormat="1" applyFill="1"/>
    <xf numFmtId="14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7" fillId="7" borderId="2" xfId="0" applyFont="1" applyFill="1" applyBorder="1" applyAlignment="1">
      <alignment horizontal="center" vertical="center" wrapText="1"/>
    </xf>
    <xf numFmtId="4" fontId="25" fillId="6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" fillId="0" borderId="3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0" fillId="0" borderId="0" xfId="0" applyFill="1"/>
    <xf numFmtId="0" fontId="3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1" fillId="0" borderId="2" xfId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/>
    <xf numFmtId="0" fontId="1" fillId="0" borderId="1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/>
    </xf>
    <xf numFmtId="0" fontId="5" fillId="0" borderId="7" xfId="0" applyNumberFormat="1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" fillId="0" borderId="0" xfId="0" applyNumberFormat="1" applyFont="1" applyFill="1" applyAlignment="1">
      <alignment vertical="top" wrapText="1"/>
    </xf>
    <xf numFmtId="0" fontId="33" fillId="0" borderId="3" xfId="0" applyFont="1" applyFill="1" applyBorder="1" applyAlignment="1">
      <alignment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top" wrapText="1"/>
    </xf>
    <xf numFmtId="0" fontId="46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2" borderId="2" xfId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3" fillId="6" borderId="0" xfId="0" applyFont="1" applyFill="1" applyBorder="1" applyAlignment="1">
      <alignment horizontal="center" vertical="center" wrapText="1"/>
    </xf>
    <xf numFmtId="4" fontId="0" fillId="6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4" fontId="0" fillId="6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43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5" fontId="1" fillId="0" borderId="0" xfId="1" applyNumberFormat="1" applyFont="1" applyFill="1" applyAlignment="1"/>
    <xf numFmtId="0" fontId="7" fillId="2" borderId="0" xfId="0" applyFont="1" applyFill="1"/>
    <xf numFmtId="165" fontId="1" fillId="2" borderId="0" xfId="0" applyNumberFormat="1" applyFont="1" applyFill="1" applyAlignment="1"/>
    <xf numFmtId="0" fontId="1" fillId="2" borderId="0" xfId="0" applyNumberFormat="1" applyFont="1" applyFill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/>
    </xf>
    <xf numFmtId="0" fontId="2" fillId="2" borderId="13" xfId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left" vertical="top" wrapText="1"/>
    </xf>
    <xf numFmtId="0" fontId="1" fillId="2" borderId="0" xfId="1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34" fillId="2" borderId="16" xfId="0" applyFont="1" applyFill="1" applyBorder="1" applyAlignment="1">
      <alignment horizontal="left" vertical="center" wrapText="1"/>
    </xf>
    <xf numFmtId="166" fontId="10" fillId="2" borderId="8" xfId="0" applyNumberFormat="1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1" fontId="2" fillId="2" borderId="2" xfId="1" applyNumberFormat="1" applyFont="1" applyFill="1" applyBorder="1" applyAlignment="1">
      <alignment vertical="center" wrapText="1"/>
    </xf>
    <xf numFmtId="1" fontId="2" fillId="2" borderId="0" xfId="1" applyNumberFormat="1" applyFont="1" applyFill="1" applyBorder="1" applyAlignment="1">
      <alignment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0" fontId="8" fillId="2" borderId="0" xfId="1" applyFill="1"/>
    <xf numFmtId="0" fontId="7" fillId="2" borderId="0" xfId="1" applyFont="1" applyFill="1"/>
    <xf numFmtId="0" fontId="12" fillId="2" borderId="0" xfId="1" applyFont="1" applyFill="1" applyAlignment="1">
      <alignment horizontal="right"/>
    </xf>
    <xf numFmtId="0" fontId="7" fillId="2" borderId="0" xfId="1" applyFont="1" applyFill="1" applyAlignment="1"/>
    <xf numFmtId="0" fontId="7" fillId="2" borderId="0" xfId="1" applyFont="1" applyFill="1" applyAlignment="1">
      <alignment horizontal="right"/>
    </xf>
    <xf numFmtId="1" fontId="7" fillId="2" borderId="0" xfId="1" applyNumberFormat="1" applyFont="1" applyFill="1"/>
    <xf numFmtId="2" fontId="7" fillId="2" borderId="0" xfId="1" applyNumberFormat="1" applyFont="1" applyFill="1"/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6" fontId="1" fillId="0" borderId="2" xfId="0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 wrapText="1"/>
    </xf>
    <xf numFmtId="4" fontId="0" fillId="0" borderId="0" xfId="0" applyNumberFormat="1" applyFill="1" applyAlignment="1"/>
    <xf numFmtId="49" fontId="50" fillId="0" borderId="9" xfId="1" applyNumberFormat="1" applyFont="1" applyFill="1" applyBorder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65" fontId="51" fillId="0" borderId="0" xfId="0" applyNumberFormat="1" applyFont="1" applyFill="1" applyBorder="1" applyAlignment="1">
      <alignment horizontal="left"/>
    </xf>
    <xf numFmtId="49" fontId="50" fillId="0" borderId="9" xfId="0" applyNumberFormat="1" applyFont="1" applyFill="1" applyBorder="1" applyAlignment="1">
      <alignment horizontal="left" vertical="center"/>
    </xf>
    <xf numFmtId="49" fontId="50" fillId="0" borderId="15" xfId="1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/>
    </xf>
    <xf numFmtId="49" fontId="50" fillId="2" borderId="8" xfId="0" applyNumberFormat="1" applyFont="1" applyFill="1" applyBorder="1" applyAlignment="1">
      <alignment horizontal="left" vertical="center"/>
    </xf>
    <xf numFmtId="49" fontId="50" fillId="2" borderId="11" xfId="0" applyNumberFormat="1" applyFont="1" applyFill="1" applyBorder="1" applyAlignment="1">
      <alignment horizontal="left" vertical="center"/>
    </xf>
    <xf numFmtId="49" fontId="50" fillId="2" borderId="0" xfId="0" applyNumberFormat="1" applyFont="1" applyFill="1" applyBorder="1" applyAlignment="1">
      <alignment horizontal="left" vertical="center"/>
    </xf>
    <xf numFmtId="49" fontId="50" fillId="0" borderId="0" xfId="1" applyNumberFormat="1" applyFont="1" applyFill="1" applyBorder="1" applyAlignment="1">
      <alignment horizontal="left" vertical="center"/>
    </xf>
    <xf numFmtId="4" fontId="50" fillId="0" borderId="15" xfId="1" applyNumberFormat="1" applyFont="1" applyFill="1" applyBorder="1" applyAlignment="1">
      <alignment horizontal="left" vertical="center"/>
    </xf>
    <xf numFmtId="16" fontId="51" fillId="0" borderId="8" xfId="0" applyNumberFormat="1" applyFont="1" applyFill="1" applyBorder="1" applyAlignment="1">
      <alignment horizontal="left"/>
    </xf>
    <xf numFmtId="16" fontId="51" fillId="0" borderId="11" xfId="0" applyNumberFormat="1" applyFont="1" applyFill="1" applyBorder="1" applyAlignment="1">
      <alignment horizontal="left"/>
    </xf>
    <xf numFmtId="16" fontId="51" fillId="0" borderId="15" xfId="0" applyNumberFormat="1" applyFont="1" applyFill="1" applyBorder="1" applyAlignment="1">
      <alignment horizontal="left"/>
    </xf>
    <xf numFmtId="16" fontId="51" fillId="0" borderId="16" xfId="0" applyNumberFormat="1" applyFont="1" applyFill="1" applyBorder="1" applyAlignment="1">
      <alignment horizontal="left"/>
    </xf>
    <xf numFmtId="16" fontId="51" fillId="0" borderId="12" xfId="0" applyNumberFormat="1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49" fontId="50" fillId="0" borderId="8" xfId="1" applyNumberFormat="1" applyFont="1" applyFill="1" applyBorder="1" applyAlignment="1">
      <alignment horizontal="left" vertical="center"/>
    </xf>
    <xf numFmtId="49" fontId="50" fillId="0" borderId="11" xfId="1" applyNumberFormat="1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left"/>
    </xf>
    <xf numFmtId="165" fontId="51" fillId="0" borderId="0" xfId="0" applyNumberFormat="1" applyFont="1" applyFill="1" applyAlignment="1">
      <alignment horizontal="left"/>
    </xf>
    <xf numFmtId="4" fontId="51" fillId="0" borderId="0" xfId="0" applyNumberFormat="1" applyFont="1" applyFill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30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right" vertical="center"/>
    </xf>
    <xf numFmtId="0" fontId="8" fillId="0" borderId="0" xfId="1" applyNumberFormat="1" applyFill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8" fillId="2" borderId="0" xfId="1" applyFont="1" applyFill="1"/>
    <xf numFmtId="0" fontId="26" fillId="2" borderId="0" xfId="0" applyFont="1" applyFill="1"/>
    <xf numFmtId="4" fontId="26" fillId="0" borderId="0" xfId="0" applyNumberFormat="1" applyFont="1" applyAlignment="1">
      <alignment horizontal="right" vertical="center"/>
    </xf>
    <xf numFmtId="168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2" xfId="1" applyFont="1" applyFill="1" applyBorder="1" applyAlignment="1">
      <alignment horizontal="left" wrapText="1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0" fillId="0" borderId="2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65" fontId="13" fillId="0" borderId="0" xfId="1" applyNumberFormat="1" applyFont="1" applyFill="1"/>
    <xf numFmtId="165" fontId="40" fillId="0" borderId="0" xfId="0" applyNumberFormat="1" applyFont="1" applyFill="1"/>
    <xf numFmtId="165" fontId="21" fillId="0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7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Гиперссылка" xfId="3" builtinId="8"/>
    <cellStyle name="Обычный" xfId="0" builtinId="0"/>
    <cellStyle name="Обычный 2" xfId="1"/>
    <cellStyle name="Процентный 2" xfId="4"/>
    <cellStyle name="Финансовый" xfId="2" builtinId="3"/>
    <cellStyle name="Финансовый 2" xfId="5"/>
  </cellStyles>
  <dxfs count="0"/>
  <tableStyles count="0" defaultTableStyle="TableStyleMedium2" defaultPivotStyle="PivotStyleMedium9"/>
  <colors>
    <mruColors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lichman\&#1041;&#1102;&#1076;&#1078;&#1077;&#1090;%20&#1085;&#1072;%202021%20&#1075;&#1086;&#1076;\&#1041;&#1102;&#1076;&#1078;&#1077;&#1090;%202021&#1075;\&#1059;&#1090;&#1086;&#1095;&#1085;&#1077;&#1085;&#1080;&#1077;%20&#1073;&#1102;&#1076;&#1078;&#1077;&#1090;&#1072;\&#1059;&#1090;&#1086;&#1095;&#1085;&#1077;&#1085;&#1080;&#1077;%20&#1092;&#1077;&#1074;&#1088;&#1072;&#1083;&#1100;\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</sheetData>
      <sheetData sheetId="5"/>
      <sheetData sheetId="6">
        <row r="47">
          <cell r="G47">
            <v>40.5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1"/>
  <sheetViews>
    <sheetView view="pageBreakPreview" zoomScaleNormal="90" zoomScaleSheetLayoutView="100" workbookViewId="0">
      <selection activeCell="C5" sqref="C5"/>
    </sheetView>
  </sheetViews>
  <sheetFormatPr defaultColWidth="9.140625" defaultRowHeight="15" x14ac:dyDescent="0.25"/>
  <cols>
    <col min="1" max="1" width="25.140625" style="79" customWidth="1"/>
    <col min="2" max="2" width="79.140625" style="79" customWidth="1"/>
    <col min="3" max="3" width="16.28515625" style="104" customWidth="1"/>
    <col min="4" max="4" width="18.85546875" style="79" hidden="1" customWidth="1"/>
    <col min="5" max="5" width="12.5703125" style="79" hidden="1" customWidth="1"/>
    <col min="6" max="6" width="11.85546875" style="79" hidden="1" customWidth="1"/>
    <col min="7" max="7" width="12.5703125" style="79" hidden="1" customWidth="1"/>
    <col min="8" max="8" width="11.85546875" style="79" hidden="1" customWidth="1"/>
    <col min="9" max="9" width="15" style="79" hidden="1" customWidth="1"/>
    <col min="10" max="10" width="8.28515625" style="545" customWidth="1"/>
    <col min="11" max="11" width="13.5703125" style="79" bestFit="1" customWidth="1"/>
    <col min="12" max="12" width="17" style="79" customWidth="1"/>
    <col min="13" max="16384" width="9.140625" style="79"/>
  </cols>
  <sheetData>
    <row r="1" spans="1:12" ht="15" customHeight="1" x14ac:dyDescent="0.25">
      <c r="B1" s="588" t="s">
        <v>1350</v>
      </c>
      <c r="C1" s="588"/>
    </row>
    <row r="2" spans="1:12" ht="15" customHeight="1" x14ac:dyDescent="0.25">
      <c r="B2" s="588" t="s">
        <v>1349</v>
      </c>
      <c r="C2" s="588"/>
    </row>
    <row r="3" spans="1:12" ht="15.75" x14ac:dyDescent="0.25">
      <c r="B3" s="588" t="s">
        <v>1348</v>
      </c>
      <c r="C3" s="588"/>
    </row>
    <row r="4" spans="1:12" ht="15.75" x14ac:dyDescent="0.25">
      <c r="B4" s="574"/>
      <c r="C4" s="574"/>
    </row>
    <row r="5" spans="1:12" ht="15.75" x14ac:dyDescent="0.25">
      <c r="B5" s="574"/>
      <c r="C5" s="574"/>
    </row>
    <row r="6" spans="1:12" ht="15.75" x14ac:dyDescent="0.25">
      <c r="A6" s="579" t="s">
        <v>970</v>
      </c>
      <c r="B6" s="579"/>
      <c r="C6" s="579"/>
    </row>
    <row r="7" spans="1:12" ht="15.75" x14ac:dyDescent="0.25">
      <c r="A7" s="579" t="s">
        <v>1114</v>
      </c>
      <c r="B7" s="579"/>
      <c r="C7" s="579"/>
    </row>
    <row r="8" spans="1:12" ht="15.75" x14ac:dyDescent="0.25">
      <c r="A8" s="81"/>
      <c r="B8" s="81"/>
      <c r="C8" s="562" t="s">
        <v>336</v>
      </c>
    </row>
    <row r="9" spans="1:12" ht="31.5" x14ac:dyDescent="0.25">
      <c r="A9" s="82" t="s">
        <v>2</v>
      </c>
      <c r="B9" s="83" t="s">
        <v>3</v>
      </c>
      <c r="C9" s="10" t="s">
        <v>590</v>
      </c>
      <c r="D9" s="214" t="s">
        <v>924</v>
      </c>
      <c r="E9" s="214" t="s">
        <v>924</v>
      </c>
    </row>
    <row r="10" spans="1:12" ht="15.75" x14ac:dyDescent="0.25">
      <c r="A10" s="84" t="s">
        <v>4</v>
      </c>
      <c r="B10" s="85" t="s">
        <v>5</v>
      </c>
      <c r="C10" s="310">
        <f>C11+C18+C23+C33+C41+C44+C50+C57+C60+C65</f>
        <v>325685.27</v>
      </c>
      <c r="E10" s="217">
        <f>SUM(E18:E52)</f>
        <v>4271.130000000001</v>
      </c>
      <c r="G10" s="74"/>
      <c r="H10" s="74"/>
      <c r="J10" s="546"/>
    </row>
    <row r="11" spans="1:12" ht="15.75" x14ac:dyDescent="0.25">
      <c r="A11" s="86" t="s">
        <v>6</v>
      </c>
      <c r="B11" s="85" t="s">
        <v>7</v>
      </c>
      <c r="C11" s="310">
        <f>C12</f>
        <v>259508</v>
      </c>
      <c r="D11" s="74"/>
      <c r="F11" s="74"/>
      <c r="G11" s="74"/>
      <c r="H11" s="74"/>
      <c r="I11" s="74"/>
      <c r="J11" s="546"/>
    </row>
    <row r="12" spans="1:12" ht="15.75" x14ac:dyDescent="0.25">
      <c r="A12" s="87" t="s">
        <v>8</v>
      </c>
      <c r="B12" s="88" t="s">
        <v>9</v>
      </c>
      <c r="C12" s="310">
        <f>SUM(C13:C17)</f>
        <v>259508</v>
      </c>
      <c r="D12" s="74"/>
      <c r="F12" s="74"/>
      <c r="G12" s="74"/>
      <c r="H12" s="74"/>
      <c r="I12" s="74"/>
      <c r="J12" s="546"/>
    </row>
    <row r="13" spans="1:12" ht="63" x14ac:dyDescent="0.25">
      <c r="A13" s="129" t="s">
        <v>10</v>
      </c>
      <c r="B13" s="89" t="s">
        <v>11</v>
      </c>
      <c r="C13" s="311">
        <f>246084-3466</f>
        <v>242618</v>
      </c>
      <c r="D13" s="136"/>
      <c r="J13" s="545" t="s">
        <v>1288</v>
      </c>
      <c r="K13" s="130"/>
      <c r="L13" s="130"/>
    </row>
    <row r="14" spans="1:12" ht="94.5" x14ac:dyDescent="0.25">
      <c r="A14" s="129" t="s">
        <v>12</v>
      </c>
      <c r="B14" s="90" t="s">
        <v>13</v>
      </c>
      <c r="C14" s="311">
        <v>55</v>
      </c>
    </row>
    <row r="15" spans="1:12" ht="36.75" customHeight="1" x14ac:dyDescent="0.25">
      <c r="A15" s="129" t="s">
        <v>14</v>
      </c>
      <c r="B15" s="90" t="s">
        <v>15</v>
      </c>
      <c r="C15" s="311">
        <v>939</v>
      </c>
    </row>
    <row r="16" spans="1:12" ht="78.75" x14ac:dyDescent="0.25">
      <c r="A16" s="129" t="s">
        <v>16</v>
      </c>
      <c r="B16" s="90" t="s">
        <v>17</v>
      </c>
      <c r="C16" s="311">
        <f>802-535</f>
        <v>267</v>
      </c>
      <c r="J16" s="545" t="s">
        <v>1285</v>
      </c>
    </row>
    <row r="17" spans="1:10" ht="78.75" x14ac:dyDescent="0.25">
      <c r="A17" s="355" t="s">
        <v>1116</v>
      </c>
      <c r="B17" s="356" t="s">
        <v>1172</v>
      </c>
      <c r="C17" s="311">
        <f>7598.8+8030.2</f>
        <v>15629</v>
      </c>
      <c r="J17" s="545" t="s">
        <v>1289</v>
      </c>
    </row>
    <row r="18" spans="1:10" ht="31.5" x14ac:dyDescent="0.25">
      <c r="A18" s="91" t="s">
        <v>18</v>
      </c>
      <c r="B18" s="92" t="s">
        <v>19</v>
      </c>
      <c r="C18" s="310">
        <f>C19</f>
        <v>3071.5699999999997</v>
      </c>
      <c r="D18" s="215">
        <v>2319</v>
      </c>
      <c r="E18" s="215">
        <f>D18-C18</f>
        <v>-752.56999999999971</v>
      </c>
    </row>
    <row r="19" spans="1:10" ht="31.5" x14ac:dyDescent="0.25">
      <c r="A19" s="109" t="s">
        <v>20</v>
      </c>
      <c r="B19" s="110" t="s">
        <v>21</v>
      </c>
      <c r="C19" s="310">
        <f>SUM(C20:C22)</f>
        <v>3071.5699999999997</v>
      </c>
    </row>
    <row r="20" spans="1:10" ht="100.5" customHeight="1" x14ac:dyDescent="0.25">
      <c r="A20" s="93" t="s">
        <v>983</v>
      </c>
      <c r="B20" s="90" t="s">
        <v>999</v>
      </c>
      <c r="C20" s="311">
        <f>1388.75-74.75</f>
        <v>1314</v>
      </c>
    </row>
    <row r="21" spans="1:10" ht="117" customHeight="1" x14ac:dyDescent="0.25">
      <c r="A21" s="436" t="s">
        <v>984</v>
      </c>
      <c r="B21" s="90" t="s">
        <v>1000</v>
      </c>
      <c r="C21" s="311">
        <f>7.69-0.69</f>
        <v>7</v>
      </c>
    </row>
    <row r="22" spans="1:10" ht="98.45" customHeight="1" x14ac:dyDescent="0.25">
      <c r="A22" s="436" t="s">
        <v>985</v>
      </c>
      <c r="B22" s="90" t="s">
        <v>1001</v>
      </c>
      <c r="C22" s="311">
        <f>1849.27-98.7</f>
        <v>1750.57</v>
      </c>
    </row>
    <row r="23" spans="1:10" ht="18.75" x14ac:dyDescent="0.25">
      <c r="A23" s="87" t="s">
        <v>22</v>
      </c>
      <c r="B23" s="88" t="s">
        <v>23</v>
      </c>
      <c r="C23" s="310">
        <f>SUM(C24+C29+C31)</f>
        <v>14241</v>
      </c>
      <c r="F23" s="125"/>
    </row>
    <row r="24" spans="1:10" ht="31.5" x14ac:dyDescent="0.25">
      <c r="A24" s="84" t="s">
        <v>24</v>
      </c>
      <c r="B24" s="88" t="s">
        <v>25</v>
      </c>
      <c r="C24" s="310">
        <f>C25+C27</f>
        <v>11435</v>
      </c>
      <c r="D24" s="215">
        <v>13524.7</v>
      </c>
      <c r="E24" s="215">
        <f>D24-C24</f>
        <v>2089.7000000000007</v>
      </c>
    </row>
    <row r="25" spans="1:10" ht="31.5" x14ac:dyDescent="0.25">
      <c r="A25" s="84" t="s">
        <v>669</v>
      </c>
      <c r="B25" s="358" t="s">
        <v>27</v>
      </c>
      <c r="C25" s="310">
        <f>C26</f>
        <v>11040</v>
      </c>
    </row>
    <row r="26" spans="1:10" ht="31.5" x14ac:dyDescent="0.25">
      <c r="A26" s="82" t="s">
        <v>26</v>
      </c>
      <c r="B26" s="70" t="s">
        <v>27</v>
      </c>
      <c r="C26" s="311">
        <v>11040</v>
      </c>
    </row>
    <row r="27" spans="1:10" ht="36.75" customHeight="1" x14ac:dyDescent="0.25">
      <c r="A27" s="84" t="s">
        <v>668</v>
      </c>
      <c r="B27" s="165" t="s">
        <v>667</v>
      </c>
      <c r="C27" s="310">
        <f>C28</f>
        <v>395</v>
      </c>
    </row>
    <row r="28" spans="1:10" ht="50.25" customHeight="1" x14ac:dyDescent="0.25">
      <c r="A28" s="82" t="s">
        <v>28</v>
      </c>
      <c r="B28" s="94" t="s">
        <v>29</v>
      </c>
      <c r="C28" s="311">
        <v>395</v>
      </c>
    </row>
    <row r="29" spans="1:10" ht="15.75" hidden="1" x14ac:dyDescent="0.25">
      <c r="A29" s="84" t="s">
        <v>30</v>
      </c>
      <c r="B29" s="97" t="s">
        <v>31</v>
      </c>
      <c r="C29" s="310">
        <f>SUM(C30:C30)</f>
        <v>0</v>
      </c>
    </row>
    <row r="30" spans="1:10" ht="15.75" hidden="1" x14ac:dyDescent="0.25">
      <c r="A30" s="129" t="s">
        <v>32</v>
      </c>
      <c r="B30" s="89" t="s">
        <v>31</v>
      </c>
      <c r="C30" s="311"/>
    </row>
    <row r="31" spans="1:10" ht="31.5" x14ac:dyDescent="0.25">
      <c r="A31" s="84" t="s">
        <v>678</v>
      </c>
      <c r="B31" s="95" t="s">
        <v>670</v>
      </c>
      <c r="C31" s="310">
        <f>C32</f>
        <v>2806</v>
      </c>
    </row>
    <row r="32" spans="1:10" ht="31.5" x14ac:dyDescent="0.25">
      <c r="A32" s="82" t="s">
        <v>33</v>
      </c>
      <c r="B32" s="160" t="s">
        <v>34</v>
      </c>
      <c r="C32" s="311">
        <v>2806</v>
      </c>
    </row>
    <row r="33" spans="1:6" ht="15.75" x14ac:dyDescent="0.25">
      <c r="A33" s="87" t="s">
        <v>35</v>
      </c>
      <c r="B33" s="88" t="s">
        <v>36</v>
      </c>
      <c r="C33" s="310">
        <f>C34+C36</f>
        <v>1748</v>
      </c>
    </row>
    <row r="34" spans="1:6" ht="15.75" x14ac:dyDescent="0.25">
      <c r="A34" s="87" t="s">
        <v>37</v>
      </c>
      <c r="B34" s="88" t="s">
        <v>38</v>
      </c>
      <c r="C34" s="310">
        <f>C35</f>
        <v>1121</v>
      </c>
    </row>
    <row r="35" spans="1:6" ht="31.7" customHeight="1" x14ac:dyDescent="0.25">
      <c r="A35" s="129" t="s">
        <v>39</v>
      </c>
      <c r="B35" s="94" t="s">
        <v>40</v>
      </c>
      <c r="C35" s="311">
        <v>1121</v>
      </c>
    </row>
    <row r="36" spans="1:6" ht="15.75" x14ac:dyDescent="0.25">
      <c r="A36" s="87" t="s">
        <v>41</v>
      </c>
      <c r="B36" s="88" t="s">
        <v>42</v>
      </c>
      <c r="C36" s="310">
        <f>C37+C39</f>
        <v>627</v>
      </c>
      <c r="D36" s="79">
        <v>678</v>
      </c>
      <c r="E36" s="154">
        <f>D36-C36</f>
        <v>51</v>
      </c>
    </row>
    <row r="37" spans="1:6" ht="15.75" x14ac:dyDescent="0.25">
      <c r="A37" s="87" t="s">
        <v>680</v>
      </c>
      <c r="B37" s="88" t="s">
        <v>679</v>
      </c>
      <c r="C37" s="310">
        <f>C38</f>
        <v>504</v>
      </c>
    </row>
    <row r="38" spans="1:6" ht="31.5" x14ac:dyDescent="0.25">
      <c r="A38" s="129" t="s">
        <v>43</v>
      </c>
      <c r="B38" s="94" t="s">
        <v>44</v>
      </c>
      <c r="C38" s="311">
        <v>504</v>
      </c>
    </row>
    <row r="39" spans="1:6" ht="15.75" x14ac:dyDescent="0.25">
      <c r="A39" s="87" t="s">
        <v>682</v>
      </c>
      <c r="B39" s="88" t="s">
        <v>681</v>
      </c>
      <c r="C39" s="310">
        <f>C40</f>
        <v>123</v>
      </c>
    </row>
    <row r="40" spans="1:6" ht="31.5" x14ac:dyDescent="0.25">
      <c r="A40" s="129" t="s">
        <v>45</v>
      </c>
      <c r="B40" s="94" t="s">
        <v>46</v>
      </c>
      <c r="C40" s="311">
        <v>123</v>
      </c>
    </row>
    <row r="41" spans="1:6" ht="15.75" x14ac:dyDescent="0.25">
      <c r="A41" s="87" t="s">
        <v>47</v>
      </c>
      <c r="B41" s="88" t="s">
        <v>48</v>
      </c>
      <c r="C41" s="310">
        <f>C42</f>
        <v>1283</v>
      </c>
    </row>
    <row r="42" spans="1:6" ht="31.5" x14ac:dyDescent="0.25">
      <c r="A42" s="87" t="s">
        <v>49</v>
      </c>
      <c r="B42" s="88" t="s">
        <v>50</v>
      </c>
      <c r="C42" s="310">
        <f>C43</f>
        <v>1283</v>
      </c>
    </row>
    <row r="43" spans="1:6" ht="47.25" x14ac:dyDescent="0.25">
      <c r="A43" s="129" t="s">
        <v>51</v>
      </c>
      <c r="B43" s="89" t="s">
        <v>52</v>
      </c>
      <c r="C43" s="311">
        <v>1283</v>
      </c>
    </row>
    <row r="44" spans="1:6" ht="31.5" x14ac:dyDescent="0.25">
      <c r="A44" s="87" t="s">
        <v>53</v>
      </c>
      <c r="B44" s="96" t="s">
        <v>54</v>
      </c>
      <c r="C44" s="310">
        <f>C45</f>
        <v>44000</v>
      </c>
      <c r="D44" s="74">
        <f>C44+C50+C57+C60+C65</f>
        <v>45833.700000000004</v>
      </c>
      <c r="F44" s="74"/>
    </row>
    <row r="45" spans="1:6" ht="78.75" x14ac:dyDescent="0.25">
      <c r="A45" s="87" t="s">
        <v>55</v>
      </c>
      <c r="B45" s="96" t="s">
        <v>56</v>
      </c>
      <c r="C45" s="310">
        <f>C46+C48</f>
        <v>44000</v>
      </c>
      <c r="D45" s="216">
        <v>45000</v>
      </c>
      <c r="E45" s="215">
        <f>D45-C45</f>
        <v>1000</v>
      </c>
    </row>
    <row r="46" spans="1:6" ht="63" x14ac:dyDescent="0.25">
      <c r="A46" s="87" t="s">
        <v>57</v>
      </c>
      <c r="B46" s="88" t="s">
        <v>58</v>
      </c>
      <c r="C46" s="310">
        <f>C47</f>
        <v>40000</v>
      </c>
    </row>
    <row r="47" spans="1:6" ht="63" x14ac:dyDescent="0.25">
      <c r="A47" s="129" t="s">
        <v>59</v>
      </c>
      <c r="B47" s="94" t="s">
        <v>60</v>
      </c>
      <c r="C47" s="311">
        <v>40000</v>
      </c>
      <c r="D47" s="154"/>
    </row>
    <row r="48" spans="1:6" ht="36.75" customHeight="1" x14ac:dyDescent="0.25">
      <c r="A48" s="87" t="s">
        <v>61</v>
      </c>
      <c r="B48" s="88" t="s">
        <v>62</v>
      </c>
      <c r="C48" s="310">
        <f>C49</f>
        <v>4000</v>
      </c>
      <c r="D48" s="154"/>
    </row>
    <row r="49" spans="1:10" ht="31.5" x14ac:dyDescent="0.25">
      <c r="A49" s="129" t="s">
        <v>63</v>
      </c>
      <c r="B49" s="94" t="s">
        <v>64</v>
      </c>
      <c r="C49" s="311">
        <v>4000</v>
      </c>
    </row>
    <row r="50" spans="1:10" ht="15.75" x14ac:dyDescent="0.25">
      <c r="A50" s="87" t="s">
        <v>65</v>
      </c>
      <c r="B50" s="96" t="s">
        <v>66</v>
      </c>
      <c r="C50" s="310">
        <f>SUM(C51)</f>
        <v>1204.4000000000001</v>
      </c>
      <c r="D50" s="216">
        <v>3087.4</v>
      </c>
      <c r="E50" s="215">
        <f>D50-C50</f>
        <v>1883</v>
      </c>
    </row>
    <row r="51" spans="1:10" ht="15.75" x14ac:dyDescent="0.25">
      <c r="A51" s="87" t="s">
        <v>67</v>
      </c>
      <c r="B51" s="96" t="s">
        <v>68</v>
      </c>
      <c r="C51" s="310">
        <f>C52+C53+C54</f>
        <v>1204.4000000000001</v>
      </c>
    </row>
    <row r="52" spans="1:10" ht="31.5" x14ac:dyDescent="0.25">
      <c r="A52" s="87" t="s">
        <v>69</v>
      </c>
      <c r="B52" s="96" t="s">
        <v>70</v>
      </c>
      <c r="C52" s="311">
        <f>49.1+32.8</f>
        <v>81.900000000000006</v>
      </c>
      <c r="D52" s="127"/>
      <c r="J52" s="545" t="s">
        <v>1290</v>
      </c>
    </row>
    <row r="53" spans="1:10" ht="16.5" x14ac:dyDescent="0.25">
      <c r="A53" s="87" t="s">
        <v>71</v>
      </c>
      <c r="B53" s="96" t="s">
        <v>72</v>
      </c>
      <c r="C53" s="311">
        <f>166+110.7</f>
        <v>276.7</v>
      </c>
      <c r="D53" s="127"/>
      <c r="J53" s="545" t="s">
        <v>1291</v>
      </c>
    </row>
    <row r="54" spans="1:10" ht="23.25" customHeight="1" x14ac:dyDescent="0.25">
      <c r="A54" s="87" t="s">
        <v>923</v>
      </c>
      <c r="B54" s="159" t="s">
        <v>671</v>
      </c>
      <c r="C54" s="310">
        <f>C55+C56</f>
        <v>845.80000000000018</v>
      </c>
      <c r="D54" s="127"/>
    </row>
    <row r="55" spans="1:10" ht="18.75" x14ac:dyDescent="0.25">
      <c r="A55" s="129" t="s">
        <v>373</v>
      </c>
      <c r="B55" s="89" t="s">
        <v>374</v>
      </c>
      <c r="C55" s="311">
        <f>2370.8-1734.8</f>
        <v>636.00000000000023</v>
      </c>
      <c r="D55" s="128"/>
      <c r="J55" s="545" t="s">
        <v>1292</v>
      </c>
    </row>
    <row r="56" spans="1:10" ht="16.5" x14ac:dyDescent="0.25">
      <c r="A56" s="129" t="s">
        <v>375</v>
      </c>
      <c r="B56" s="89" t="s">
        <v>376</v>
      </c>
      <c r="C56" s="311">
        <f>250.2-40.4</f>
        <v>209.79999999999998</v>
      </c>
      <c r="D56" s="127"/>
      <c r="J56" s="545" t="s">
        <v>1293</v>
      </c>
    </row>
    <row r="57" spans="1:10" ht="31.5" x14ac:dyDescent="0.25">
      <c r="A57" s="87" t="s">
        <v>73</v>
      </c>
      <c r="B57" s="96" t="s">
        <v>74</v>
      </c>
      <c r="C57" s="310">
        <f>C59</f>
        <v>377.29999999999995</v>
      </c>
      <c r="D57" s="127"/>
    </row>
    <row r="58" spans="1:10" ht="15.75" x14ac:dyDescent="0.25">
      <c r="A58" s="87" t="s">
        <v>75</v>
      </c>
      <c r="B58" s="96" t="s">
        <v>76</v>
      </c>
      <c r="C58" s="310">
        <f>C59</f>
        <v>377.29999999999995</v>
      </c>
    </row>
    <row r="59" spans="1:10" ht="31.5" x14ac:dyDescent="0.25">
      <c r="A59" s="129" t="s">
        <v>77</v>
      </c>
      <c r="B59" s="89" t="s">
        <v>78</v>
      </c>
      <c r="C59" s="311">
        <f>833.9-456.6</f>
        <v>377.29999999999995</v>
      </c>
      <c r="D59" s="130"/>
      <c r="J59" s="545" t="s">
        <v>1286</v>
      </c>
    </row>
    <row r="60" spans="1:10" ht="31.5" x14ac:dyDescent="0.25">
      <c r="A60" s="87" t="s">
        <v>79</v>
      </c>
      <c r="B60" s="96" t="s">
        <v>80</v>
      </c>
      <c r="C60" s="310">
        <f>SUM(C61+C63)</f>
        <v>236</v>
      </c>
    </row>
    <row r="61" spans="1:10" ht="78.75" x14ac:dyDescent="0.25">
      <c r="A61" s="87" t="s">
        <v>81</v>
      </c>
      <c r="B61" s="96" t="s">
        <v>82</v>
      </c>
      <c r="C61" s="310">
        <f>C62</f>
        <v>235</v>
      </c>
    </row>
    <row r="62" spans="1:10" ht="78.75" x14ac:dyDescent="0.25">
      <c r="A62" s="129" t="s">
        <v>83</v>
      </c>
      <c r="B62" s="89" t="s">
        <v>337</v>
      </c>
      <c r="C62" s="311">
        <v>235</v>
      </c>
    </row>
    <row r="63" spans="1:10" ht="31.5" x14ac:dyDescent="0.25">
      <c r="A63" s="87" t="s">
        <v>84</v>
      </c>
      <c r="B63" s="96" t="s">
        <v>85</v>
      </c>
      <c r="C63" s="310">
        <f>SUM(C64)</f>
        <v>1</v>
      </c>
    </row>
    <row r="64" spans="1:10" ht="47.25" x14ac:dyDescent="0.25">
      <c r="A64" s="129" t="s">
        <v>86</v>
      </c>
      <c r="B64" s="89" t="s">
        <v>87</v>
      </c>
      <c r="C64" s="311">
        <v>1</v>
      </c>
    </row>
    <row r="65" spans="1:12" ht="15.75" x14ac:dyDescent="0.25">
      <c r="A65" s="87" t="s">
        <v>88</v>
      </c>
      <c r="B65" s="96" t="s">
        <v>89</v>
      </c>
      <c r="C65" s="310">
        <f>C66</f>
        <v>16</v>
      </c>
    </row>
    <row r="66" spans="1:12" ht="31.5" x14ac:dyDescent="0.25">
      <c r="A66" s="87" t="s">
        <v>650</v>
      </c>
      <c r="B66" s="96" t="s">
        <v>90</v>
      </c>
      <c r="C66" s="310">
        <f>C67+C69+C71+C73</f>
        <v>16</v>
      </c>
    </row>
    <row r="67" spans="1:12" ht="47.25" x14ac:dyDescent="0.25">
      <c r="A67" s="87" t="s">
        <v>664</v>
      </c>
      <c r="B67" s="166" t="s">
        <v>663</v>
      </c>
      <c r="C67" s="310">
        <f>C68</f>
        <v>10</v>
      </c>
    </row>
    <row r="68" spans="1:12" ht="63" x14ac:dyDescent="0.25">
      <c r="A68" s="129" t="s">
        <v>652</v>
      </c>
      <c r="B68" s="167" t="s">
        <v>658</v>
      </c>
      <c r="C68" s="311">
        <v>10</v>
      </c>
    </row>
    <row r="69" spans="1:12" ht="60.4" customHeight="1" x14ac:dyDescent="0.25">
      <c r="A69" s="87" t="s">
        <v>666</v>
      </c>
      <c r="B69" s="166" t="s">
        <v>665</v>
      </c>
      <c r="C69" s="310">
        <f>C70</f>
        <v>2.5</v>
      </c>
    </row>
    <row r="70" spans="1:12" ht="90.75" customHeight="1" x14ac:dyDescent="0.25">
      <c r="A70" s="129" t="s">
        <v>651</v>
      </c>
      <c r="B70" s="167" t="s">
        <v>659</v>
      </c>
      <c r="C70" s="311">
        <v>2.5</v>
      </c>
    </row>
    <row r="71" spans="1:12" s="119" customFormat="1" ht="51.75" customHeight="1" x14ac:dyDescent="0.25">
      <c r="A71" s="87" t="s">
        <v>1173</v>
      </c>
      <c r="B71" s="168" t="s">
        <v>1175</v>
      </c>
      <c r="C71" s="310">
        <f>C72</f>
        <v>0.5</v>
      </c>
      <c r="J71" s="547"/>
    </row>
    <row r="72" spans="1:12" ht="71.25" customHeight="1" x14ac:dyDescent="0.25">
      <c r="A72" s="129" t="s">
        <v>1174</v>
      </c>
      <c r="B72" s="167" t="s">
        <v>1176</v>
      </c>
      <c r="C72" s="311">
        <v>0.5</v>
      </c>
    </row>
    <row r="73" spans="1:12" ht="63" x14ac:dyDescent="0.25">
      <c r="A73" s="87" t="s">
        <v>662</v>
      </c>
      <c r="B73" s="168" t="s">
        <v>661</v>
      </c>
      <c r="C73" s="310">
        <f>C74</f>
        <v>3</v>
      </c>
    </row>
    <row r="74" spans="1:12" ht="78.75" x14ac:dyDescent="0.25">
      <c r="A74" s="129" t="s">
        <v>655</v>
      </c>
      <c r="B74" s="169" t="s">
        <v>660</v>
      </c>
      <c r="C74" s="311">
        <v>3</v>
      </c>
    </row>
    <row r="75" spans="1:12" ht="15.75" hidden="1" x14ac:dyDescent="0.25">
      <c r="A75" s="3" t="s">
        <v>653</v>
      </c>
      <c r="B75" s="108" t="s">
        <v>347</v>
      </c>
      <c r="C75" s="310">
        <f>C76</f>
        <v>0</v>
      </c>
    </row>
    <row r="76" spans="1:12" ht="15.75" hidden="1" x14ac:dyDescent="0.25">
      <c r="A76" s="3" t="s">
        <v>654</v>
      </c>
      <c r="B76" s="108" t="s">
        <v>348</v>
      </c>
      <c r="C76" s="310">
        <f>SUM(C77)</f>
        <v>0</v>
      </c>
    </row>
    <row r="77" spans="1:12" ht="15.75" hidden="1" x14ac:dyDescent="0.25">
      <c r="A77" s="2" t="s">
        <v>349</v>
      </c>
      <c r="B77" s="107" t="s">
        <v>350</v>
      </c>
      <c r="C77" s="311">
        <v>0</v>
      </c>
    </row>
    <row r="78" spans="1:12" ht="15.75" x14ac:dyDescent="0.25">
      <c r="A78" s="87" t="s">
        <v>91</v>
      </c>
      <c r="B78" s="88" t="s">
        <v>92</v>
      </c>
      <c r="C78" s="310">
        <f>C79+C185</f>
        <v>478553.41399999999</v>
      </c>
      <c r="D78" s="192">
        <f>C78-C80</f>
        <v>274060.41399999999</v>
      </c>
      <c r="E78" s="74"/>
      <c r="F78" s="74">
        <v>443864.2</v>
      </c>
      <c r="H78" s="121"/>
      <c r="J78" s="546"/>
    </row>
    <row r="79" spans="1:12" ht="31.5" x14ac:dyDescent="0.25">
      <c r="A79" s="87" t="s">
        <v>93</v>
      </c>
      <c r="B79" s="88" t="s">
        <v>94</v>
      </c>
      <c r="C79" s="310">
        <f>C80+C85+C143+C172</f>
        <v>478553.41399999999</v>
      </c>
      <c r="D79" s="193"/>
      <c r="H79" s="121"/>
      <c r="I79" s="74"/>
      <c r="J79" s="548"/>
      <c r="K79" s="519">
        <f>274315414.16-255000</f>
        <v>274060414.16000003</v>
      </c>
      <c r="L79" s="79" t="s">
        <v>1298</v>
      </c>
    </row>
    <row r="80" spans="1:12" ht="15.75" x14ac:dyDescent="0.25">
      <c r="A80" s="87" t="s">
        <v>392</v>
      </c>
      <c r="B80" s="97" t="s">
        <v>95</v>
      </c>
      <c r="C80" s="310">
        <f>C81+C83</f>
        <v>204493</v>
      </c>
      <c r="D80" s="194"/>
    </row>
    <row r="81" spans="1:10" ht="15.75" x14ac:dyDescent="0.25">
      <c r="A81" s="87" t="s">
        <v>684</v>
      </c>
      <c r="B81" s="97" t="s">
        <v>683</v>
      </c>
      <c r="C81" s="310">
        <f>C82</f>
        <v>193111</v>
      </c>
      <c r="D81" s="194"/>
    </row>
    <row r="82" spans="1:10" ht="31.5" x14ac:dyDescent="0.25">
      <c r="A82" s="129" t="s">
        <v>391</v>
      </c>
      <c r="B82" s="94" t="s">
        <v>691</v>
      </c>
      <c r="C82" s="311">
        <v>193111</v>
      </c>
      <c r="D82" s="194"/>
      <c r="F82" s="74"/>
    </row>
    <row r="83" spans="1:10" ht="31.5" x14ac:dyDescent="0.25">
      <c r="A83" s="84" t="s">
        <v>938</v>
      </c>
      <c r="B83" s="88" t="s">
        <v>939</v>
      </c>
      <c r="C83" s="310">
        <f>C84</f>
        <v>11382</v>
      </c>
      <c r="D83" s="193"/>
    </row>
    <row r="84" spans="1:10" ht="31.5" x14ac:dyDescent="0.25">
      <c r="A84" s="82" t="s">
        <v>940</v>
      </c>
      <c r="B84" s="94" t="s">
        <v>941</v>
      </c>
      <c r="C84" s="311">
        <v>11382</v>
      </c>
      <c r="D84" s="193"/>
    </row>
    <row r="85" spans="1:10" ht="34.5" customHeight="1" x14ac:dyDescent="0.25">
      <c r="A85" s="87" t="s">
        <v>390</v>
      </c>
      <c r="B85" s="88" t="s">
        <v>96</v>
      </c>
      <c r="C85" s="310">
        <f>C100+C108+C113+C104+C92+C96+C106+C98+C110+C86+C88+C90+C94+C102</f>
        <v>40095.493999999984</v>
      </c>
      <c r="D85" s="195">
        <f>C92+C96+C98+C100+C104+C106+C108+C112+C110+C88+C86</f>
        <v>38134.962</v>
      </c>
      <c r="E85" s="74"/>
      <c r="F85" s="74"/>
      <c r="G85" s="74"/>
      <c r="I85" s="74"/>
    </row>
    <row r="86" spans="1:10" ht="54" hidden="1" customHeight="1" x14ac:dyDescent="0.25">
      <c r="A86" s="433" t="s">
        <v>942</v>
      </c>
      <c r="B86" s="228" t="s">
        <v>943</v>
      </c>
      <c r="C86" s="283">
        <f>C87</f>
        <v>0</v>
      </c>
      <c r="D86" s="195"/>
      <c r="E86" s="74"/>
      <c r="F86" s="74"/>
      <c r="G86" s="74"/>
      <c r="I86" s="74"/>
      <c r="J86" s="546"/>
    </row>
    <row r="87" spans="1:10" ht="54" hidden="1" customHeight="1" x14ac:dyDescent="0.25">
      <c r="A87" s="129" t="s">
        <v>944</v>
      </c>
      <c r="B87" s="230" t="s">
        <v>945</v>
      </c>
      <c r="C87" s="311"/>
      <c r="D87" s="195">
        <f>'Пр.4 ведом.22'!G893-63</f>
        <v>-63</v>
      </c>
      <c r="E87" s="74"/>
      <c r="F87" s="74"/>
      <c r="G87" s="74"/>
      <c r="I87" s="74"/>
    </row>
    <row r="88" spans="1:10" ht="54" hidden="1" customHeight="1" x14ac:dyDescent="0.25">
      <c r="A88" s="87" t="s">
        <v>947</v>
      </c>
      <c r="B88" s="231" t="s">
        <v>946</v>
      </c>
      <c r="C88" s="310">
        <f>C89</f>
        <v>0</v>
      </c>
      <c r="D88" s="195"/>
      <c r="E88" s="74"/>
      <c r="F88" s="74"/>
      <c r="G88" s="74"/>
      <c r="I88" s="74"/>
    </row>
    <row r="89" spans="1:10" ht="54" hidden="1" customHeight="1" x14ac:dyDescent="0.25">
      <c r="A89" s="129" t="s">
        <v>948</v>
      </c>
      <c r="B89" s="234" t="s">
        <v>949</v>
      </c>
      <c r="C89" s="311"/>
      <c r="D89" s="195">
        <f>'Пр.4 ведом.22'!G753-258.45</f>
        <v>-258.45</v>
      </c>
      <c r="E89" s="74"/>
      <c r="F89" s="74"/>
      <c r="G89" s="74"/>
      <c r="I89" s="74"/>
    </row>
    <row r="90" spans="1:10" ht="45.75" customHeight="1" x14ac:dyDescent="0.25">
      <c r="A90" s="87" t="s">
        <v>953</v>
      </c>
      <c r="B90" s="113" t="s">
        <v>1169</v>
      </c>
      <c r="C90" s="310">
        <f>C91</f>
        <v>1677.7</v>
      </c>
      <c r="D90" s="195"/>
      <c r="E90" s="74"/>
      <c r="F90" s="74"/>
      <c r="G90" s="74"/>
      <c r="I90" s="74"/>
    </row>
    <row r="91" spans="1:10" ht="45.75" customHeight="1" x14ac:dyDescent="0.25">
      <c r="A91" s="129" t="s">
        <v>1118</v>
      </c>
      <c r="B91" s="230" t="s">
        <v>1117</v>
      </c>
      <c r="C91" s="311">
        <f>1677.8-0.1</f>
        <v>1677.7</v>
      </c>
      <c r="D91" s="195"/>
      <c r="E91" s="74"/>
      <c r="F91" s="74"/>
      <c r="G91" s="74"/>
      <c r="I91" s="74"/>
      <c r="J91" s="545" t="s">
        <v>1212</v>
      </c>
    </row>
    <row r="92" spans="1:10" ht="49.7" hidden="1" customHeight="1" x14ac:dyDescent="0.25">
      <c r="A92" s="434" t="s">
        <v>706</v>
      </c>
      <c r="B92" s="165" t="s">
        <v>708</v>
      </c>
      <c r="C92" s="284">
        <f>C93</f>
        <v>0</v>
      </c>
      <c r="D92" s="196"/>
      <c r="E92" s="74"/>
      <c r="F92" s="74"/>
      <c r="G92" s="74"/>
      <c r="H92" s="121"/>
      <c r="I92" s="74"/>
    </row>
    <row r="93" spans="1:10" ht="65.25" hidden="1" customHeight="1" x14ac:dyDescent="0.25">
      <c r="A93" s="129" t="s">
        <v>705</v>
      </c>
      <c r="B93" s="70" t="s">
        <v>1036</v>
      </c>
      <c r="C93" s="311"/>
      <c r="D93" s="196">
        <f>'Пр.4 ведом.22'!G746-150.8</f>
        <v>-150.80000000000001</v>
      </c>
      <c r="E93" s="74"/>
      <c r="F93" s="74"/>
      <c r="G93" s="74"/>
      <c r="H93" s="121"/>
      <c r="I93" s="74"/>
    </row>
    <row r="94" spans="1:10" ht="65.25" customHeight="1" x14ac:dyDescent="0.25">
      <c r="A94" s="87" t="s">
        <v>1161</v>
      </c>
      <c r="B94" s="358" t="s">
        <v>1162</v>
      </c>
      <c r="C94" s="310">
        <f>C95</f>
        <v>98.966999999999999</v>
      </c>
      <c r="D94" s="196"/>
      <c r="E94" s="74"/>
      <c r="F94" s="74"/>
      <c r="G94" s="74"/>
      <c r="H94" s="121"/>
      <c r="I94" s="74"/>
    </row>
    <row r="95" spans="1:10" ht="65.25" customHeight="1" x14ac:dyDescent="0.25">
      <c r="A95" s="440" t="s">
        <v>1160</v>
      </c>
      <c r="B95" s="70" t="s">
        <v>1130</v>
      </c>
      <c r="C95" s="311">
        <f>99-0.033</f>
        <v>98.966999999999999</v>
      </c>
      <c r="D95" s="196"/>
      <c r="E95" s="74"/>
      <c r="F95" s="74"/>
      <c r="G95" s="74"/>
      <c r="H95" s="121"/>
      <c r="I95" s="74"/>
      <c r="J95" s="545" t="s">
        <v>1294</v>
      </c>
    </row>
    <row r="96" spans="1:10" ht="47.25" hidden="1" customHeight="1" x14ac:dyDescent="0.25">
      <c r="A96" s="87" t="s">
        <v>709</v>
      </c>
      <c r="B96" s="358" t="s">
        <v>712</v>
      </c>
      <c r="C96" s="310">
        <f>C97</f>
        <v>0</v>
      </c>
      <c r="D96" s="196"/>
      <c r="E96" s="74"/>
      <c r="F96" s="74"/>
      <c r="G96" s="74"/>
      <c r="H96" s="121"/>
      <c r="I96" s="74"/>
    </row>
    <row r="97" spans="1:10" ht="54.75" hidden="1" customHeight="1" x14ac:dyDescent="0.25">
      <c r="A97" s="129" t="s">
        <v>710</v>
      </c>
      <c r="B97" s="70" t="s">
        <v>711</v>
      </c>
      <c r="C97" s="311">
        <v>0</v>
      </c>
      <c r="D97" s="196"/>
      <c r="E97" s="74"/>
      <c r="F97" s="74"/>
      <c r="G97" s="74"/>
      <c r="H97" s="121"/>
      <c r="I97" s="74"/>
    </row>
    <row r="98" spans="1:10" ht="26.45" hidden="1" customHeight="1" x14ac:dyDescent="0.25">
      <c r="A98" s="433"/>
      <c r="B98" s="235" t="s">
        <v>806</v>
      </c>
      <c r="C98" s="310">
        <f>C99</f>
        <v>0</v>
      </c>
      <c r="D98" s="196"/>
      <c r="E98" s="74"/>
      <c r="F98" s="74"/>
      <c r="G98" s="74"/>
      <c r="H98" s="121"/>
      <c r="I98" s="74"/>
    </row>
    <row r="99" spans="1:10" ht="23.25" hidden="1" customHeight="1" x14ac:dyDescent="0.25">
      <c r="A99" s="436"/>
      <c r="B99" s="236"/>
      <c r="C99" s="311"/>
      <c r="D99" s="196" t="e">
        <f>'Пр.4 ведом.22'!#REF!-1936.29</f>
        <v>#REF!</v>
      </c>
      <c r="E99" s="74"/>
      <c r="F99" s="74"/>
      <c r="G99" s="74"/>
      <c r="H99" s="121"/>
      <c r="I99" s="74"/>
    </row>
    <row r="100" spans="1:10" ht="51.75" customHeight="1" x14ac:dyDescent="0.25">
      <c r="A100" s="433" t="s">
        <v>929</v>
      </c>
      <c r="B100" s="88" t="s">
        <v>930</v>
      </c>
      <c r="C100" s="310">
        <f>C101</f>
        <v>5193.5999999999995</v>
      </c>
      <c r="D100" s="196"/>
      <c r="G100" s="98"/>
    </row>
    <row r="101" spans="1:10" ht="51.75" customHeight="1" x14ac:dyDescent="0.25">
      <c r="A101" s="436" t="s">
        <v>931</v>
      </c>
      <c r="B101" s="94" t="s">
        <v>912</v>
      </c>
      <c r="C101" s="311">
        <f>5193.7-0.1</f>
        <v>5193.5999999999995</v>
      </c>
      <c r="D101" s="196"/>
      <c r="G101" s="98"/>
      <c r="J101" s="545">
        <v>-0.1</v>
      </c>
    </row>
    <row r="102" spans="1:10" ht="35.25" customHeight="1" x14ac:dyDescent="0.25">
      <c r="A102" s="433" t="s">
        <v>1163</v>
      </c>
      <c r="B102" s="367" t="s">
        <v>1164</v>
      </c>
      <c r="C102" s="310">
        <f>C103</f>
        <v>183.86500000000001</v>
      </c>
      <c r="D102" s="196"/>
      <c r="G102" s="98"/>
    </row>
    <row r="103" spans="1:10" ht="34.5" customHeight="1" x14ac:dyDescent="0.25">
      <c r="A103" s="441" t="s">
        <v>1139</v>
      </c>
      <c r="B103" s="368" t="s">
        <v>372</v>
      </c>
      <c r="C103" s="311">
        <f>183.9-0.035</f>
        <v>183.86500000000001</v>
      </c>
      <c r="D103" s="196"/>
      <c r="G103" s="98"/>
      <c r="J103" s="545" t="s">
        <v>1295</v>
      </c>
    </row>
    <row r="104" spans="1:10" s="98" customFormat="1" ht="33" customHeight="1" x14ac:dyDescent="0.25">
      <c r="A104" s="433" t="s">
        <v>1165</v>
      </c>
      <c r="B104" s="88" t="s">
        <v>1166</v>
      </c>
      <c r="C104" s="310">
        <f>C105</f>
        <v>10094.700000000001</v>
      </c>
      <c r="D104" s="196"/>
      <c r="E104" s="98" t="s">
        <v>906</v>
      </c>
      <c r="J104" s="549"/>
    </row>
    <row r="105" spans="1:10" s="98" customFormat="1" ht="29.25" customHeight="1" x14ac:dyDescent="0.25">
      <c r="A105" s="436" t="s">
        <v>1167</v>
      </c>
      <c r="B105" s="290" t="s">
        <v>1136</v>
      </c>
      <c r="C105" s="311">
        <v>10094.700000000001</v>
      </c>
      <c r="D105" s="222">
        <f>'Пр.4 ведом.22'!G591-92.26</f>
        <v>-92.26</v>
      </c>
      <c r="E105" s="208">
        <f>83.03+839.57</f>
        <v>922.6</v>
      </c>
      <c r="J105" s="549"/>
    </row>
    <row r="106" spans="1:10" s="98" customFormat="1" ht="24.75" customHeight="1" x14ac:dyDescent="0.25">
      <c r="A106" s="180" t="s">
        <v>702</v>
      </c>
      <c r="B106" s="181" t="s">
        <v>703</v>
      </c>
      <c r="C106" s="310">
        <f>C107</f>
        <v>168.60000000000002</v>
      </c>
      <c r="D106" s="196"/>
      <c r="J106" s="549"/>
    </row>
    <row r="107" spans="1:10" s="98" customFormat="1" ht="21.75" customHeight="1" x14ac:dyDescent="0.25">
      <c r="A107" s="182" t="s">
        <v>700</v>
      </c>
      <c r="B107" s="183" t="s">
        <v>701</v>
      </c>
      <c r="C107" s="311">
        <f>112.4+56.2</f>
        <v>168.60000000000002</v>
      </c>
      <c r="D107" s="196">
        <f>'Пр.4 ведом.22'!G438</f>
        <v>120.9</v>
      </c>
      <c r="E107" s="98">
        <v>2202.4</v>
      </c>
      <c r="F107" s="98" t="s">
        <v>906</v>
      </c>
      <c r="J107" s="549"/>
    </row>
    <row r="108" spans="1:10" ht="31.5" hidden="1" x14ac:dyDescent="0.25">
      <c r="A108" s="433" t="s">
        <v>673</v>
      </c>
      <c r="B108" s="88" t="s">
        <v>674</v>
      </c>
      <c r="C108" s="310">
        <f>SUM(C109)</f>
        <v>0</v>
      </c>
      <c r="D108" s="196"/>
      <c r="G108" s="98"/>
    </row>
    <row r="109" spans="1:10" s="98" customFormat="1" ht="35.450000000000003" hidden="1" customHeight="1" x14ac:dyDescent="0.25">
      <c r="A109" s="436" t="s">
        <v>389</v>
      </c>
      <c r="B109" s="161" t="s">
        <v>1037</v>
      </c>
      <c r="C109" s="311"/>
      <c r="D109" s="196">
        <f>'Пр.4 ведом.22'!G1135-500-874</f>
        <v>24716</v>
      </c>
      <c r="E109" s="98">
        <v>3026.4</v>
      </c>
      <c r="F109" s="98" t="s">
        <v>906</v>
      </c>
      <c r="J109" s="549"/>
    </row>
    <row r="110" spans="1:10" s="119" customFormat="1" ht="32.25" hidden="1" customHeight="1" x14ac:dyDescent="0.25">
      <c r="A110" s="433" t="s">
        <v>927</v>
      </c>
      <c r="B110" s="97" t="s">
        <v>926</v>
      </c>
      <c r="C110" s="310">
        <f>C111</f>
        <v>0</v>
      </c>
      <c r="D110" s="197"/>
      <c r="J110" s="547"/>
    </row>
    <row r="111" spans="1:10" s="98" customFormat="1" ht="32.25" hidden="1" customHeight="1" x14ac:dyDescent="0.25">
      <c r="A111" s="436" t="s">
        <v>928</v>
      </c>
      <c r="B111" s="161" t="s">
        <v>925</v>
      </c>
      <c r="C111" s="311"/>
      <c r="D111" s="222">
        <f>'Пр.4 ведом.22'!G1088</f>
        <v>0</v>
      </c>
      <c r="J111" s="549"/>
    </row>
    <row r="112" spans="1:10" s="119" customFormat="1" ht="15.75" x14ac:dyDescent="0.25">
      <c r="A112" s="433" t="s">
        <v>676</v>
      </c>
      <c r="B112" s="88" t="s">
        <v>675</v>
      </c>
      <c r="C112" s="76">
        <f>C113</f>
        <v>22678.061999999998</v>
      </c>
      <c r="D112" s="197"/>
      <c r="G112" s="121"/>
      <c r="H112" s="120">
        <f>C114+C115+C116+C117+C118+C121+C122+C124+C125+C126+C128</f>
        <v>7070.2</v>
      </c>
      <c r="I112" s="120"/>
      <c r="J112" s="547"/>
    </row>
    <row r="113" spans="1:12" s="119" customFormat="1" ht="15.75" x14ac:dyDescent="0.25">
      <c r="A113" s="129" t="s">
        <v>388</v>
      </c>
      <c r="B113" s="94" t="s">
        <v>97</v>
      </c>
      <c r="C113" s="20">
        <f>SUM(C114:C142)</f>
        <v>22678.061999999998</v>
      </c>
      <c r="D113" s="197"/>
      <c r="G113" s="121"/>
      <c r="I113" s="120"/>
      <c r="J113" s="547"/>
    </row>
    <row r="114" spans="1:12" ht="78.75" hidden="1" x14ac:dyDescent="0.25">
      <c r="A114" s="583"/>
      <c r="B114" s="89" t="s">
        <v>987</v>
      </c>
      <c r="C114" s="311"/>
      <c r="D114" s="222" t="e">
        <f>'Пр.4 ведом.22'!#REF!</f>
        <v>#REF!</v>
      </c>
    </row>
    <row r="115" spans="1:12" ht="115.5" customHeight="1" x14ac:dyDescent="0.25">
      <c r="A115" s="584"/>
      <c r="B115" s="99" t="s">
        <v>1133</v>
      </c>
      <c r="C115" s="285">
        <v>652</v>
      </c>
      <c r="D115" s="222">
        <f>'Пр.4 ведом.22'!G654</f>
        <v>701.07999999999993</v>
      </c>
    </row>
    <row r="116" spans="1:12" ht="134.44999999999999" hidden="1" customHeight="1" x14ac:dyDescent="0.25">
      <c r="A116" s="584"/>
      <c r="B116" s="22" t="s">
        <v>1080</v>
      </c>
      <c r="C116" s="285"/>
      <c r="D116" s="196" t="e">
        <f>'Пр.4 ведом.22'!#REF!</f>
        <v>#REF!</v>
      </c>
    </row>
    <row r="117" spans="1:12" ht="81.75" customHeight="1" x14ac:dyDescent="0.25">
      <c r="A117" s="584"/>
      <c r="B117" s="276" t="s">
        <v>1119</v>
      </c>
      <c r="C117" s="186">
        <v>4113.8999999999996</v>
      </c>
      <c r="D117" s="220" t="e">
        <f>'Пр.4 ведом.22'!#REF!</f>
        <v>#REF!</v>
      </c>
      <c r="I117" s="74"/>
    </row>
    <row r="118" spans="1:12" ht="63" hidden="1" customHeight="1" x14ac:dyDescent="0.25">
      <c r="A118" s="584"/>
      <c r="B118" s="99" t="s">
        <v>910</v>
      </c>
      <c r="C118" s="10"/>
      <c r="D118" s="196" t="e">
        <f>SUM(D119:D120)</f>
        <v>#REF!</v>
      </c>
      <c r="G118" s="100"/>
    </row>
    <row r="119" spans="1:12" s="100" customFormat="1" ht="94.7" hidden="1" customHeight="1" x14ac:dyDescent="0.25">
      <c r="A119" s="584"/>
      <c r="B119" s="277" t="s">
        <v>911</v>
      </c>
      <c r="C119" s="286"/>
      <c r="D119" s="198"/>
      <c r="J119" s="550"/>
      <c r="L119" s="79"/>
    </row>
    <row r="120" spans="1:12" s="100" customFormat="1" ht="127.5" hidden="1" customHeight="1" x14ac:dyDescent="0.25">
      <c r="A120" s="584"/>
      <c r="B120" s="89" t="s">
        <v>986</v>
      </c>
      <c r="C120" s="311"/>
      <c r="D120" s="222" t="e">
        <f>'Пр.4 ведом.22'!#REF!</f>
        <v>#REF!</v>
      </c>
      <c r="J120" s="550"/>
      <c r="L120" s="79"/>
    </row>
    <row r="121" spans="1:12" ht="31.5" x14ac:dyDescent="0.25">
      <c r="A121" s="584"/>
      <c r="B121" s="89" t="s">
        <v>1120</v>
      </c>
      <c r="C121" s="311">
        <v>2304.3000000000002</v>
      </c>
      <c r="D121" s="220" t="e">
        <f>'Пр.4 ведом.22'!#REF!</f>
        <v>#REF!</v>
      </c>
    </row>
    <row r="122" spans="1:12" ht="78.75" hidden="1" x14ac:dyDescent="0.25">
      <c r="A122" s="584"/>
      <c r="B122" s="89" t="s">
        <v>1140</v>
      </c>
      <c r="C122" s="311">
        <f>255-255</f>
        <v>0</v>
      </c>
      <c r="D122" s="222" t="e">
        <f>'Пр.4 ведом.22'!#REF!</f>
        <v>#REF!</v>
      </c>
      <c r="J122" s="545" t="s">
        <v>1207</v>
      </c>
    </row>
    <row r="123" spans="1:12" ht="63" hidden="1" x14ac:dyDescent="0.25">
      <c r="A123" s="584"/>
      <c r="B123" s="32" t="s">
        <v>988</v>
      </c>
      <c r="C123" s="311"/>
      <c r="D123" s="222" t="e">
        <f>'Пр.4 ведом.22'!#REF!</f>
        <v>#REF!</v>
      </c>
    </row>
    <row r="124" spans="1:12" ht="82.5" hidden="1" customHeight="1" x14ac:dyDescent="0.25">
      <c r="A124" s="584"/>
      <c r="B124" s="89" t="s">
        <v>989</v>
      </c>
      <c r="C124" s="311"/>
      <c r="D124" s="222" t="e">
        <f>'Пр.4 ведом.22'!#REF!</f>
        <v>#REF!</v>
      </c>
    </row>
    <row r="125" spans="1:12" ht="47.25" hidden="1" customHeight="1" x14ac:dyDescent="0.25">
      <c r="A125" s="584"/>
      <c r="B125" s="22" t="s">
        <v>913</v>
      </c>
      <c r="C125" s="10"/>
      <c r="D125" s="196" t="e">
        <f>'Пр.4 ведом.22'!#REF!</f>
        <v>#REF!</v>
      </c>
    </row>
    <row r="126" spans="1:12" s="117" customFormat="1" ht="149.25" hidden="1" customHeight="1" x14ac:dyDescent="0.2">
      <c r="A126" s="584"/>
      <c r="B126" s="278" t="s">
        <v>990</v>
      </c>
      <c r="C126" s="20"/>
      <c r="D126" s="199" t="e">
        <f>'Пр.4 ведом.22'!#REF!</f>
        <v>#REF!</v>
      </c>
      <c r="J126" s="551"/>
    </row>
    <row r="127" spans="1:12" s="117" customFormat="1" ht="84.2" hidden="1" customHeight="1" x14ac:dyDescent="0.2">
      <c r="A127" s="584"/>
      <c r="B127" s="279" t="s">
        <v>991</v>
      </c>
      <c r="C127" s="20"/>
      <c r="D127" s="199" t="e">
        <f>'Пр.4 ведом.22'!#REF!</f>
        <v>#REF!</v>
      </c>
      <c r="J127" s="551"/>
    </row>
    <row r="128" spans="1:12" s="117" customFormat="1" ht="118.5" hidden="1" customHeight="1" x14ac:dyDescent="0.2">
      <c r="A128" s="584"/>
      <c r="B128" s="32" t="s">
        <v>1091</v>
      </c>
      <c r="C128" s="20"/>
      <c r="D128" s="221"/>
      <c r="J128" s="551"/>
    </row>
    <row r="129" spans="1:10" s="117" customFormat="1" ht="141" hidden="1" customHeight="1" x14ac:dyDescent="0.2">
      <c r="A129" s="584"/>
      <c r="B129" s="31" t="s">
        <v>1008</v>
      </c>
      <c r="C129" s="20"/>
      <c r="D129" s="221"/>
      <c r="J129" s="551"/>
    </row>
    <row r="130" spans="1:10" s="295" customFormat="1" ht="110.25" x14ac:dyDescent="0.2">
      <c r="A130" s="584"/>
      <c r="B130" s="290" t="s">
        <v>1146</v>
      </c>
      <c r="C130" s="20">
        <f>6871.5-0.038</f>
        <v>6871.4620000000004</v>
      </c>
      <c r="D130" s="296"/>
      <c r="J130" s="551" t="s">
        <v>1296</v>
      </c>
    </row>
    <row r="131" spans="1:10" s="295" customFormat="1" ht="41.25" customHeight="1" x14ac:dyDescent="0.2">
      <c r="A131" s="584"/>
      <c r="B131" s="290" t="s">
        <v>1121</v>
      </c>
      <c r="C131" s="20">
        <v>400</v>
      </c>
      <c r="D131" s="296"/>
      <c r="J131" s="551"/>
    </row>
    <row r="132" spans="1:10" s="295" customFormat="1" ht="41.25" customHeight="1" x14ac:dyDescent="0.2">
      <c r="A132" s="584"/>
      <c r="B132" s="290" t="s">
        <v>1168</v>
      </c>
      <c r="C132" s="20">
        <v>3515.6</v>
      </c>
      <c r="D132" s="296"/>
      <c r="J132" s="551"/>
    </row>
    <row r="133" spans="1:10" s="295" customFormat="1" ht="41.25" customHeight="1" x14ac:dyDescent="0.2">
      <c r="A133" s="584"/>
      <c r="B133" s="290" t="s">
        <v>1033</v>
      </c>
      <c r="C133" s="20">
        <v>200</v>
      </c>
      <c r="D133" s="296"/>
      <c r="J133" s="551"/>
    </row>
    <row r="134" spans="1:10" s="295" customFormat="1" ht="49.9" customHeight="1" x14ac:dyDescent="0.2">
      <c r="A134" s="584"/>
      <c r="B134" s="290" t="s">
        <v>1126</v>
      </c>
      <c r="C134" s="20">
        <v>247.3</v>
      </c>
      <c r="D134" s="296"/>
      <c r="J134" s="551"/>
    </row>
    <row r="135" spans="1:10" s="295" customFormat="1" ht="41.25" hidden="1" customHeight="1" x14ac:dyDescent="0.2">
      <c r="A135" s="584"/>
      <c r="B135" s="290" t="s">
        <v>1035</v>
      </c>
      <c r="C135" s="20"/>
      <c r="D135" s="296"/>
      <c r="J135" s="551"/>
    </row>
    <row r="136" spans="1:10" s="295" customFormat="1" ht="41.25" hidden="1" customHeight="1" x14ac:dyDescent="0.2">
      <c r="A136" s="584"/>
      <c r="B136" s="290" t="s">
        <v>1034</v>
      </c>
      <c r="C136" s="20"/>
      <c r="D136" s="296"/>
      <c r="J136" s="551"/>
    </row>
    <row r="137" spans="1:10" s="295" customFormat="1" ht="41.25" hidden="1" customHeight="1" x14ac:dyDescent="0.2">
      <c r="A137" s="584"/>
      <c r="B137" s="290" t="s">
        <v>1048</v>
      </c>
      <c r="C137" s="20"/>
      <c r="D137" s="296"/>
      <c r="J137" s="551"/>
    </row>
    <row r="138" spans="1:10" s="332" customFormat="1" ht="77.45" customHeight="1" x14ac:dyDescent="0.2">
      <c r="A138" s="584"/>
      <c r="B138" s="290" t="s">
        <v>1129</v>
      </c>
      <c r="C138" s="20">
        <v>200</v>
      </c>
      <c r="D138" s="296"/>
      <c r="J138" s="552"/>
    </row>
    <row r="139" spans="1:10" s="332" customFormat="1" ht="45.75" hidden="1" customHeight="1" x14ac:dyDescent="0.2">
      <c r="A139" s="584"/>
      <c r="B139" s="290" t="s">
        <v>1065</v>
      </c>
      <c r="C139" s="20"/>
      <c r="D139" s="296"/>
      <c r="J139" s="552"/>
    </row>
    <row r="140" spans="1:10" s="332" customFormat="1" ht="34.5" customHeight="1" x14ac:dyDescent="0.2">
      <c r="A140" s="584"/>
      <c r="B140" s="290" t="s">
        <v>1071</v>
      </c>
      <c r="C140" s="20">
        <v>4173.5</v>
      </c>
      <c r="D140" s="296"/>
      <c r="J140" s="552"/>
    </row>
    <row r="141" spans="1:10" s="332" customFormat="1" ht="85.5" hidden="1" customHeight="1" x14ac:dyDescent="0.2">
      <c r="A141" s="585"/>
      <c r="B141" s="290" t="s">
        <v>1077</v>
      </c>
      <c r="C141" s="20"/>
      <c r="D141" s="296"/>
      <c r="J141" s="552"/>
    </row>
    <row r="142" spans="1:10" s="332" customFormat="1" ht="15.75" hidden="1" x14ac:dyDescent="0.2">
      <c r="A142" s="437"/>
      <c r="B142" s="290"/>
      <c r="C142" s="20"/>
      <c r="D142" s="296"/>
      <c r="J142" s="552"/>
    </row>
    <row r="143" spans="1:10" ht="15.75" x14ac:dyDescent="0.25">
      <c r="A143" s="87" t="s">
        <v>387</v>
      </c>
      <c r="B143" s="96" t="s">
        <v>99</v>
      </c>
      <c r="C143" s="310">
        <f>C170+C144+C166+C168</f>
        <v>226543.52000000002</v>
      </c>
      <c r="D143" s="196"/>
      <c r="F143" s="74"/>
      <c r="H143" s="79">
        <v>242488.3</v>
      </c>
      <c r="I143" s="74">
        <f>H143-C143</f>
        <v>15944.77999999997</v>
      </c>
    </row>
    <row r="144" spans="1:10" ht="31.5" x14ac:dyDescent="0.25">
      <c r="A144" s="87" t="s">
        <v>386</v>
      </c>
      <c r="B144" s="96" t="s">
        <v>100</v>
      </c>
      <c r="C144" s="310">
        <f>C145</f>
        <v>225872.52000000002</v>
      </c>
      <c r="D144" s="196"/>
    </row>
    <row r="145" spans="1:11" ht="31.5" x14ac:dyDescent="0.25">
      <c r="A145" s="129" t="s">
        <v>385</v>
      </c>
      <c r="B145" s="89" t="s">
        <v>101</v>
      </c>
      <c r="C145" s="311">
        <f>SUM(C147+C148+C149+C150+C151+C152+C153+C156+C157+C158+C159+C161+C160+C162+C146)</f>
        <v>225872.52000000002</v>
      </c>
      <c r="D145" s="196"/>
    </row>
    <row r="146" spans="1:11" ht="47.25" x14ac:dyDescent="0.25">
      <c r="A146" s="583"/>
      <c r="B146" s="99" t="s">
        <v>1104</v>
      </c>
      <c r="C146" s="311">
        <f>204232.9-0.08</f>
        <v>204232.82</v>
      </c>
      <c r="D146" s="196"/>
      <c r="J146" s="545" t="s">
        <v>1297</v>
      </c>
    </row>
    <row r="147" spans="1:11" ht="97.5" hidden="1" customHeight="1" x14ac:dyDescent="0.25">
      <c r="A147" s="584"/>
      <c r="B147" s="276" t="s">
        <v>1145</v>
      </c>
      <c r="C147" s="10"/>
      <c r="D147" s="222"/>
    </row>
    <row r="148" spans="1:11" ht="81" hidden="1" customHeight="1" x14ac:dyDescent="0.25">
      <c r="A148" s="584"/>
      <c r="B148" s="89" t="s">
        <v>995</v>
      </c>
      <c r="C148" s="10"/>
      <c r="D148" s="222"/>
    </row>
    <row r="149" spans="1:11" ht="99" hidden="1" customHeight="1" x14ac:dyDescent="0.25">
      <c r="A149" s="584"/>
      <c r="B149" s="89" t="s">
        <v>992</v>
      </c>
      <c r="C149" s="10"/>
      <c r="D149" s="222"/>
      <c r="E149" s="154"/>
    </row>
    <row r="150" spans="1:11" ht="97.5" hidden="1" customHeight="1" x14ac:dyDescent="0.25">
      <c r="A150" s="584"/>
      <c r="B150" s="89" t="s">
        <v>993</v>
      </c>
      <c r="C150" s="10"/>
      <c r="D150" s="222"/>
      <c r="E150" s="154"/>
    </row>
    <row r="151" spans="1:11" ht="97.5" hidden="1" customHeight="1" x14ac:dyDescent="0.25">
      <c r="A151" s="584"/>
      <c r="B151" s="89" t="s">
        <v>994</v>
      </c>
      <c r="C151" s="10"/>
      <c r="D151" s="222"/>
      <c r="E151" s="154"/>
    </row>
    <row r="152" spans="1:11" ht="135.75" customHeight="1" x14ac:dyDescent="0.25">
      <c r="A152" s="584"/>
      <c r="B152" s="89" t="s">
        <v>1088</v>
      </c>
      <c r="C152" s="10">
        <v>315.8</v>
      </c>
      <c r="D152" s="222">
        <f>'Пр.4 ведом.22'!G214</f>
        <v>315.8</v>
      </c>
      <c r="E152" s="154">
        <f>C152-D152</f>
        <v>0</v>
      </c>
    </row>
    <row r="153" spans="1:11" ht="51" customHeight="1" x14ac:dyDescent="0.25">
      <c r="A153" s="584"/>
      <c r="B153" s="89" t="s">
        <v>1155</v>
      </c>
      <c r="C153" s="10">
        <f>SUM(C154:C155)</f>
        <v>3551.5</v>
      </c>
      <c r="D153" s="220">
        <f>'Пр.4 ведом.22'!G240</f>
        <v>3551.5</v>
      </c>
    </row>
    <row r="154" spans="1:11" ht="78.75" x14ac:dyDescent="0.25">
      <c r="A154" s="584"/>
      <c r="B154" s="280" t="s">
        <v>996</v>
      </c>
      <c r="C154" s="286">
        <v>3156.9</v>
      </c>
      <c r="D154" s="196"/>
    </row>
    <row r="155" spans="1:11" ht="126" x14ac:dyDescent="0.25">
      <c r="A155" s="584"/>
      <c r="B155" s="280" t="s">
        <v>997</v>
      </c>
      <c r="C155" s="286">
        <v>394.6</v>
      </c>
      <c r="D155" s="196"/>
    </row>
    <row r="156" spans="1:11" ht="129.75" customHeight="1" x14ac:dyDescent="0.25">
      <c r="A156" s="584"/>
      <c r="B156" s="89" t="s">
        <v>1144</v>
      </c>
      <c r="C156" s="10">
        <v>384.5</v>
      </c>
      <c r="D156" s="222">
        <f>'Пр.4 ведом.22'!G412</f>
        <v>384.5</v>
      </c>
    </row>
    <row r="157" spans="1:11" ht="96.75" customHeight="1" x14ac:dyDescent="0.25">
      <c r="A157" s="584"/>
      <c r="B157" s="89" t="s">
        <v>1143</v>
      </c>
      <c r="C157" s="10">
        <v>909.3</v>
      </c>
      <c r="D157" s="222">
        <f>'Пр.4 ведом.22'!G692</f>
        <v>909.3</v>
      </c>
    </row>
    <row r="158" spans="1:11" ht="47.25" x14ac:dyDescent="0.25">
      <c r="A158" s="584"/>
      <c r="B158" s="89" t="s">
        <v>1089</v>
      </c>
      <c r="C158" s="10">
        <v>1420.8</v>
      </c>
      <c r="D158" s="222">
        <f>'Пр.4 ведом.22'!G75</f>
        <v>1420.8</v>
      </c>
      <c r="E158" s="154">
        <f>C158-D158</f>
        <v>0</v>
      </c>
      <c r="J158" s="553"/>
      <c r="K158" s="299"/>
    </row>
    <row r="159" spans="1:11" ht="149.25" customHeight="1" x14ac:dyDescent="0.25">
      <c r="A159" s="584"/>
      <c r="B159" s="22" t="s">
        <v>1141</v>
      </c>
      <c r="C159" s="10">
        <v>16.600000000000001</v>
      </c>
      <c r="D159" s="191">
        <f>'Пр.4 ведом.22'!G572</f>
        <v>16.600000000000001</v>
      </c>
      <c r="E159" s="128"/>
      <c r="F159" s="128"/>
      <c r="G159" s="128"/>
      <c r="H159" s="128"/>
      <c r="I159" s="128"/>
    </row>
    <row r="160" spans="1:11" ht="144" hidden="1" customHeight="1" x14ac:dyDescent="0.25">
      <c r="A160" s="584"/>
      <c r="B160" s="32" t="s">
        <v>1142</v>
      </c>
      <c r="C160" s="10">
        <f>1975.4-1975.4</f>
        <v>0</v>
      </c>
      <c r="D160" s="209">
        <f>'Пр.4 ведом.22'!G602</f>
        <v>0</v>
      </c>
      <c r="E160" s="128"/>
      <c r="F160" s="128"/>
      <c r="G160" s="128"/>
      <c r="H160" s="128"/>
      <c r="I160" s="128"/>
    </row>
    <row r="161" spans="1:9" ht="47.25" x14ac:dyDescent="0.25">
      <c r="A161" s="584"/>
      <c r="B161" s="89" t="s">
        <v>932</v>
      </c>
      <c r="C161" s="10">
        <v>2145.8000000000002</v>
      </c>
      <c r="D161" s="191">
        <f>'Пр.4 ведом.22'!G1122</f>
        <v>2145.8000000000002</v>
      </c>
      <c r="E161" s="128"/>
      <c r="F161" s="128"/>
      <c r="G161" s="128"/>
      <c r="H161" s="128"/>
      <c r="I161" s="128"/>
    </row>
    <row r="162" spans="1:9" ht="63" x14ac:dyDescent="0.25">
      <c r="A162" s="584"/>
      <c r="B162" s="101" t="s">
        <v>1090</v>
      </c>
      <c r="C162" s="287">
        <f>SUM(C163:C165)</f>
        <v>12895.4</v>
      </c>
      <c r="D162" s="191"/>
      <c r="E162" s="128"/>
      <c r="F162" s="128"/>
      <c r="G162" s="128"/>
      <c r="H162" s="128"/>
      <c r="I162" s="128"/>
    </row>
    <row r="163" spans="1:9" ht="47.25" customHeight="1" x14ac:dyDescent="0.25">
      <c r="A163" s="584"/>
      <c r="B163" s="210" t="s">
        <v>933</v>
      </c>
      <c r="C163" s="288">
        <v>9911</v>
      </c>
      <c r="D163" s="191">
        <f>'Пр.4 ведом.22'!G332+'Пр.4 ведом.22'!G626+'Пр.4 ведом.22'!G691+'Пр.4 ведом.22'!G780</f>
        <v>9911</v>
      </c>
      <c r="E163" s="128">
        <f>C163-D163</f>
        <v>0</v>
      </c>
      <c r="F163" s="128"/>
      <c r="G163" s="128"/>
      <c r="H163" s="128"/>
      <c r="I163" s="128"/>
    </row>
    <row r="164" spans="1:9" ht="54" customHeight="1" x14ac:dyDescent="0.25">
      <c r="A164" s="584"/>
      <c r="B164" s="210" t="s">
        <v>934</v>
      </c>
      <c r="C164" s="288">
        <v>2100.5</v>
      </c>
      <c r="D164" s="191">
        <f>'Пр.4 ведом.22'!G407</f>
        <v>1204.3</v>
      </c>
      <c r="E164" s="128"/>
      <c r="F164" s="128"/>
      <c r="G164" s="128"/>
      <c r="H164" s="128"/>
      <c r="I164" s="128"/>
    </row>
    <row r="165" spans="1:9" ht="52.5" customHeight="1" x14ac:dyDescent="0.25">
      <c r="A165" s="585"/>
      <c r="B165" s="210" t="s">
        <v>935</v>
      </c>
      <c r="C165" s="288">
        <v>883.9</v>
      </c>
      <c r="D165" s="191">
        <f>'Пр.4 ведом.22'!G881</f>
        <v>883.9</v>
      </c>
      <c r="E165" s="128"/>
      <c r="F165" s="128"/>
      <c r="G165" s="128"/>
      <c r="H165" s="128"/>
      <c r="I165" s="128"/>
    </row>
    <row r="166" spans="1:9" ht="55.15" hidden="1" customHeight="1" x14ac:dyDescent="0.25">
      <c r="A166" s="87" t="s">
        <v>714</v>
      </c>
      <c r="B166" s="37" t="s">
        <v>716</v>
      </c>
      <c r="C166" s="38">
        <f>C167</f>
        <v>0</v>
      </c>
      <c r="D166" s="191">
        <f>'Пр.4 ведом.22'!G67</f>
        <v>0</v>
      </c>
      <c r="E166" s="128"/>
      <c r="F166" s="128"/>
      <c r="G166" s="128"/>
      <c r="H166" s="128"/>
      <c r="I166" s="128"/>
    </row>
    <row r="167" spans="1:9" ht="54" hidden="1" customHeight="1" x14ac:dyDescent="0.25">
      <c r="A167" s="129" t="s">
        <v>715</v>
      </c>
      <c r="B167" s="31" t="s">
        <v>716</v>
      </c>
      <c r="C167" s="10">
        <v>0</v>
      </c>
      <c r="D167" s="191">
        <f>'Пр.4 ведом.22'!G69</f>
        <v>0</v>
      </c>
      <c r="E167" s="128"/>
      <c r="F167" s="128"/>
      <c r="G167" s="128"/>
      <c r="H167" s="128"/>
      <c r="I167" s="128"/>
    </row>
    <row r="168" spans="1:9" ht="31.5" hidden="1" x14ac:dyDescent="0.25">
      <c r="A168" s="87" t="s">
        <v>958</v>
      </c>
      <c r="B168" s="37" t="s">
        <v>959</v>
      </c>
      <c r="C168" s="38">
        <f>C169</f>
        <v>0</v>
      </c>
      <c r="D168" s="191"/>
      <c r="E168" s="128"/>
      <c r="F168" s="128"/>
      <c r="G168" s="128"/>
      <c r="H168" s="128"/>
      <c r="I168" s="128"/>
    </row>
    <row r="169" spans="1:9" ht="31.5" hidden="1" x14ac:dyDescent="0.25">
      <c r="A169" s="129" t="s">
        <v>960</v>
      </c>
      <c r="B169" s="31" t="s">
        <v>961</v>
      </c>
      <c r="C169" s="10"/>
      <c r="D169" s="191" t="e">
        <f>'Пр.4 ведом.22'!#REF!</f>
        <v>#REF!</v>
      </c>
      <c r="E169" s="128"/>
      <c r="F169" s="128"/>
      <c r="G169" s="128"/>
      <c r="H169" s="128"/>
      <c r="I169" s="128"/>
    </row>
    <row r="170" spans="1:9" ht="31.5" x14ac:dyDescent="0.25">
      <c r="A170" s="87" t="s">
        <v>384</v>
      </c>
      <c r="B170" s="96" t="s">
        <v>102</v>
      </c>
      <c r="C170" s="310">
        <f t="shared" ref="C170" si="0">C171</f>
        <v>671</v>
      </c>
      <c r="D170" s="196"/>
    </row>
    <row r="171" spans="1:9" ht="31.5" x14ac:dyDescent="0.25">
      <c r="A171" s="129" t="s">
        <v>383</v>
      </c>
      <c r="B171" s="89" t="s">
        <v>103</v>
      </c>
      <c r="C171" s="310">
        <v>671</v>
      </c>
      <c r="D171" s="224">
        <f>'Пр.4 ведом.22'!G70</f>
        <v>671</v>
      </c>
    </row>
    <row r="172" spans="1:9" ht="15.75" x14ac:dyDescent="0.25">
      <c r="A172" s="87" t="s">
        <v>382</v>
      </c>
      <c r="B172" s="96" t="s">
        <v>104</v>
      </c>
      <c r="C172" s="310">
        <f>C178+C175+C173</f>
        <v>7421.4</v>
      </c>
      <c r="D172" s="196"/>
    </row>
    <row r="173" spans="1:9" ht="52.5" hidden="1" customHeight="1" x14ac:dyDescent="0.25">
      <c r="A173" s="87" t="s">
        <v>1020</v>
      </c>
      <c r="B173" s="306" t="s">
        <v>1021</v>
      </c>
      <c r="C173" s="310">
        <f>C174</f>
        <v>0</v>
      </c>
      <c r="D173" s="196"/>
    </row>
    <row r="174" spans="1:9" ht="51.75" hidden="1" customHeight="1" x14ac:dyDescent="0.25">
      <c r="A174" s="129" t="s">
        <v>1022</v>
      </c>
      <c r="B174" s="99" t="s">
        <v>1023</v>
      </c>
      <c r="C174" s="311"/>
      <c r="D174" s="196"/>
    </row>
    <row r="175" spans="1:9" ht="48.2" customHeight="1" x14ac:dyDescent="0.25">
      <c r="A175" s="190" t="s">
        <v>882</v>
      </c>
      <c r="B175" s="203" t="s">
        <v>880</v>
      </c>
      <c r="C175" s="310">
        <f>C176</f>
        <v>7421.4</v>
      </c>
      <c r="D175" s="196"/>
    </row>
    <row r="176" spans="1:9" ht="46.9" customHeight="1" x14ac:dyDescent="0.25">
      <c r="A176" s="178" t="s">
        <v>1038</v>
      </c>
      <c r="B176" s="101" t="s">
        <v>881</v>
      </c>
      <c r="C176" s="311">
        <v>7421.4</v>
      </c>
      <c r="D176" s="220">
        <f>'Пр.4 ведом.22'!G688</f>
        <v>7421.4</v>
      </c>
    </row>
    <row r="177" spans="1:10" ht="46.9" hidden="1" customHeight="1" x14ac:dyDescent="0.25">
      <c r="A177" s="178"/>
      <c r="B177" s="101"/>
      <c r="C177" s="311"/>
      <c r="D177" s="220"/>
    </row>
    <row r="178" spans="1:10" ht="15.75" hidden="1" x14ac:dyDescent="0.25">
      <c r="A178" s="87" t="s">
        <v>381</v>
      </c>
      <c r="B178" s="96" t="s">
        <v>105</v>
      </c>
      <c r="C178" s="310">
        <f>C179</f>
        <v>0</v>
      </c>
      <c r="D178" s="133"/>
    </row>
    <row r="179" spans="1:10" ht="31.5" hidden="1" x14ac:dyDescent="0.25">
      <c r="A179" s="129" t="s">
        <v>393</v>
      </c>
      <c r="B179" s="89" t="s">
        <v>677</v>
      </c>
      <c r="C179" s="288">
        <f>SUM(C180:C182)</f>
        <v>0</v>
      </c>
      <c r="D179" s="133"/>
    </row>
    <row r="180" spans="1:10" ht="15.75" hidden="1" x14ac:dyDescent="0.25">
      <c r="A180" s="580"/>
      <c r="B180" s="101"/>
      <c r="C180" s="288"/>
      <c r="D180" s="175">
        <f>'Пр.4 ведом.22'!G332+'Пр.4 ведом.22'!G626+'Пр.4 ведом.22'!G691+'Пр.4 ведом.22'!G780</f>
        <v>9911</v>
      </c>
      <c r="E180" s="176">
        <f>C180-D180</f>
        <v>-9911</v>
      </c>
    </row>
    <row r="181" spans="1:10" ht="112.7" hidden="1" customHeight="1" x14ac:dyDescent="0.25">
      <c r="A181" s="581"/>
      <c r="B181" s="101"/>
      <c r="C181" s="288"/>
      <c r="D181" s="175" t="e">
        <f>'Пр.4 ведом.22'!#REF!+'Пр.4 ведом.22'!G407</f>
        <v>#REF!</v>
      </c>
      <c r="E181" s="176" t="e">
        <f t="shared" ref="E181:E182" si="1">C181-D181</f>
        <v>#REF!</v>
      </c>
    </row>
    <row r="182" spans="1:10" ht="15.75" hidden="1" x14ac:dyDescent="0.25">
      <c r="A182" s="582"/>
      <c r="B182" s="101"/>
      <c r="C182" s="288"/>
      <c r="D182" s="175">
        <f>'Пр.4 ведом.22'!G881</f>
        <v>883.9</v>
      </c>
      <c r="E182" s="176">
        <f t="shared" si="1"/>
        <v>-883.9</v>
      </c>
    </row>
    <row r="183" spans="1:10" ht="15.75" hidden="1" x14ac:dyDescent="0.25">
      <c r="A183" s="435"/>
      <c r="B183" s="101"/>
      <c r="C183" s="288"/>
      <c r="D183" s="175"/>
      <c r="E183" s="176"/>
    </row>
    <row r="184" spans="1:10" ht="15.75" hidden="1" x14ac:dyDescent="0.25">
      <c r="A184" s="435"/>
      <c r="B184" s="101"/>
      <c r="C184" s="288"/>
      <c r="D184" s="175"/>
      <c r="E184" s="176"/>
    </row>
    <row r="185" spans="1:10" ht="31.5" hidden="1" x14ac:dyDescent="0.25">
      <c r="A185" s="282" t="s">
        <v>1005</v>
      </c>
      <c r="B185" s="203" t="s">
        <v>1010</v>
      </c>
      <c r="C185" s="289">
        <f>C186</f>
        <v>0</v>
      </c>
      <c r="D185" s="175"/>
      <c r="E185" s="176"/>
    </row>
    <row r="186" spans="1:10" s="119" customFormat="1" ht="31.5" hidden="1" x14ac:dyDescent="0.25">
      <c r="A186" s="435" t="s">
        <v>1009</v>
      </c>
      <c r="B186" s="203" t="s">
        <v>1011</v>
      </c>
      <c r="C186" s="289">
        <f>C187</f>
        <v>0</v>
      </c>
      <c r="D186" s="297"/>
      <c r="E186" s="298"/>
      <c r="J186" s="547"/>
    </row>
    <row r="187" spans="1:10" ht="36" hidden="1" customHeight="1" x14ac:dyDescent="0.25">
      <c r="A187" s="437" t="s">
        <v>1003</v>
      </c>
      <c r="B187" s="101" t="s">
        <v>1004</v>
      </c>
      <c r="C187" s="288"/>
      <c r="D187" s="175"/>
      <c r="E187" s="176"/>
    </row>
    <row r="188" spans="1:10" ht="15.75" hidden="1" x14ac:dyDescent="0.25">
      <c r="A188" s="435"/>
      <c r="B188" s="101"/>
      <c r="C188" s="288"/>
      <c r="D188" s="175"/>
      <c r="E188" s="176"/>
    </row>
    <row r="189" spans="1:10" ht="15.75" hidden="1" x14ac:dyDescent="0.25">
      <c r="A189" s="435"/>
      <c r="B189" s="101"/>
      <c r="C189" s="288"/>
      <c r="D189" s="175"/>
      <c r="E189" s="176"/>
    </row>
    <row r="190" spans="1:10" ht="15.75" hidden="1" x14ac:dyDescent="0.25">
      <c r="A190" s="435"/>
      <c r="B190" s="101"/>
      <c r="C190" s="288"/>
      <c r="D190" s="175"/>
      <c r="E190" s="176"/>
    </row>
    <row r="191" spans="1:10" ht="15.75" hidden="1" x14ac:dyDescent="0.25">
      <c r="A191" s="435"/>
      <c r="B191" s="101"/>
      <c r="C191" s="288"/>
      <c r="D191" s="175"/>
      <c r="E191" s="176"/>
    </row>
    <row r="192" spans="1:10" ht="15.75" hidden="1" x14ac:dyDescent="0.25">
      <c r="A192" s="435"/>
      <c r="B192" s="101"/>
      <c r="C192" s="288"/>
      <c r="D192" s="175"/>
      <c r="E192" s="176"/>
    </row>
    <row r="193" spans="1:12" ht="15.75" hidden="1" x14ac:dyDescent="0.25">
      <c r="A193" s="312" t="s">
        <v>361</v>
      </c>
      <c r="B193" s="115" t="s">
        <v>362</v>
      </c>
      <c r="C193" s="289">
        <f>SUM(C194)</f>
        <v>0</v>
      </c>
    </row>
    <row r="194" spans="1:12" ht="15.75" hidden="1" x14ac:dyDescent="0.25">
      <c r="A194" s="312" t="s">
        <v>363</v>
      </c>
      <c r="B194" s="115" t="s">
        <v>364</v>
      </c>
      <c r="C194" s="289">
        <f>SUM(C195)</f>
        <v>0</v>
      </c>
    </row>
    <row r="195" spans="1:12" ht="15.75" hidden="1" x14ac:dyDescent="0.25">
      <c r="A195" s="577" t="s">
        <v>411</v>
      </c>
      <c r="B195" s="118" t="s">
        <v>364</v>
      </c>
      <c r="C195" s="289">
        <f>SUM(C197:C198)</f>
        <v>0</v>
      </c>
    </row>
    <row r="196" spans="1:12" ht="15.75" hidden="1" x14ac:dyDescent="0.25">
      <c r="A196" s="578"/>
      <c r="B196" s="118" t="s">
        <v>98</v>
      </c>
      <c r="C196" s="289"/>
    </row>
    <row r="197" spans="1:12" ht="22.7" hidden="1" customHeight="1" x14ac:dyDescent="0.25">
      <c r="A197" s="578"/>
      <c r="B197" s="116"/>
      <c r="C197" s="288">
        <v>0</v>
      </c>
    </row>
    <row r="198" spans="1:12" ht="15.75" hidden="1" x14ac:dyDescent="0.25">
      <c r="A198" s="578"/>
      <c r="B198" s="116"/>
      <c r="C198" s="288">
        <v>0</v>
      </c>
    </row>
    <row r="199" spans="1:12" ht="15.75" x14ac:dyDescent="0.25">
      <c r="A199" s="129"/>
      <c r="B199" s="113" t="s">
        <v>106</v>
      </c>
      <c r="C199" s="310">
        <f>SUM(C10+C78)</f>
        <v>804238.68400000001</v>
      </c>
      <c r="D199" s="98"/>
      <c r="G199" s="121"/>
      <c r="H199" s="74"/>
      <c r="L199" s="74"/>
    </row>
    <row r="200" spans="1:12" x14ac:dyDescent="0.25">
      <c r="C200" s="104">
        <f>C10+C82+C84</f>
        <v>530178.27</v>
      </c>
    </row>
    <row r="201" spans="1:12" ht="21.2" customHeight="1" x14ac:dyDescent="0.25">
      <c r="C201" s="104">
        <f>C78-C82-C84</f>
        <v>274060.41399999999</v>
      </c>
      <c r="I201" s="154"/>
    </row>
  </sheetData>
  <mergeCells count="9">
    <mergeCell ref="B1:C1"/>
    <mergeCell ref="B2:C2"/>
    <mergeCell ref="B3:C3"/>
    <mergeCell ref="A195:A198"/>
    <mergeCell ref="A6:C6"/>
    <mergeCell ref="A7:C7"/>
    <mergeCell ref="A180:A182"/>
    <mergeCell ref="A114:A141"/>
    <mergeCell ref="A146:A165"/>
  </mergeCells>
  <hyperlinks>
    <hyperlink ref="B68" r:id="rId1" display="consultantplus://offline/ref=90DD075742B43C415054D7C57EEE35341F87E5BC1D9D1BDE3A747C0D881C15D50B24F795703DF0A84C588B73F9A8AC3C8A6AC02CDB9A5E68c4m2F"/>
    <hyperlink ref="B70" r:id="rId2" display="consultantplus://offline/ref=90DD075742B43C415054D7C57EEE35341F87E5BC1D9D1BDE3A747C0D881C15D50B24F795703DF2AD4E588B73F9A8AC3C8A6AC02CDB9A5E68c4m2F"/>
    <hyperlink ref="B74" r:id="rId3" display="consultantplus://offline/ref=90DD075742B43C415054D7C57EEE35341F87E5BC1D9D1BDE3A747C0D881C15D50B24F795703CF7A64B588B73F9A8AC3C8A6AC02CDB9A5E68c4m2F"/>
    <hyperlink ref="B73" r:id="rId4" display="consultantplus://offline/ref=90DD075742B43C415054D7C57EEE35341F87E5BC1D9D1BDE3A747C0D881C15D50B24F795703CF7A64B588B73F9A8AC3C8A6AC02CDB9A5E68c4m2F"/>
    <hyperlink ref="B67" r:id="rId5" display="consultantplus://offline/ref=90DD075742B43C415054D7C57EEE35341F87E5BC1D9D1BDE3A747C0D881C15D50B24F795703DF0A84C588B73F9A8AC3C8A6AC02CDB9A5E68c4m2F"/>
    <hyperlink ref="B69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72" fitToHeight="6" orientation="portrait" r:id="rId7"/>
  <ignoredErrors>
    <ignoredError sqref="C45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6"/>
  <sheetViews>
    <sheetView tabSelected="1" view="pageBreakPreview" zoomScaleNormal="100" zoomScaleSheetLayoutView="100" workbookViewId="0">
      <selection activeCell="G1" sqref="G1:H3"/>
    </sheetView>
  </sheetViews>
  <sheetFormatPr defaultColWidth="9.140625" defaultRowHeight="15" x14ac:dyDescent="0.25"/>
  <cols>
    <col min="1" max="1" width="56.28515625" style="363" customWidth="1"/>
    <col min="2" max="2" width="17.42578125" style="363" customWidth="1"/>
    <col min="3" max="3" width="8.28515625" style="363" customWidth="1"/>
    <col min="4" max="4" width="7.28515625" style="362" customWidth="1"/>
    <col min="5" max="5" width="8.7109375" style="362" customWidth="1"/>
    <col min="6" max="6" width="9.140625" style="363"/>
    <col min="7" max="7" width="11.42578125" style="74" customWidth="1"/>
    <col min="8" max="8" width="10.28515625" style="74" customWidth="1"/>
    <col min="9" max="9" width="9.140625" style="362" customWidth="1"/>
    <col min="10" max="10" width="10.7109375" style="362" customWidth="1"/>
    <col min="11" max="13" width="9.140625" style="362" customWidth="1"/>
    <col min="14" max="14" width="11.5703125" style="362" customWidth="1"/>
    <col min="15" max="16384" width="9.140625" style="362"/>
  </cols>
  <sheetData>
    <row r="1" spans="1:8" ht="15.75" x14ac:dyDescent="0.25">
      <c r="D1" s="363"/>
      <c r="E1" s="363"/>
      <c r="F1" s="444"/>
      <c r="G1" s="609" t="s">
        <v>1198</v>
      </c>
      <c r="H1" s="609"/>
    </row>
    <row r="2" spans="1:8" ht="15.75" x14ac:dyDescent="0.25">
      <c r="D2" s="363"/>
      <c r="E2" s="363"/>
      <c r="F2" s="444"/>
      <c r="G2" s="609" t="s">
        <v>294</v>
      </c>
      <c r="H2" s="609"/>
    </row>
    <row r="3" spans="1:8" ht="15.75" x14ac:dyDescent="0.25">
      <c r="D3" s="363"/>
      <c r="E3" s="363"/>
      <c r="F3" s="439"/>
      <c r="G3" s="605" t="s">
        <v>1347</v>
      </c>
      <c r="H3" s="605"/>
    </row>
    <row r="4" spans="1:8" ht="15.75" x14ac:dyDescent="0.25">
      <c r="D4" s="363"/>
      <c r="E4" s="363"/>
      <c r="F4" s="41"/>
      <c r="G4" s="394"/>
      <c r="H4" s="394"/>
    </row>
    <row r="5" spans="1:8" ht="38.25" customHeight="1" x14ac:dyDescent="0.25">
      <c r="A5" s="591" t="s">
        <v>1182</v>
      </c>
      <c r="B5" s="591"/>
      <c r="C5" s="591"/>
      <c r="D5" s="591"/>
      <c r="E5" s="591"/>
      <c r="F5" s="591"/>
      <c r="G5" s="591"/>
      <c r="H5" s="363"/>
    </row>
    <row r="6" spans="1:8" ht="16.5" x14ac:dyDescent="0.25">
      <c r="A6" s="398"/>
      <c r="B6" s="398"/>
      <c r="C6" s="398"/>
      <c r="D6" s="398"/>
      <c r="E6" s="398"/>
      <c r="F6" s="398"/>
    </row>
    <row r="7" spans="1:8" ht="15.75" x14ac:dyDescent="0.25">
      <c r="A7" s="41"/>
      <c r="B7" s="41"/>
      <c r="C7" s="41"/>
      <c r="D7" s="41"/>
      <c r="E7" s="43"/>
      <c r="F7" s="43"/>
      <c r="G7" s="185"/>
      <c r="H7" s="185" t="s">
        <v>1</v>
      </c>
    </row>
    <row r="8" spans="1:8" ht="31.5" x14ac:dyDescent="0.25">
      <c r="A8" s="44" t="s">
        <v>295</v>
      </c>
      <c r="B8" s="44" t="s">
        <v>297</v>
      </c>
      <c r="C8" s="44" t="s">
        <v>298</v>
      </c>
      <c r="D8" s="44" t="s">
        <v>299</v>
      </c>
      <c r="E8" s="44" t="s">
        <v>300</v>
      </c>
      <c r="F8" s="44" t="s">
        <v>301</v>
      </c>
      <c r="G8" s="260" t="s">
        <v>807</v>
      </c>
      <c r="H8" s="260" t="s">
        <v>1157</v>
      </c>
    </row>
    <row r="9" spans="1:8" ht="47.25" x14ac:dyDescent="0.25">
      <c r="A9" s="37" t="s">
        <v>888</v>
      </c>
      <c r="B9" s="7" t="s">
        <v>259</v>
      </c>
      <c r="C9" s="7"/>
      <c r="D9" s="7"/>
      <c r="E9" s="7"/>
      <c r="F9" s="7"/>
      <c r="G9" s="310">
        <f>G10+G17</f>
        <v>3048.7</v>
      </c>
      <c r="H9" s="310">
        <f>H10+H17</f>
        <v>3226.2</v>
      </c>
    </row>
    <row r="10" spans="1:8" ht="31.5" hidden="1" x14ac:dyDescent="0.25">
      <c r="A10" s="26" t="s">
        <v>562</v>
      </c>
      <c r="B10" s="7" t="s">
        <v>523</v>
      </c>
      <c r="C10" s="360"/>
      <c r="D10" s="360"/>
      <c r="E10" s="360"/>
      <c r="F10" s="360"/>
      <c r="G10" s="311">
        <f>G13</f>
        <v>0</v>
      </c>
      <c r="H10" s="311">
        <f>H13</f>
        <v>0</v>
      </c>
    </row>
    <row r="11" spans="1:8" ht="15.75" hidden="1" x14ac:dyDescent="0.25">
      <c r="A11" s="22" t="s">
        <v>166</v>
      </c>
      <c r="B11" s="360" t="s">
        <v>523</v>
      </c>
      <c r="C11" s="360" t="s">
        <v>139</v>
      </c>
      <c r="D11" s="360"/>
      <c r="E11" s="360"/>
      <c r="F11" s="360"/>
      <c r="G11" s="311">
        <f t="shared" ref="G11:H11" si="0">G12</f>
        <v>0</v>
      </c>
      <c r="H11" s="311">
        <f t="shared" si="0"/>
        <v>0</v>
      </c>
    </row>
    <row r="12" spans="1:8" ht="15.75" hidden="1" x14ac:dyDescent="0.25">
      <c r="A12" s="22" t="s">
        <v>258</v>
      </c>
      <c r="B12" s="360" t="s">
        <v>523</v>
      </c>
      <c r="C12" s="360" t="s">
        <v>139</v>
      </c>
      <c r="D12" s="360" t="s">
        <v>161</v>
      </c>
      <c r="E12" s="360"/>
      <c r="F12" s="360"/>
      <c r="G12" s="311">
        <f t="shared" ref="G12:H14" si="1">G13</f>
        <v>0</v>
      </c>
      <c r="H12" s="311">
        <f t="shared" si="1"/>
        <v>0</v>
      </c>
    </row>
    <row r="13" spans="1:8" ht="15.75" hidden="1" x14ac:dyDescent="0.25">
      <c r="A13" s="22" t="s">
        <v>564</v>
      </c>
      <c r="B13" s="360" t="s">
        <v>563</v>
      </c>
      <c r="C13" s="360" t="s">
        <v>139</v>
      </c>
      <c r="D13" s="360" t="s">
        <v>161</v>
      </c>
      <c r="E13" s="360"/>
      <c r="F13" s="360"/>
      <c r="G13" s="311">
        <f t="shared" si="1"/>
        <v>0</v>
      </c>
      <c r="H13" s="311">
        <f t="shared" si="1"/>
        <v>0</v>
      </c>
    </row>
    <row r="14" spans="1:8" ht="31.5" hidden="1" x14ac:dyDescent="0.25">
      <c r="A14" s="364" t="s">
        <v>123</v>
      </c>
      <c r="B14" s="360" t="s">
        <v>563</v>
      </c>
      <c r="C14" s="360" t="s">
        <v>139</v>
      </c>
      <c r="D14" s="360" t="s">
        <v>161</v>
      </c>
      <c r="E14" s="360" t="s">
        <v>124</v>
      </c>
      <c r="F14" s="360"/>
      <c r="G14" s="311">
        <f t="shared" si="1"/>
        <v>0</v>
      </c>
      <c r="H14" s="311">
        <f t="shared" si="1"/>
        <v>0</v>
      </c>
    </row>
    <row r="15" spans="1:8" ht="31.5" hidden="1" x14ac:dyDescent="0.25">
      <c r="A15" s="364" t="s">
        <v>125</v>
      </c>
      <c r="B15" s="360" t="s">
        <v>563</v>
      </c>
      <c r="C15" s="360" t="s">
        <v>139</v>
      </c>
      <c r="D15" s="360" t="s">
        <v>161</v>
      </c>
      <c r="E15" s="360" t="s">
        <v>126</v>
      </c>
      <c r="F15" s="360"/>
      <c r="G15" s="311">
        <f>'Пр.4 ведом.22'!G986</f>
        <v>0</v>
      </c>
      <c r="H15" s="311">
        <f>'Пр.4 ведом.22'!H986</f>
        <v>0</v>
      </c>
    </row>
    <row r="16" spans="1:8" ht="40.700000000000003" hidden="1" customHeight="1" x14ac:dyDescent="0.25">
      <c r="A16" s="31" t="s">
        <v>302</v>
      </c>
      <c r="B16" s="360" t="s">
        <v>563</v>
      </c>
      <c r="C16" s="360" t="s">
        <v>139</v>
      </c>
      <c r="D16" s="360" t="s">
        <v>161</v>
      </c>
      <c r="E16" s="360" t="s">
        <v>126</v>
      </c>
      <c r="F16" s="360" t="s">
        <v>303</v>
      </c>
      <c r="G16" s="311">
        <f>G15</f>
        <v>0</v>
      </c>
      <c r="H16" s="311">
        <f>H15</f>
        <v>0</v>
      </c>
    </row>
    <row r="17" spans="1:9" ht="31.5" x14ac:dyDescent="0.25">
      <c r="A17" s="26" t="s">
        <v>618</v>
      </c>
      <c r="B17" s="316" t="s">
        <v>524</v>
      </c>
      <c r="C17" s="360"/>
      <c r="D17" s="360"/>
      <c r="E17" s="360"/>
      <c r="F17" s="360"/>
      <c r="G17" s="310">
        <f t="shared" ref="G17:H19" si="2">G18</f>
        <v>3048.7</v>
      </c>
      <c r="H17" s="310">
        <f t="shared" si="2"/>
        <v>3226.2</v>
      </c>
    </row>
    <row r="18" spans="1:9" ht="15.75" x14ac:dyDescent="0.25">
      <c r="A18" s="22" t="s">
        <v>166</v>
      </c>
      <c r="B18" s="360" t="s">
        <v>524</v>
      </c>
      <c r="C18" s="360" t="s">
        <v>139</v>
      </c>
      <c r="D18" s="360"/>
      <c r="E18" s="360"/>
      <c r="F18" s="360"/>
      <c r="G18" s="311">
        <f t="shared" si="2"/>
        <v>3048.7</v>
      </c>
      <c r="H18" s="311">
        <f t="shared" si="2"/>
        <v>3226.2</v>
      </c>
    </row>
    <row r="19" spans="1:9" ht="15.75" x14ac:dyDescent="0.25">
      <c r="A19" s="22" t="s">
        <v>258</v>
      </c>
      <c r="B19" s="360" t="s">
        <v>524</v>
      </c>
      <c r="C19" s="360" t="s">
        <v>139</v>
      </c>
      <c r="D19" s="360" t="s">
        <v>161</v>
      </c>
      <c r="E19" s="360"/>
      <c r="F19" s="360"/>
      <c r="G19" s="311">
        <f t="shared" si="2"/>
        <v>3048.7</v>
      </c>
      <c r="H19" s="311">
        <f t="shared" si="2"/>
        <v>3226.2</v>
      </c>
    </row>
    <row r="20" spans="1:9" ht="15.75" x14ac:dyDescent="0.25">
      <c r="A20" s="22" t="s">
        <v>260</v>
      </c>
      <c r="B20" s="360" t="s">
        <v>565</v>
      </c>
      <c r="C20" s="360" t="s">
        <v>139</v>
      </c>
      <c r="D20" s="360" t="s">
        <v>161</v>
      </c>
      <c r="E20" s="360"/>
      <c r="F20" s="360"/>
      <c r="G20" s="311">
        <f>G24+G27+G22</f>
        <v>3048.7</v>
      </c>
      <c r="H20" s="311">
        <f>H24+H27+H22</f>
        <v>3226.2</v>
      </c>
    </row>
    <row r="21" spans="1:9" ht="78.75" x14ac:dyDescent="0.25">
      <c r="A21" s="364" t="s">
        <v>119</v>
      </c>
      <c r="B21" s="360" t="s">
        <v>565</v>
      </c>
      <c r="C21" s="360" t="s">
        <v>139</v>
      </c>
      <c r="D21" s="360" t="s">
        <v>161</v>
      </c>
      <c r="E21" s="360" t="s">
        <v>120</v>
      </c>
      <c r="F21" s="360"/>
      <c r="G21" s="311">
        <f>G22</f>
        <v>1907.4</v>
      </c>
      <c r="H21" s="311">
        <f>H22</f>
        <v>2062</v>
      </c>
    </row>
    <row r="22" spans="1:9" ht="15.75" x14ac:dyDescent="0.25">
      <c r="A22" s="364" t="s">
        <v>212</v>
      </c>
      <c r="B22" s="360" t="s">
        <v>565</v>
      </c>
      <c r="C22" s="360" t="s">
        <v>139</v>
      </c>
      <c r="D22" s="360" t="s">
        <v>161</v>
      </c>
      <c r="E22" s="360" t="s">
        <v>156</v>
      </c>
      <c r="F22" s="360"/>
      <c r="G22" s="311">
        <f>'Пр.4.1 ведом.23-24 '!G990</f>
        <v>1907.4</v>
      </c>
      <c r="H22" s="311">
        <f>'Пр.4.1 ведом.23-24 '!H990</f>
        <v>2062</v>
      </c>
    </row>
    <row r="23" spans="1:9" ht="31.5" x14ac:dyDescent="0.25">
      <c r="A23" s="31" t="s">
        <v>302</v>
      </c>
      <c r="B23" s="360" t="s">
        <v>565</v>
      </c>
      <c r="C23" s="360" t="s">
        <v>139</v>
      </c>
      <c r="D23" s="360" t="s">
        <v>161</v>
      </c>
      <c r="E23" s="360" t="s">
        <v>156</v>
      </c>
      <c r="F23" s="360" t="s">
        <v>303</v>
      </c>
      <c r="G23" s="311">
        <f>G22</f>
        <v>1907.4</v>
      </c>
      <c r="H23" s="311">
        <f>H22</f>
        <v>2062</v>
      </c>
    </row>
    <row r="24" spans="1:9" ht="31.5" x14ac:dyDescent="0.25">
      <c r="A24" s="22" t="s">
        <v>123</v>
      </c>
      <c r="B24" s="360" t="s">
        <v>565</v>
      </c>
      <c r="C24" s="360" t="s">
        <v>139</v>
      </c>
      <c r="D24" s="360" t="s">
        <v>161</v>
      </c>
      <c r="E24" s="360" t="s">
        <v>124</v>
      </c>
      <c r="F24" s="360"/>
      <c r="G24" s="311">
        <f t="shared" ref="G24:H24" si="3">G25</f>
        <v>1141.3</v>
      </c>
      <c r="H24" s="311">
        <f t="shared" si="3"/>
        <v>1164.2</v>
      </c>
    </row>
    <row r="25" spans="1:9" ht="31.5" x14ac:dyDescent="0.25">
      <c r="A25" s="22" t="s">
        <v>125</v>
      </c>
      <c r="B25" s="360" t="s">
        <v>565</v>
      </c>
      <c r="C25" s="360" t="s">
        <v>139</v>
      </c>
      <c r="D25" s="360" t="s">
        <v>161</v>
      </c>
      <c r="E25" s="360" t="s">
        <v>126</v>
      </c>
      <c r="F25" s="360"/>
      <c r="G25" s="311">
        <f>'Пр.4.1 ведом.23-24 '!G992</f>
        <v>1141.3</v>
      </c>
      <c r="H25" s="311">
        <f>'Пр.4.1 ведом.23-24 '!H992</f>
        <v>1164.2</v>
      </c>
    </row>
    <row r="26" spans="1:9" ht="31.5" x14ac:dyDescent="0.25">
      <c r="A26" s="31" t="s">
        <v>302</v>
      </c>
      <c r="B26" s="360" t="s">
        <v>565</v>
      </c>
      <c r="C26" s="360" t="s">
        <v>139</v>
      </c>
      <c r="D26" s="360" t="s">
        <v>161</v>
      </c>
      <c r="E26" s="360" t="s">
        <v>126</v>
      </c>
      <c r="F26" s="360" t="s">
        <v>303</v>
      </c>
      <c r="G26" s="311">
        <f>G25</f>
        <v>1141.3</v>
      </c>
      <c r="H26" s="311">
        <f>H25</f>
        <v>1164.2</v>
      </c>
    </row>
    <row r="27" spans="1:9" ht="15.75" hidden="1" x14ac:dyDescent="0.25">
      <c r="A27" s="364" t="s">
        <v>127</v>
      </c>
      <c r="B27" s="360" t="s">
        <v>565</v>
      </c>
      <c r="C27" s="360" t="s">
        <v>139</v>
      </c>
      <c r="D27" s="360" t="s">
        <v>161</v>
      </c>
      <c r="E27" s="360" t="s">
        <v>134</v>
      </c>
      <c r="F27" s="360"/>
      <c r="G27" s="311">
        <f t="shared" ref="G27:H27" si="4">G28</f>
        <v>0</v>
      </c>
      <c r="H27" s="311">
        <f t="shared" si="4"/>
        <v>0</v>
      </c>
    </row>
    <row r="28" spans="1:9" ht="15.75" hidden="1" x14ac:dyDescent="0.25">
      <c r="A28" s="364" t="s">
        <v>129</v>
      </c>
      <c r="B28" s="360" t="s">
        <v>565</v>
      </c>
      <c r="C28" s="360" t="s">
        <v>139</v>
      </c>
      <c r="D28" s="360" t="s">
        <v>161</v>
      </c>
      <c r="E28" s="360" t="s">
        <v>130</v>
      </c>
      <c r="F28" s="360"/>
      <c r="G28" s="311">
        <f>'Пр.4 ведом.22'!G994</f>
        <v>0</v>
      </c>
      <c r="H28" s="311">
        <f>'Пр.4 ведом.22'!H994</f>
        <v>0</v>
      </c>
    </row>
    <row r="29" spans="1:9" ht="31.5" hidden="1" x14ac:dyDescent="0.25">
      <c r="A29" s="31" t="s">
        <v>302</v>
      </c>
      <c r="B29" s="360" t="s">
        <v>565</v>
      </c>
      <c r="C29" s="360" t="s">
        <v>139</v>
      </c>
      <c r="D29" s="360" t="s">
        <v>161</v>
      </c>
      <c r="E29" s="360" t="s">
        <v>130</v>
      </c>
      <c r="F29" s="360" t="s">
        <v>303</v>
      </c>
      <c r="G29" s="311">
        <f>G28</f>
        <v>0</v>
      </c>
      <c r="H29" s="311">
        <f>H28</f>
        <v>0</v>
      </c>
    </row>
    <row r="30" spans="1:9" ht="47.25" x14ac:dyDescent="0.25">
      <c r="A30" s="37" t="s">
        <v>889</v>
      </c>
      <c r="B30" s="7" t="s">
        <v>213</v>
      </c>
      <c r="C30" s="7"/>
      <c r="D30" s="7"/>
      <c r="E30" s="7"/>
      <c r="F30" s="7"/>
      <c r="G30" s="38">
        <f>G31+G60+G68+G97+G113</f>
        <v>3451.06</v>
      </c>
      <c r="H30" s="38">
        <f>H31+H60+H68+H97+H113</f>
        <v>3415.41</v>
      </c>
      <c r="I30" s="16">
        <f>H30-G30</f>
        <v>-35.650000000000091</v>
      </c>
    </row>
    <row r="31" spans="1:9" ht="31.5" x14ac:dyDescent="0.25">
      <c r="A31" s="37" t="s">
        <v>304</v>
      </c>
      <c r="B31" s="7" t="s">
        <v>215</v>
      </c>
      <c r="C31" s="7"/>
      <c r="D31" s="7"/>
      <c r="E31" s="7"/>
      <c r="F31" s="7"/>
      <c r="G31" s="38">
        <f>G33+G43+G53</f>
        <v>760.1</v>
      </c>
      <c r="H31" s="38">
        <f>H33+H43+H53</f>
        <v>760.1</v>
      </c>
    </row>
    <row r="32" spans="1:9" ht="47.25" x14ac:dyDescent="0.25">
      <c r="A32" s="358" t="s">
        <v>591</v>
      </c>
      <c r="B32" s="316" t="s">
        <v>465</v>
      </c>
      <c r="C32" s="7"/>
      <c r="D32" s="7"/>
      <c r="E32" s="360"/>
      <c r="F32" s="360"/>
      <c r="G32" s="38">
        <f>G33</f>
        <v>280</v>
      </c>
      <c r="H32" s="38">
        <f>H33</f>
        <v>280</v>
      </c>
    </row>
    <row r="33" spans="1:8" ht="15.75" x14ac:dyDescent="0.25">
      <c r="A33" s="31" t="s">
        <v>186</v>
      </c>
      <c r="B33" s="360" t="s">
        <v>465</v>
      </c>
      <c r="C33" s="360" t="s">
        <v>187</v>
      </c>
      <c r="D33" s="360"/>
      <c r="E33" s="360"/>
      <c r="F33" s="360"/>
      <c r="G33" s="10">
        <f t="shared" ref="G33:H33" si="5">G34</f>
        <v>280</v>
      </c>
      <c r="H33" s="10">
        <f t="shared" si="5"/>
        <v>280</v>
      </c>
    </row>
    <row r="34" spans="1:8" ht="15.75" x14ac:dyDescent="0.25">
      <c r="A34" s="31" t="s">
        <v>246</v>
      </c>
      <c r="B34" s="360" t="s">
        <v>465</v>
      </c>
      <c r="C34" s="360" t="s">
        <v>187</v>
      </c>
      <c r="D34" s="360" t="s">
        <v>187</v>
      </c>
      <c r="E34" s="360"/>
      <c r="F34" s="360"/>
      <c r="G34" s="10">
        <f>G35+G39</f>
        <v>280</v>
      </c>
      <c r="H34" s="10">
        <f>H35+H39</f>
        <v>280</v>
      </c>
    </row>
    <row r="35" spans="1:8" ht="31.5" x14ac:dyDescent="0.25">
      <c r="A35" s="70" t="s">
        <v>597</v>
      </c>
      <c r="B35" s="365" t="s">
        <v>466</v>
      </c>
      <c r="C35" s="360" t="s">
        <v>187</v>
      </c>
      <c r="D35" s="360" t="s">
        <v>187</v>
      </c>
      <c r="E35" s="360"/>
      <c r="F35" s="360"/>
      <c r="G35" s="10">
        <f>G36</f>
        <v>280</v>
      </c>
      <c r="H35" s="10">
        <f>H36</f>
        <v>280</v>
      </c>
    </row>
    <row r="36" spans="1:8" ht="78.75" x14ac:dyDescent="0.25">
      <c r="A36" s="364" t="s">
        <v>119</v>
      </c>
      <c r="B36" s="365" t="s">
        <v>466</v>
      </c>
      <c r="C36" s="360" t="s">
        <v>187</v>
      </c>
      <c r="D36" s="360" t="s">
        <v>187</v>
      </c>
      <c r="E36" s="360" t="s">
        <v>120</v>
      </c>
      <c r="F36" s="360"/>
      <c r="G36" s="10">
        <f>G37</f>
        <v>280</v>
      </c>
      <c r="H36" s="10">
        <f>H37</f>
        <v>280</v>
      </c>
    </row>
    <row r="37" spans="1:8" ht="15.75" x14ac:dyDescent="0.25">
      <c r="A37" s="364" t="s">
        <v>212</v>
      </c>
      <c r="B37" s="365" t="s">
        <v>466</v>
      </c>
      <c r="C37" s="360" t="s">
        <v>187</v>
      </c>
      <c r="D37" s="360" t="s">
        <v>187</v>
      </c>
      <c r="E37" s="360" t="s">
        <v>156</v>
      </c>
      <c r="F37" s="360"/>
      <c r="G37" s="10">
        <f>'Пр.4.1 ведом.23-24 '!G353</f>
        <v>280</v>
      </c>
      <c r="H37" s="10">
        <f>'Пр.4.1 ведом.23-24 '!H353</f>
        <v>280</v>
      </c>
    </row>
    <row r="38" spans="1:8" ht="47.25" x14ac:dyDescent="0.25">
      <c r="A38" s="31" t="s">
        <v>185</v>
      </c>
      <c r="B38" s="365" t="s">
        <v>466</v>
      </c>
      <c r="C38" s="360" t="s">
        <v>187</v>
      </c>
      <c r="D38" s="360" t="s">
        <v>187</v>
      </c>
      <c r="E38" s="360" t="s">
        <v>156</v>
      </c>
      <c r="F38" s="360" t="s">
        <v>305</v>
      </c>
      <c r="G38" s="311">
        <f>G37</f>
        <v>280</v>
      </c>
      <c r="H38" s="311">
        <f>H37</f>
        <v>280</v>
      </c>
    </row>
    <row r="39" spans="1:8" ht="15.75" hidden="1" x14ac:dyDescent="0.25">
      <c r="A39" s="364" t="s">
        <v>592</v>
      </c>
      <c r="B39" s="365" t="s">
        <v>607</v>
      </c>
      <c r="C39" s="360" t="s">
        <v>187</v>
      </c>
      <c r="D39" s="360" t="s">
        <v>187</v>
      </c>
      <c r="E39" s="360"/>
      <c r="F39" s="360"/>
      <c r="G39" s="10">
        <f>G40</f>
        <v>0</v>
      </c>
      <c r="H39" s="10">
        <f>H40</f>
        <v>0</v>
      </c>
    </row>
    <row r="40" spans="1:8" ht="31.5" hidden="1" x14ac:dyDescent="0.25">
      <c r="A40" s="364" t="s">
        <v>123</v>
      </c>
      <c r="B40" s="365" t="s">
        <v>607</v>
      </c>
      <c r="C40" s="360" t="s">
        <v>187</v>
      </c>
      <c r="D40" s="360" t="s">
        <v>187</v>
      </c>
      <c r="E40" s="360" t="s">
        <v>124</v>
      </c>
      <c r="F40" s="360"/>
      <c r="G40" s="10">
        <f>G41</f>
        <v>0</v>
      </c>
      <c r="H40" s="10">
        <f>H41</f>
        <v>0</v>
      </c>
    </row>
    <row r="41" spans="1:8" ht="31.5" hidden="1" x14ac:dyDescent="0.25">
      <c r="A41" s="364" t="s">
        <v>125</v>
      </c>
      <c r="B41" s="365" t="s">
        <v>607</v>
      </c>
      <c r="C41" s="360" t="s">
        <v>187</v>
      </c>
      <c r="D41" s="360" t="s">
        <v>187</v>
      </c>
      <c r="E41" s="360" t="s">
        <v>126</v>
      </c>
      <c r="F41" s="360"/>
      <c r="G41" s="10">
        <f>'Пр.3 Рд,пр, ЦС,ВР 22'!F752</f>
        <v>0</v>
      </c>
      <c r="H41" s="10">
        <f>'Пр.3 Рд,пр, ЦС,ВР 22'!G752</f>
        <v>0</v>
      </c>
    </row>
    <row r="42" spans="1:8" ht="47.25" hidden="1" x14ac:dyDescent="0.25">
      <c r="A42" s="31" t="s">
        <v>185</v>
      </c>
      <c r="B42" s="365" t="s">
        <v>607</v>
      </c>
      <c r="C42" s="360" t="s">
        <v>187</v>
      </c>
      <c r="D42" s="360" t="s">
        <v>187</v>
      </c>
      <c r="E42" s="360" t="s">
        <v>126</v>
      </c>
      <c r="F42" s="360" t="s">
        <v>305</v>
      </c>
      <c r="G42" s="311">
        <f>G41</f>
        <v>0</v>
      </c>
      <c r="H42" s="311">
        <f>H41</f>
        <v>0</v>
      </c>
    </row>
    <row r="43" spans="1:8" ht="63" x14ac:dyDescent="0.25">
      <c r="A43" s="315" t="s">
        <v>593</v>
      </c>
      <c r="B43" s="316" t="s">
        <v>467</v>
      </c>
      <c r="C43" s="360"/>
      <c r="D43" s="360"/>
      <c r="E43" s="360"/>
      <c r="F43" s="360"/>
      <c r="G43" s="38">
        <f>G44</f>
        <v>455.1</v>
      </c>
      <c r="H43" s="38">
        <f>H44</f>
        <v>455.1</v>
      </c>
    </row>
    <row r="44" spans="1:8" ht="15.75" x14ac:dyDescent="0.25">
      <c r="A44" s="31" t="s">
        <v>186</v>
      </c>
      <c r="B44" s="360" t="s">
        <v>467</v>
      </c>
      <c r="C44" s="360" t="s">
        <v>187</v>
      </c>
      <c r="D44" s="360"/>
      <c r="E44" s="360"/>
      <c r="F44" s="360"/>
      <c r="G44" s="10">
        <f>G45</f>
        <v>455.1</v>
      </c>
      <c r="H44" s="10">
        <f>H45</f>
        <v>455.1</v>
      </c>
    </row>
    <row r="45" spans="1:8" ht="15.75" x14ac:dyDescent="0.25">
      <c r="A45" s="31" t="s">
        <v>246</v>
      </c>
      <c r="B45" s="360" t="s">
        <v>467</v>
      </c>
      <c r="C45" s="360" t="s">
        <v>187</v>
      </c>
      <c r="D45" s="360" t="s">
        <v>187</v>
      </c>
      <c r="E45" s="360"/>
      <c r="F45" s="360"/>
      <c r="G45" s="10">
        <f>G46+G50</f>
        <v>455.1</v>
      </c>
      <c r="H45" s="10">
        <f>H46+H50</f>
        <v>455.1</v>
      </c>
    </row>
    <row r="46" spans="1:8" ht="15.75" x14ac:dyDescent="0.25">
      <c r="A46" s="364" t="s">
        <v>594</v>
      </c>
      <c r="B46" s="365" t="s">
        <v>472</v>
      </c>
      <c r="C46" s="360" t="s">
        <v>187</v>
      </c>
      <c r="D46" s="360" t="s">
        <v>187</v>
      </c>
      <c r="E46" s="360"/>
      <c r="F46" s="360"/>
      <c r="G46" s="10">
        <f>G47</f>
        <v>40.1</v>
      </c>
      <c r="H46" s="10">
        <f>H47</f>
        <v>40.1</v>
      </c>
    </row>
    <row r="47" spans="1:8" ht="78.75" x14ac:dyDescent="0.25">
      <c r="A47" s="364" t="s">
        <v>119</v>
      </c>
      <c r="B47" s="365" t="s">
        <v>472</v>
      </c>
      <c r="C47" s="360" t="s">
        <v>187</v>
      </c>
      <c r="D47" s="360" t="s">
        <v>187</v>
      </c>
      <c r="E47" s="360" t="s">
        <v>120</v>
      </c>
      <c r="F47" s="360"/>
      <c r="G47" s="10">
        <f t="shared" ref="G47:H47" si="6">G48</f>
        <v>40.1</v>
      </c>
      <c r="H47" s="10">
        <f t="shared" si="6"/>
        <v>40.1</v>
      </c>
    </row>
    <row r="48" spans="1:8" ht="15.75" x14ac:dyDescent="0.25">
      <c r="A48" s="364" t="s">
        <v>212</v>
      </c>
      <c r="B48" s="365" t="s">
        <v>472</v>
      </c>
      <c r="C48" s="360" t="s">
        <v>187</v>
      </c>
      <c r="D48" s="360" t="s">
        <v>187</v>
      </c>
      <c r="E48" s="360" t="s">
        <v>156</v>
      </c>
      <c r="F48" s="360"/>
      <c r="G48" s="10">
        <f>'Пр.4.1 ведом.23-24 '!G360</f>
        <v>40.1</v>
      </c>
      <c r="H48" s="10">
        <f>'Пр.4.1 ведом.23-24 '!H360</f>
        <v>40.1</v>
      </c>
    </row>
    <row r="49" spans="1:8" ht="47.25" x14ac:dyDescent="0.25">
      <c r="A49" s="31" t="s">
        <v>185</v>
      </c>
      <c r="B49" s="365" t="s">
        <v>472</v>
      </c>
      <c r="C49" s="360" t="s">
        <v>187</v>
      </c>
      <c r="D49" s="360" t="s">
        <v>187</v>
      </c>
      <c r="E49" s="360" t="s">
        <v>156</v>
      </c>
      <c r="F49" s="360" t="s">
        <v>305</v>
      </c>
      <c r="G49" s="311">
        <f>G48</f>
        <v>40.1</v>
      </c>
      <c r="H49" s="311">
        <f>H48</f>
        <v>40.1</v>
      </c>
    </row>
    <row r="50" spans="1:8" ht="31.5" x14ac:dyDescent="0.25">
      <c r="A50" s="364" t="s">
        <v>123</v>
      </c>
      <c r="B50" s="365" t="s">
        <v>472</v>
      </c>
      <c r="C50" s="360" t="s">
        <v>187</v>
      </c>
      <c r="D50" s="360" t="s">
        <v>187</v>
      </c>
      <c r="E50" s="360" t="s">
        <v>124</v>
      </c>
      <c r="F50" s="360"/>
      <c r="G50" s="10">
        <f t="shared" ref="G50:H50" si="7">G51</f>
        <v>415</v>
      </c>
      <c r="H50" s="10">
        <f t="shared" si="7"/>
        <v>415</v>
      </c>
    </row>
    <row r="51" spans="1:8" ht="31.5" x14ac:dyDescent="0.25">
      <c r="A51" s="364" t="s">
        <v>125</v>
      </c>
      <c r="B51" s="365" t="s">
        <v>472</v>
      </c>
      <c r="C51" s="360" t="s">
        <v>187</v>
      </c>
      <c r="D51" s="360" t="s">
        <v>187</v>
      </c>
      <c r="E51" s="360" t="s">
        <v>126</v>
      </c>
      <c r="F51" s="360"/>
      <c r="G51" s="311">
        <f>'Пр.4.1 ведом.23-24 '!G362</f>
        <v>415</v>
      </c>
      <c r="H51" s="311">
        <f>'Пр.4.1 ведом.23-24 '!H362</f>
        <v>415</v>
      </c>
    </row>
    <row r="52" spans="1:8" ht="47.25" x14ac:dyDescent="0.25">
      <c r="A52" s="31" t="s">
        <v>185</v>
      </c>
      <c r="B52" s="365" t="s">
        <v>472</v>
      </c>
      <c r="C52" s="360" t="s">
        <v>187</v>
      </c>
      <c r="D52" s="360" t="s">
        <v>187</v>
      </c>
      <c r="E52" s="360" t="s">
        <v>126</v>
      </c>
      <c r="F52" s="360" t="s">
        <v>305</v>
      </c>
      <c r="G52" s="311">
        <f>G51</f>
        <v>415</v>
      </c>
      <c r="H52" s="311">
        <f>H51</f>
        <v>415</v>
      </c>
    </row>
    <row r="53" spans="1:8" ht="33" customHeight="1" x14ac:dyDescent="0.25">
      <c r="A53" s="315" t="s">
        <v>599</v>
      </c>
      <c r="B53" s="316" t="s">
        <v>595</v>
      </c>
      <c r="C53" s="360"/>
      <c r="D53" s="360"/>
      <c r="E53" s="360"/>
      <c r="F53" s="360"/>
      <c r="G53" s="310">
        <f>G56</f>
        <v>25</v>
      </c>
      <c r="H53" s="310">
        <f>H56</f>
        <v>25</v>
      </c>
    </row>
    <row r="54" spans="1:8" ht="16.5" customHeight="1" x14ac:dyDescent="0.25">
      <c r="A54" s="31" t="s">
        <v>186</v>
      </c>
      <c r="B54" s="360" t="s">
        <v>595</v>
      </c>
      <c r="C54" s="360" t="s">
        <v>187</v>
      </c>
      <c r="D54" s="360"/>
      <c r="E54" s="360"/>
      <c r="F54" s="360"/>
      <c r="G54" s="10">
        <f>G55</f>
        <v>25</v>
      </c>
      <c r="H54" s="10">
        <f>H55</f>
        <v>25</v>
      </c>
    </row>
    <row r="55" spans="1:8" ht="18.75" customHeight="1" x14ac:dyDescent="0.25">
      <c r="A55" s="31" t="s">
        <v>246</v>
      </c>
      <c r="B55" s="360" t="s">
        <v>595</v>
      </c>
      <c r="C55" s="360" t="s">
        <v>187</v>
      </c>
      <c r="D55" s="360" t="s">
        <v>187</v>
      </c>
      <c r="E55" s="360"/>
      <c r="F55" s="360"/>
      <c r="G55" s="10">
        <f>G56</f>
        <v>25</v>
      </c>
      <c r="H55" s="10">
        <f>H56</f>
        <v>25</v>
      </c>
    </row>
    <row r="56" spans="1:8" ht="47.25" x14ac:dyDescent="0.25">
      <c r="A56" s="155" t="s">
        <v>596</v>
      </c>
      <c r="B56" s="365" t="s">
        <v>608</v>
      </c>
      <c r="C56" s="360" t="s">
        <v>187</v>
      </c>
      <c r="D56" s="360" t="s">
        <v>187</v>
      </c>
      <c r="E56" s="365"/>
      <c r="F56" s="360"/>
      <c r="G56" s="311">
        <f t="shared" ref="G56:H56" si="8">G57</f>
        <v>25</v>
      </c>
      <c r="H56" s="311">
        <f t="shared" si="8"/>
        <v>25</v>
      </c>
    </row>
    <row r="57" spans="1:8" ht="15.75" x14ac:dyDescent="0.25">
      <c r="A57" s="364" t="s">
        <v>177</v>
      </c>
      <c r="B57" s="365" t="s">
        <v>608</v>
      </c>
      <c r="C57" s="360" t="s">
        <v>187</v>
      </c>
      <c r="D57" s="360" t="s">
        <v>187</v>
      </c>
      <c r="E57" s="365" t="s">
        <v>178</v>
      </c>
      <c r="F57" s="360"/>
      <c r="G57" s="311">
        <f>G58</f>
        <v>25</v>
      </c>
      <c r="H57" s="311">
        <f>H58</f>
        <v>25</v>
      </c>
    </row>
    <row r="58" spans="1:8" ht="32.25" customHeight="1" x14ac:dyDescent="0.25">
      <c r="A58" s="364" t="s">
        <v>736</v>
      </c>
      <c r="B58" s="365" t="s">
        <v>608</v>
      </c>
      <c r="C58" s="360" t="s">
        <v>187</v>
      </c>
      <c r="D58" s="360" t="s">
        <v>187</v>
      </c>
      <c r="E58" s="365" t="s">
        <v>735</v>
      </c>
      <c r="F58" s="360"/>
      <c r="G58" s="10">
        <f>'Пр.4.1 ведом.23-24 '!G366</f>
        <v>25</v>
      </c>
      <c r="H58" s="10">
        <f>'Пр.4.1 ведом.23-24 '!H366</f>
        <v>25</v>
      </c>
    </row>
    <row r="59" spans="1:8" ht="47.25" x14ac:dyDescent="0.25">
      <c r="A59" s="31" t="s">
        <v>185</v>
      </c>
      <c r="B59" s="365" t="s">
        <v>608</v>
      </c>
      <c r="C59" s="360" t="s">
        <v>187</v>
      </c>
      <c r="D59" s="360" t="s">
        <v>187</v>
      </c>
      <c r="E59" s="360" t="s">
        <v>735</v>
      </c>
      <c r="F59" s="360" t="s">
        <v>305</v>
      </c>
      <c r="G59" s="311">
        <f>G58</f>
        <v>25</v>
      </c>
      <c r="H59" s="311">
        <f>H58</f>
        <v>25</v>
      </c>
    </row>
    <row r="60" spans="1:8" ht="31.5" x14ac:dyDescent="0.25">
      <c r="A60" s="37" t="s">
        <v>890</v>
      </c>
      <c r="B60" s="7" t="s">
        <v>219</v>
      </c>
      <c r="C60" s="7"/>
      <c r="D60" s="7"/>
      <c r="E60" s="7"/>
      <c r="F60" s="7"/>
      <c r="G60" s="38">
        <f>G61</f>
        <v>253</v>
      </c>
      <c r="H60" s="38">
        <f>H61</f>
        <v>217.35</v>
      </c>
    </row>
    <row r="61" spans="1:8" ht="31.5" x14ac:dyDescent="0.25">
      <c r="A61" s="315" t="s">
        <v>476</v>
      </c>
      <c r="B61" s="316" t="s">
        <v>475</v>
      </c>
      <c r="C61" s="7"/>
      <c r="D61" s="7"/>
      <c r="E61" s="7"/>
      <c r="F61" s="7"/>
      <c r="G61" s="38">
        <f>G62</f>
        <v>253</v>
      </c>
      <c r="H61" s="38">
        <f>H62</f>
        <v>217.35</v>
      </c>
    </row>
    <row r="62" spans="1:8" ht="15.75" x14ac:dyDescent="0.25">
      <c r="A62" s="31" t="s">
        <v>173</v>
      </c>
      <c r="B62" s="360" t="s">
        <v>475</v>
      </c>
      <c r="C62" s="360" t="s">
        <v>174</v>
      </c>
      <c r="D62" s="360"/>
      <c r="E62" s="360"/>
      <c r="F62" s="360"/>
      <c r="G62" s="10">
        <f t="shared" ref="G62:H65" si="9">G63</f>
        <v>253</v>
      </c>
      <c r="H62" s="10">
        <f t="shared" si="9"/>
        <v>217.35</v>
      </c>
    </row>
    <row r="63" spans="1:8" ht="15.75" x14ac:dyDescent="0.25">
      <c r="A63" s="31" t="s">
        <v>181</v>
      </c>
      <c r="B63" s="360" t="s">
        <v>475</v>
      </c>
      <c r="C63" s="360" t="s">
        <v>174</v>
      </c>
      <c r="D63" s="360" t="s">
        <v>159</v>
      </c>
      <c r="E63" s="360"/>
      <c r="F63" s="360"/>
      <c r="G63" s="10">
        <f>G64</f>
        <v>253</v>
      </c>
      <c r="H63" s="10">
        <f>H64</f>
        <v>217.35</v>
      </c>
    </row>
    <row r="64" spans="1:8" ht="31.5" x14ac:dyDescent="0.25">
      <c r="A64" s="364" t="s">
        <v>401</v>
      </c>
      <c r="B64" s="365" t="s">
        <v>477</v>
      </c>
      <c r="C64" s="360" t="s">
        <v>174</v>
      </c>
      <c r="D64" s="360" t="s">
        <v>159</v>
      </c>
      <c r="E64" s="360"/>
      <c r="F64" s="360"/>
      <c r="G64" s="10">
        <f t="shared" si="9"/>
        <v>253</v>
      </c>
      <c r="H64" s="10">
        <f t="shared" si="9"/>
        <v>217.35</v>
      </c>
    </row>
    <row r="65" spans="1:8" ht="15.75" x14ac:dyDescent="0.25">
      <c r="A65" s="22" t="s">
        <v>177</v>
      </c>
      <c r="B65" s="365" t="s">
        <v>477</v>
      </c>
      <c r="C65" s="360" t="s">
        <v>174</v>
      </c>
      <c r="D65" s="360" t="s">
        <v>159</v>
      </c>
      <c r="E65" s="360" t="s">
        <v>178</v>
      </c>
      <c r="F65" s="360"/>
      <c r="G65" s="10">
        <f t="shared" si="9"/>
        <v>253</v>
      </c>
      <c r="H65" s="10">
        <f t="shared" si="9"/>
        <v>217.35</v>
      </c>
    </row>
    <row r="66" spans="1:8" ht="31.5" x14ac:dyDescent="0.25">
      <c r="A66" s="22" t="s">
        <v>179</v>
      </c>
      <c r="B66" s="365" t="s">
        <v>477</v>
      </c>
      <c r="C66" s="360" t="s">
        <v>174</v>
      </c>
      <c r="D66" s="360" t="s">
        <v>159</v>
      </c>
      <c r="E66" s="360" t="s">
        <v>180</v>
      </c>
      <c r="F66" s="360"/>
      <c r="G66" s="10">
        <f>'Пр.4.1 ведом.23-24 '!G503</f>
        <v>253</v>
      </c>
      <c r="H66" s="10">
        <f>'Пр.4.1 ведом.23-24 '!H503</f>
        <v>217.35</v>
      </c>
    </row>
    <row r="67" spans="1:8" ht="47.25" x14ac:dyDescent="0.25">
      <c r="A67" s="31" t="s">
        <v>185</v>
      </c>
      <c r="B67" s="365" t="s">
        <v>477</v>
      </c>
      <c r="C67" s="360" t="s">
        <v>174</v>
      </c>
      <c r="D67" s="360" t="s">
        <v>159</v>
      </c>
      <c r="E67" s="360" t="s">
        <v>180</v>
      </c>
      <c r="F67" s="360" t="s">
        <v>305</v>
      </c>
      <c r="G67" s="10">
        <f t="shared" ref="G67:H67" si="10">G60</f>
        <v>253</v>
      </c>
      <c r="H67" s="10">
        <f t="shared" si="10"/>
        <v>217.35</v>
      </c>
    </row>
    <row r="68" spans="1:8" ht="54" customHeight="1" x14ac:dyDescent="0.25">
      <c r="A68" s="359" t="s">
        <v>891</v>
      </c>
      <c r="B68" s="7" t="s">
        <v>221</v>
      </c>
      <c r="C68" s="7"/>
      <c r="D68" s="7"/>
      <c r="E68" s="7"/>
      <c r="F68" s="7"/>
      <c r="G68" s="38">
        <f>G69+G76+G83+G90</f>
        <v>215.06</v>
      </c>
      <c r="H68" s="38">
        <f>H69+H76+H83+H90</f>
        <v>215.06</v>
      </c>
    </row>
    <row r="69" spans="1:8" ht="47.25" hidden="1" x14ac:dyDescent="0.25">
      <c r="A69" s="141" t="s">
        <v>604</v>
      </c>
      <c r="B69" s="316" t="s">
        <v>478</v>
      </c>
      <c r="C69" s="7"/>
      <c r="D69" s="7"/>
      <c r="E69" s="7"/>
      <c r="F69" s="7"/>
      <c r="G69" s="38">
        <f t="shared" ref="G69:H73" si="11">G70</f>
        <v>0</v>
      </c>
      <c r="H69" s="38">
        <f t="shared" si="11"/>
        <v>0</v>
      </c>
    </row>
    <row r="70" spans="1:8" ht="15.75" hidden="1" x14ac:dyDescent="0.25">
      <c r="A70" s="31" t="s">
        <v>166</v>
      </c>
      <c r="B70" s="360" t="s">
        <v>478</v>
      </c>
      <c r="C70" s="360" t="s">
        <v>139</v>
      </c>
      <c r="D70" s="360"/>
      <c r="E70" s="360"/>
      <c r="F70" s="360"/>
      <c r="G70" s="10">
        <f t="shared" si="11"/>
        <v>0</v>
      </c>
      <c r="H70" s="10">
        <f t="shared" si="11"/>
        <v>0</v>
      </c>
    </row>
    <row r="71" spans="1:8" ht="15.75" hidden="1" x14ac:dyDescent="0.25">
      <c r="A71" s="31" t="s">
        <v>170</v>
      </c>
      <c r="B71" s="360" t="s">
        <v>478</v>
      </c>
      <c r="C71" s="360" t="s">
        <v>139</v>
      </c>
      <c r="D71" s="360" t="s">
        <v>171</v>
      </c>
      <c r="E71" s="360"/>
      <c r="F71" s="360"/>
      <c r="G71" s="10">
        <f t="shared" si="11"/>
        <v>0</v>
      </c>
      <c r="H71" s="10">
        <f t="shared" si="11"/>
        <v>0</v>
      </c>
    </row>
    <row r="72" spans="1:8" ht="47.25" hidden="1" x14ac:dyDescent="0.25">
      <c r="A72" s="364" t="s">
        <v>227</v>
      </c>
      <c r="B72" s="365" t="s">
        <v>824</v>
      </c>
      <c r="C72" s="360" t="s">
        <v>139</v>
      </c>
      <c r="D72" s="360" t="s">
        <v>171</v>
      </c>
      <c r="E72" s="360"/>
      <c r="F72" s="360"/>
      <c r="G72" s="10">
        <f t="shared" si="11"/>
        <v>0</v>
      </c>
      <c r="H72" s="10">
        <f t="shared" si="11"/>
        <v>0</v>
      </c>
    </row>
    <row r="73" spans="1:8" ht="15.75" hidden="1" x14ac:dyDescent="0.25">
      <c r="A73" s="364" t="s">
        <v>177</v>
      </c>
      <c r="B73" s="365" t="s">
        <v>824</v>
      </c>
      <c r="C73" s="360" t="s">
        <v>139</v>
      </c>
      <c r="D73" s="360" t="s">
        <v>171</v>
      </c>
      <c r="E73" s="360" t="s">
        <v>178</v>
      </c>
      <c r="F73" s="360"/>
      <c r="G73" s="10">
        <f t="shared" si="11"/>
        <v>0</v>
      </c>
      <c r="H73" s="10">
        <f t="shared" si="11"/>
        <v>0</v>
      </c>
    </row>
    <row r="74" spans="1:8" ht="31.5" hidden="1" x14ac:dyDescent="0.25">
      <c r="A74" s="364" t="s">
        <v>179</v>
      </c>
      <c r="B74" s="365" t="s">
        <v>824</v>
      </c>
      <c r="C74" s="360" t="s">
        <v>139</v>
      </c>
      <c r="D74" s="360" t="s">
        <v>171</v>
      </c>
      <c r="E74" s="360" t="s">
        <v>180</v>
      </c>
      <c r="F74" s="360"/>
      <c r="G74" s="10">
        <f>'Пр.4 ведом.22'!G289</f>
        <v>0</v>
      </c>
      <c r="H74" s="10">
        <f>'Пр.4 ведом.22'!H289</f>
        <v>0</v>
      </c>
    </row>
    <row r="75" spans="1:8" ht="47.25" hidden="1" x14ac:dyDescent="0.25">
      <c r="A75" s="31" t="s">
        <v>185</v>
      </c>
      <c r="B75" s="365" t="s">
        <v>824</v>
      </c>
      <c r="C75" s="360" t="s">
        <v>139</v>
      </c>
      <c r="D75" s="360" t="s">
        <v>171</v>
      </c>
      <c r="E75" s="360" t="s">
        <v>180</v>
      </c>
      <c r="F75" s="360" t="s">
        <v>305</v>
      </c>
      <c r="G75" s="10">
        <f>G74</f>
        <v>0</v>
      </c>
      <c r="H75" s="10">
        <f>H74</f>
        <v>0</v>
      </c>
    </row>
    <row r="76" spans="1:8" ht="31.5" x14ac:dyDescent="0.25">
      <c r="A76" s="315" t="s">
        <v>603</v>
      </c>
      <c r="B76" s="7" t="s">
        <v>739</v>
      </c>
      <c r="C76" s="7"/>
      <c r="D76" s="7"/>
      <c r="E76" s="7"/>
      <c r="F76" s="7"/>
      <c r="G76" s="38">
        <f t="shared" ref="G76:H80" si="12">G77</f>
        <v>215.06</v>
      </c>
      <c r="H76" s="38">
        <f t="shared" si="12"/>
        <v>215.06</v>
      </c>
    </row>
    <row r="77" spans="1:8" ht="15.75" x14ac:dyDescent="0.25">
      <c r="A77" s="31" t="s">
        <v>166</v>
      </c>
      <c r="B77" s="360" t="s">
        <v>739</v>
      </c>
      <c r="C77" s="360" t="s">
        <v>139</v>
      </c>
      <c r="D77" s="360"/>
      <c r="E77" s="360"/>
      <c r="F77" s="360"/>
      <c r="G77" s="10">
        <f t="shared" si="12"/>
        <v>215.06</v>
      </c>
      <c r="H77" s="10">
        <f t="shared" si="12"/>
        <v>215.06</v>
      </c>
    </row>
    <row r="78" spans="1:8" ht="15.75" x14ac:dyDescent="0.25">
      <c r="A78" s="31" t="s">
        <v>170</v>
      </c>
      <c r="B78" s="360" t="s">
        <v>739</v>
      </c>
      <c r="C78" s="360" t="s">
        <v>139</v>
      </c>
      <c r="D78" s="360" t="s">
        <v>171</v>
      </c>
      <c r="E78" s="360"/>
      <c r="F78" s="360"/>
      <c r="G78" s="10">
        <f t="shared" si="12"/>
        <v>215.06</v>
      </c>
      <c r="H78" s="10">
        <f t="shared" si="12"/>
        <v>215.06</v>
      </c>
    </row>
    <row r="79" spans="1:8" ht="101.25" customHeight="1" x14ac:dyDescent="0.25">
      <c r="A79" s="364" t="s">
        <v>966</v>
      </c>
      <c r="B79" s="365" t="s">
        <v>740</v>
      </c>
      <c r="C79" s="360" t="s">
        <v>139</v>
      </c>
      <c r="D79" s="360" t="s">
        <v>171</v>
      </c>
      <c r="E79" s="360"/>
      <c r="F79" s="360"/>
      <c r="G79" s="10">
        <f t="shared" si="12"/>
        <v>215.06</v>
      </c>
      <c r="H79" s="10">
        <f t="shared" si="12"/>
        <v>215.06</v>
      </c>
    </row>
    <row r="80" spans="1:8" ht="31.5" x14ac:dyDescent="0.25">
      <c r="A80" s="364" t="s">
        <v>191</v>
      </c>
      <c r="B80" s="365" t="s">
        <v>740</v>
      </c>
      <c r="C80" s="360" t="s">
        <v>139</v>
      </c>
      <c r="D80" s="360" t="s">
        <v>171</v>
      </c>
      <c r="E80" s="360" t="s">
        <v>192</v>
      </c>
      <c r="F80" s="360"/>
      <c r="G80" s="10">
        <f t="shared" si="12"/>
        <v>215.06</v>
      </c>
      <c r="H80" s="10">
        <f t="shared" si="12"/>
        <v>215.06</v>
      </c>
    </row>
    <row r="81" spans="1:8" ht="63" x14ac:dyDescent="0.25">
      <c r="A81" s="364" t="s">
        <v>643</v>
      </c>
      <c r="B81" s="365" t="s">
        <v>740</v>
      </c>
      <c r="C81" s="360" t="s">
        <v>139</v>
      </c>
      <c r="D81" s="360" t="s">
        <v>171</v>
      </c>
      <c r="E81" s="360" t="s">
        <v>225</v>
      </c>
      <c r="F81" s="360"/>
      <c r="G81" s="10">
        <f>'Пр.4.1 ведом.23-24 '!G294</f>
        <v>215.06</v>
      </c>
      <c r="H81" s="10">
        <f>'Пр.4.1 ведом.23-24 '!H294</f>
        <v>215.06</v>
      </c>
    </row>
    <row r="82" spans="1:8" ht="47.25" x14ac:dyDescent="0.25">
      <c r="A82" s="31" t="s">
        <v>185</v>
      </c>
      <c r="B82" s="365" t="s">
        <v>740</v>
      </c>
      <c r="C82" s="360" t="s">
        <v>139</v>
      </c>
      <c r="D82" s="360" t="s">
        <v>171</v>
      </c>
      <c r="E82" s="360" t="s">
        <v>225</v>
      </c>
      <c r="F82" s="360" t="s">
        <v>305</v>
      </c>
      <c r="G82" s="10">
        <f>G81</f>
        <v>215.06</v>
      </c>
      <c r="H82" s="10">
        <f>H81</f>
        <v>215.06</v>
      </c>
    </row>
    <row r="83" spans="1:8" ht="31.5" hidden="1" x14ac:dyDescent="0.25">
      <c r="A83" s="315" t="s">
        <v>558</v>
      </c>
      <c r="B83" s="316" t="s">
        <v>821</v>
      </c>
      <c r="C83" s="7"/>
      <c r="D83" s="7"/>
      <c r="E83" s="7"/>
      <c r="F83" s="7"/>
      <c r="G83" s="38">
        <f t="shared" ref="G83:H87" si="13">G84</f>
        <v>0</v>
      </c>
      <c r="H83" s="38">
        <f t="shared" si="13"/>
        <v>0</v>
      </c>
    </row>
    <row r="84" spans="1:8" ht="15.75" hidden="1" x14ac:dyDescent="0.25">
      <c r="A84" s="31" t="s">
        <v>166</v>
      </c>
      <c r="B84" s="360" t="s">
        <v>821</v>
      </c>
      <c r="C84" s="360" t="s">
        <v>139</v>
      </c>
      <c r="D84" s="360"/>
      <c r="E84" s="360"/>
      <c r="F84" s="360"/>
      <c r="G84" s="10">
        <f t="shared" si="13"/>
        <v>0</v>
      </c>
      <c r="H84" s="10">
        <f t="shared" si="13"/>
        <v>0</v>
      </c>
    </row>
    <row r="85" spans="1:8" ht="15.75" hidden="1" x14ac:dyDescent="0.25">
      <c r="A85" s="31" t="s">
        <v>170</v>
      </c>
      <c r="B85" s="360" t="s">
        <v>821</v>
      </c>
      <c r="C85" s="360" t="s">
        <v>139</v>
      </c>
      <c r="D85" s="360" t="s">
        <v>171</v>
      </c>
      <c r="E85" s="360"/>
      <c r="F85" s="360"/>
      <c r="G85" s="10">
        <f t="shared" si="13"/>
        <v>0</v>
      </c>
      <c r="H85" s="10">
        <f t="shared" si="13"/>
        <v>0</v>
      </c>
    </row>
    <row r="86" spans="1:8" ht="31.5" hidden="1" x14ac:dyDescent="0.25">
      <c r="A86" s="172" t="s">
        <v>605</v>
      </c>
      <c r="B86" s="365" t="s">
        <v>822</v>
      </c>
      <c r="C86" s="360" t="s">
        <v>139</v>
      </c>
      <c r="D86" s="360" t="s">
        <v>171</v>
      </c>
      <c r="E86" s="360"/>
      <c r="F86" s="360"/>
      <c r="G86" s="10">
        <f t="shared" si="13"/>
        <v>0</v>
      </c>
      <c r="H86" s="10">
        <f t="shared" si="13"/>
        <v>0</v>
      </c>
    </row>
    <row r="87" spans="1:8" ht="31.5" hidden="1" x14ac:dyDescent="0.25">
      <c r="A87" s="364" t="s">
        <v>123</v>
      </c>
      <c r="B87" s="365" t="s">
        <v>822</v>
      </c>
      <c r="C87" s="360" t="s">
        <v>139</v>
      </c>
      <c r="D87" s="360" t="s">
        <v>171</v>
      </c>
      <c r="E87" s="360" t="s">
        <v>124</v>
      </c>
      <c r="F87" s="360"/>
      <c r="G87" s="10">
        <f t="shared" si="13"/>
        <v>0</v>
      </c>
      <c r="H87" s="10">
        <f t="shared" si="13"/>
        <v>0</v>
      </c>
    </row>
    <row r="88" spans="1:8" ht="31.5" hidden="1" x14ac:dyDescent="0.25">
      <c r="A88" s="364" t="s">
        <v>125</v>
      </c>
      <c r="B88" s="365" t="s">
        <v>822</v>
      </c>
      <c r="C88" s="360" t="s">
        <v>139</v>
      </c>
      <c r="D88" s="360" t="s">
        <v>171</v>
      </c>
      <c r="E88" s="360" t="s">
        <v>126</v>
      </c>
      <c r="F88" s="360"/>
      <c r="G88" s="10">
        <f>'Пр.4 ведом.22'!G297</f>
        <v>0</v>
      </c>
      <c r="H88" s="10">
        <f>'Пр.4 ведом.22'!H297</f>
        <v>0</v>
      </c>
    </row>
    <row r="89" spans="1:8" ht="47.25" hidden="1" x14ac:dyDescent="0.25">
      <c r="A89" s="31" t="s">
        <v>185</v>
      </c>
      <c r="B89" s="365" t="s">
        <v>822</v>
      </c>
      <c r="C89" s="360" t="s">
        <v>139</v>
      </c>
      <c r="D89" s="360" t="s">
        <v>171</v>
      </c>
      <c r="E89" s="360" t="s">
        <v>126</v>
      </c>
      <c r="F89" s="9" t="s">
        <v>305</v>
      </c>
      <c r="G89" s="10">
        <f>G88</f>
        <v>0</v>
      </c>
      <c r="H89" s="10">
        <f>H88</f>
        <v>0</v>
      </c>
    </row>
    <row r="90" spans="1:8" ht="31.5" hidden="1" x14ac:dyDescent="0.25">
      <c r="A90" s="322" t="s">
        <v>656</v>
      </c>
      <c r="B90" s="316" t="s">
        <v>741</v>
      </c>
      <c r="C90" s="7"/>
      <c r="D90" s="7"/>
      <c r="E90" s="7"/>
      <c r="F90" s="7"/>
      <c r="G90" s="38">
        <f t="shared" ref="G90:H94" si="14">G91</f>
        <v>0</v>
      </c>
      <c r="H90" s="38">
        <f t="shared" si="14"/>
        <v>0</v>
      </c>
    </row>
    <row r="91" spans="1:8" ht="15.75" hidden="1" x14ac:dyDescent="0.25">
      <c r="A91" s="31" t="s">
        <v>166</v>
      </c>
      <c r="B91" s="360" t="s">
        <v>741</v>
      </c>
      <c r="C91" s="360" t="s">
        <v>139</v>
      </c>
      <c r="D91" s="360"/>
      <c r="E91" s="360"/>
      <c r="F91" s="360"/>
      <c r="G91" s="10">
        <f t="shared" si="14"/>
        <v>0</v>
      </c>
      <c r="H91" s="10">
        <f t="shared" si="14"/>
        <v>0</v>
      </c>
    </row>
    <row r="92" spans="1:8" ht="15.75" hidden="1" x14ac:dyDescent="0.25">
      <c r="A92" s="31" t="s">
        <v>170</v>
      </c>
      <c r="B92" s="360" t="s">
        <v>741</v>
      </c>
      <c r="C92" s="360" t="s">
        <v>139</v>
      </c>
      <c r="D92" s="360" t="s">
        <v>171</v>
      </c>
      <c r="E92" s="360"/>
      <c r="F92" s="360"/>
      <c r="G92" s="10">
        <f t="shared" si="14"/>
        <v>0</v>
      </c>
      <c r="H92" s="10">
        <f t="shared" si="14"/>
        <v>0</v>
      </c>
    </row>
    <row r="93" spans="1:8" ht="31.5" hidden="1" x14ac:dyDescent="0.25">
      <c r="A93" s="155" t="s">
        <v>892</v>
      </c>
      <c r="B93" s="365" t="s">
        <v>742</v>
      </c>
      <c r="C93" s="360" t="s">
        <v>139</v>
      </c>
      <c r="D93" s="360" t="s">
        <v>171</v>
      </c>
      <c r="E93" s="360"/>
      <c r="F93" s="360"/>
      <c r="G93" s="10">
        <f t="shared" si="14"/>
        <v>0</v>
      </c>
      <c r="H93" s="10">
        <f t="shared" si="14"/>
        <v>0</v>
      </c>
    </row>
    <row r="94" spans="1:8" ht="31.5" hidden="1" x14ac:dyDescent="0.25">
      <c r="A94" s="364" t="s">
        <v>123</v>
      </c>
      <c r="B94" s="365" t="s">
        <v>742</v>
      </c>
      <c r="C94" s="360" t="s">
        <v>139</v>
      </c>
      <c r="D94" s="360" t="s">
        <v>171</v>
      </c>
      <c r="E94" s="360" t="s">
        <v>124</v>
      </c>
      <c r="F94" s="360"/>
      <c r="G94" s="10">
        <f t="shared" si="14"/>
        <v>0</v>
      </c>
      <c r="H94" s="10">
        <f t="shared" si="14"/>
        <v>0</v>
      </c>
    </row>
    <row r="95" spans="1:8" ht="31.5" hidden="1" x14ac:dyDescent="0.25">
      <c r="A95" s="364" t="s">
        <v>125</v>
      </c>
      <c r="B95" s="365" t="s">
        <v>742</v>
      </c>
      <c r="C95" s="360" t="s">
        <v>139</v>
      </c>
      <c r="D95" s="360" t="s">
        <v>171</v>
      </c>
      <c r="E95" s="360" t="s">
        <v>126</v>
      </c>
      <c r="F95" s="360"/>
      <c r="G95" s="10">
        <f>'Пр.4 ведом.22'!G301</f>
        <v>0</v>
      </c>
      <c r="H95" s="10">
        <f>'Пр.4 ведом.22'!H301</f>
        <v>0</v>
      </c>
    </row>
    <row r="96" spans="1:8" ht="47.25" hidden="1" x14ac:dyDescent="0.25">
      <c r="A96" s="31" t="s">
        <v>185</v>
      </c>
      <c r="B96" s="365" t="s">
        <v>742</v>
      </c>
      <c r="C96" s="360" t="s">
        <v>139</v>
      </c>
      <c r="D96" s="360" t="s">
        <v>171</v>
      </c>
      <c r="E96" s="360" t="s">
        <v>126</v>
      </c>
      <c r="F96" s="9" t="s">
        <v>305</v>
      </c>
      <c r="G96" s="10">
        <f>G95</f>
        <v>0</v>
      </c>
      <c r="H96" s="10">
        <f>H95</f>
        <v>0</v>
      </c>
    </row>
    <row r="97" spans="1:8" ht="78.75" x14ac:dyDescent="0.25">
      <c r="A97" s="359" t="s">
        <v>851</v>
      </c>
      <c r="B97" s="7" t="s">
        <v>222</v>
      </c>
      <c r="C97" s="7"/>
      <c r="D97" s="7"/>
      <c r="E97" s="7"/>
      <c r="F97" s="8"/>
      <c r="G97" s="38">
        <f>G98</f>
        <v>655.9</v>
      </c>
      <c r="H97" s="38">
        <f>H98</f>
        <v>655.9</v>
      </c>
    </row>
    <row r="98" spans="1:8" ht="47.25" x14ac:dyDescent="0.25">
      <c r="A98" s="170" t="s">
        <v>606</v>
      </c>
      <c r="B98" s="7" t="s">
        <v>480</v>
      </c>
      <c r="C98" s="7"/>
      <c r="D98" s="7"/>
      <c r="E98" s="7"/>
      <c r="F98" s="8"/>
      <c r="G98" s="38">
        <f>G99</f>
        <v>655.9</v>
      </c>
      <c r="H98" s="38">
        <f>H99</f>
        <v>655.9</v>
      </c>
    </row>
    <row r="99" spans="1:8" ht="15.75" x14ac:dyDescent="0.25">
      <c r="A99" s="31" t="s">
        <v>115</v>
      </c>
      <c r="B99" s="360" t="s">
        <v>480</v>
      </c>
      <c r="C99" s="360" t="s">
        <v>116</v>
      </c>
      <c r="D99" s="360"/>
      <c r="E99" s="360"/>
      <c r="F99" s="9"/>
      <c r="G99" s="10">
        <f t="shared" ref="G99:H102" si="15">G100</f>
        <v>655.9</v>
      </c>
      <c r="H99" s="10">
        <f t="shared" si="15"/>
        <v>655.9</v>
      </c>
    </row>
    <row r="100" spans="1:8" ht="15.75" x14ac:dyDescent="0.25">
      <c r="A100" s="31" t="s">
        <v>131</v>
      </c>
      <c r="B100" s="360" t="s">
        <v>480</v>
      </c>
      <c r="C100" s="360" t="s">
        <v>116</v>
      </c>
      <c r="D100" s="360" t="s">
        <v>132</v>
      </c>
      <c r="E100" s="360"/>
      <c r="F100" s="9"/>
      <c r="G100" s="10">
        <f>G101+G105+G109</f>
        <v>655.9</v>
      </c>
      <c r="H100" s="10">
        <f>H101+H105</f>
        <v>655.9</v>
      </c>
    </row>
    <row r="101" spans="1:8" ht="31.5" x14ac:dyDescent="0.25">
      <c r="A101" s="70" t="s">
        <v>649</v>
      </c>
      <c r="B101" s="360" t="s">
        <v>738</v>
      </c>
      <c r="C101" s="360" t="s">
        <v>116</v>
      </c>
      <c r="D101" s="360" t="s">
        <v>132</v>
      </c>
      <c r="E101" s="360"/>
      <c r="F101" s="9"/>
      <c r="G101" s="10">
        <f t="shared" si="15"/>
        <v>440.8</v>
      </c>
      <c r="H101" s="10">
        <f t="shared" si="15"/>
        <v>440.8</v>
      </c>
    </row>
    <row r="102" spans="1:8" ht="31.5" x14ac:dyDescent="0.25">
      <c r="A102" s="22" t="s">
        <v>123</v>
      </c>
      <c r="B102" s="360" t="s">
        <v>738</v>
      </c>
      <c r="C102" s="360" t="s">
        <v>116</v>
      </c>
      <c r="D102" s="360" t="s">
        <v>132</v>
      </c>
      <c r="E102" s="360" t="s">
        <v>124</v>
      </c>
      <c r="F102" s="9"/>
      <c r="G102" s="10">
        <f t="shared" si="15"/>
        <v>440.8</v>
      </c>
      <c r="H102" s="10">
        <f t="shared" si="15"/>
        <v>440.8</v>
      </c>
    </row>
    <row r="103" spans="1:8" ht="31.5" x14ac:dyDescent="0.25">
      <c r="A103" s="22" t="s">
        <v>125</v>
      </c>
      <c r="B103" s="360" t="s">
        <v>738</v>
      </c>
      <c r="C103" s="360" t="s">
        <v>116</v>
      </c>
      <c r="D103" s="360" t="s">
        <v>132</v>
      </c>
      <c r="E103" s="360" t="s">
        <v>126</v>
      </c>
      <c r="F103" s="9"/>
      <c r="G103" s="10">
        <f>'Пр.4.1 ведом.23-24 '!G254</f>
        <v>440.8</v>
      </c>
      <c r="H103" s="10">
        <f>'Пр.4.1 ведом.23-24 '!H254</f>
        <v>440.8</v>
      </c>
    </row>
    <row r="104" spans="1:8" ht="47.25" x14ac:dyDescent="0.25">
      <c r="A104" s="31" t="s">
        <v>185</v>
      </c>
      <c r="B104" s="360" t="s">
        <v>738</v>
      </c>
      <c r="C104" s="360" t="s">
        <v>116</v>
      </c>
      <c r="D104" s="360" t="s">
        <v>132</v>
      </c>
      <c r="E104" s="360" t="s">
        <v>126</v>
      </c>
      <c r="F104" s="9" t="s">
        <v>305</v>
      </c>
      <c r="G104" s="10">
        <f>G103</f>
        <v>440.8</v>
      </c>
      <c r="H104" s="10">
        <f>H103</f>
        <v>440.8</v>
      </c>
    </row>
    <row r="105" spans="1:8" ht="31.5" x14ac:dyDescent="0.25">
      <c r="A105" s="31" t="s">
        <v>1016</v>
      </c>
      <c r="B105" s="360" t="s">
        <v>1049</v>
      </c>
      <c r="C105" s="360" t="s">
        <v>116</v>
      </c>
      <c r="D105" s="360" t="s">
        <v>132</v>
      </c>
      <c r="E105" s="360"/>
      <c r="F105" s="9"/>
      <c r="G105" s="10">
        <f>G106</f>
        <v>215.1</v>
      </c>
      <c r="H105" s="10">
        <f>H106</f>
        <v>215.1</v>
      </c>
    </row>
    <row r="106" spans="1:8" ht="31.5" x14ac:dyDescent="0.25">
      <c r="A106" s="22" t="s">
        <v>123</v>
      </c>
      <c r="B106" s="360" t="s">
        <v>1049</v>
      </c>
      <c r="C106" s="360" t="s">
        <v>116</v>
      </c>
      <c r="D106" s="360" t="s">
        <v>132</v>
      </c>
      <c r="E106" s="360" t="s">
        <v>124</v>
      </c>
      <c r="F106" s="9"/>
      <c r="G106" s="10">
        <f>G107</f>
        <v>215.1</v>
      </c>
      <c r="H106" s="10">
        <f>H107</f>
        <v>215.1</v>
      </c>
    </row>
    <row r="107" spans="1:8" ht="31.5" x14ac:dyDescent="0.25">
      <c r="A107" s="22" t="s">
        <v>125</v>
      </c>
      <c r="B107" s="360" t="s">
        <v>1049</v>
      </c>
      <c r="C107" s="360" t="s">
        <v>116</v>
      </c>
      <c r="D107" s="360" t="s">
        <v>132</v>
      </c>
      <c r="E107" s="360" t="s">
        <v>126</v>
      </c>
      <c r="F107" s="9"/>
      <c r="G107" s="10">
        <f>'Пр.4.1 ведом.23-24 '!G257</f>
        <v>215.1</v>
      </c>
      <c r="H107" s="10">
        <f>'Пр.4.1 ведом.23-24 '!H257</f>
        <v>215.1</v>
      </c>
    </row>
    <row r="108" spans="1:8" ht="47.25" x14ac:dyDescent="0.25">
      <c r="A108" s="31" t="s">
        <v>185</v>
      </c>
      <c r="B108" s="360" t="s">
        <v>1049</v>
      </c>
      <c r="C108" s="360" t="s">
        <v>116</v>
      </c>
      <c r="D108" s="360" t="s">
        <v>132</v>
      </c>
      <c r="E108" s="360" t="s">
        <v>126</v>
      </c>
      <c r="F108" s="9" t="s">
        <v>305</v>
      </c>
      <c r="G108" s="10">
        <f>G107</f>
        <v>215.1</v>
      </c>
      <c r="H108" s="10">
        <f>H107</f>
        <v>215.1</v>
      </c>
    </row>
    <row r="109" spans="1:8" ht="31.5" hidden="1" x14ac:dyDescent="0.25">
      <c r="A109" s="22" t="s">
        <v>1131</v>
      </c>
      <c r="B109" s="9" t="s">
        <v>1132</v>
      </c>
      <c r="C109" s="360" t="s">
        <v>116</v>
      </c>
      <c r="D109" s="360" t="s">
        <v>132</v>
      </c>
      <c r="E109" s="360"/>
      <c r="F109" s="9"/>
      <c r="G109" s="10">
        <f>G110</f>
        <v>0</v>
      </c>
      <c r="H109" s="10" t="str">
        <f>H110</f>
        <v>(-2,447)</v>
      </c>
    </row>
    <row r="110" spans="1:8" ht="31.5" hidden="1" x14ac:dyDescent="0.25">
      <c r="A110" s="22" t="s">
        <v>123</v>
      </c>
      <c r="B110" s="9" t="s">
        <v>1132</v>
      </c>
      <c r="C110" s="360" t="s">
        <v>116</v>
      </c>
      <c r="D110" s="360" t="s">
        <v>132</v>
      </c>
      <c r="E110" s="360" t="s">
        <v>124</v>
      </c>
      <c r="F110" s="9"/>
      <c r="G110" s="10">
        <f>G111</f>
        <v>0</v>
      </c>
      <c r="H110" s="10" t="str">
        <f>H111</f>
        <v>(-2,447)</v>
      </c>
    </row>
    <row r="111" spans="1:8" ht="31.5" hidden="1" x14ac:dyDescent="0.25">
      <c r="A111" s="22" t="s">
        <v>125</v>
      </c>
      <c r="B111" s="9" t="s">
        <v>1132</v>
      </c>
      <c r="C111" s="360" t="s">
        <v>116</v>
      </c>
      <c r="D111" s="360" t="s">
        <v>132</v>
      </c>
      <c r="E111" s="360" t="s">
        <v>126</v>
      </c>
      <c r="F111" s="9"/>
      <c r="G111" s="10"/>
      <c r="H111" s="10" t="str">
        <f>'Пр.4 ведом.22'!H259</f>
        <v>(-2,447)</v>
      </c>
    </row>
    <row r="112" spans="1:8" ht="47.25" hidden="1" x14ac:dyDescent="0.25">
      <c r="A112" s="31" t="s">
        <v>185</v>
      </c>
      <c r="B112" s="9" t="s">
        <v>1132</v>
      </c>
      <c r="C112" s="360" t="s">
        <v>116</v>
      </c>
      <c r="D112" s="360" t="s">
        <v>132</v>
      </c>
      <c r="E112" s="360" t="s">
        <v>126</v>
      </c>
      <c r="F112" s="9" t="s">
        <v>305</v>
      </c>
      <c r="G112" s="10">
        <f>G111</f>
        <v>0</v>
      </c>
      <c r="H112" s="10" t="str">
        <f>H111</f>
        <v>(-2,447)</v>
      </c>
    </row>
    <row r="113" spans="1:8" ht="39.200000000000003" customHeight="1" x14ac:dyDescent="0.25">
      <c r="A113" s="37" t="s">
        <v>306</v>
      </c>
      <c r="B113" s="7" t="s">
        <v>223</v>
      </c>
      <c r="C113" s="7"/>
      <c r="D113" s="7"/>
      <c r="E113" s="7"/>
      <c r="F113" s="7"/>
      <c r="G113" s="38">
        <f>G114+G124+G134</f>
        <v>1567</v>
      </c>
      <c r="H113" s="38">
        <f>H114+H124+H134</f>
        <v>1567</v>
      </c>
    </row>
    <row r="114" spans="1:8" ht="31.5" x14ac:dyDescent="0.25">
      <c r="A114" s="315" t="s">
        <v>600</v>
      </c>
      <c r="B114" s="316" t="s">
        <v>484</v>
      </c>
      <c r="C114" s="360"/>
      <c r="D114" s="360"/>
      <c r="E114" s="360"/>
      <c r="F114" s="360"/>
      <c r="G114" s="38">
        <f>G115</f>
        <v>630</v>
      </c>
      <c r="H114" s="38">
        <f>H115</f>
        <v>630</v>
      </c>
    </row>
    <row r="115" spans="1:8" ht="15.75" x14ac:dyDescent="0.25">
      <c r="A115" s="31" t="s">
        <v>173</v>
      </c>
      <c r="B115" s="360" t="s">
        <v>484</v>
      </c>
      <c r="C115" s="360" t="s">
        <v>174</v>
      </c>
      <c r="D115" s="360"/>
      <c r="E115" s="360"/>
      <c r="F115" s="360"/>
      <c r="G115" s="10">
        <f t="shared" ref="G115:H121" si="16">G116</f>
        <v>630</v>
      </c>
      <c r="H115" s="10">
        <f t="shared" si="16"/>
        <v>630</v>
      </c>
    </row>
    <row r="116" spans="1:8" ht="15.75" x14ac:dyDescent="0.25">
      <c r="A116" s="31" t="s">
        <v>181</v>
      </c>
      <c r="B116" s="360" t="s">
        <v>484</v>
      </c>
      <c r="C116" s="360" t="s">
        <v>174</v>
      </c>
      <c r="D116" s="360" t="s">
        <v>159</v>
      </c>
      <c r="E116" s="360"/>
      <c r="F116" s="360"/>
      <c r="G116" s="10">
        <f>G117</f>
        <v>630</v>
      </c>
      <c r="H116" s="10">
        <f>H117</f>
        <v>630</v>
      </c>
    </row>
    <row r="117" spans="1:8" ht="47.25" x14ac:dyDescent="0.25">
      <c r="A117" s="70" t="s">
        <v>601</v>
      </c>
      <c r="B117" s="365" t="s">
        <v>760</v>
      </c>
      <c r="C117" s="360" t="s">
        <v>174</v>
      </c>
      <c r="D117" s="360" t="s">
        <v>159</v>
      </c>
      <c r="E117" s="360"/>
      <c r="F117" s="360"/>
      <c r="G117" s="10">
        <f>G121+G118</f>
        <v>630</v>
      </c>
      <c r="H117" s="10">
        <f>H121+H118</f>
        <v>630</v>
      </c>
    </row>
    <row r="118" spans="1:8" ht="31.5" hidden="1" x14ac:dyDescent="0.25">
      <c r="A118" s="22" t="s">
        <v>123</v>
      </c>
      <c r="B118" s="365" t="s">
        <v>760</v>
      </c>
      <c r="C118" s="360" t="s">
        <v>174</v>
      </c>
      <c r="D118" s="360" t="s">
        <v>159</v>
      </c>
      <c r="E118" s="360" t="s">
        <v>124</v>
      </c>
      <c r="F118" s="360"/>
      <c r="G118" s="10">
        <f>G119</f>
        <v>0</v>
      </c>
      <c r="H118" s="10">
        <f>H119</f>
        <v>0</v>
      </c>
    </row>
    <row r="119" spans="1:8" ht="31.5" hidden="1" x14ac:dyDescent="0.25">
      <c r="A119" s="22" t="s">
        <v>125</v>
      </c>
      <c r="B119" s="365" t="s">
        <v>760</v>
      </c>
      <c r="C119" s="360" t="s">
        <v>174</v>
      </c>
      <c r="D119" s="360" t="s">
        <v>159</v>
      </c>
      <c r="E119" s="360" t="s">
        <v>126</v>
      </c>
      <c r="F119" s="360"/>
      <c r="G119" s="10">
        <f>'Пр.4 ведом.22'!G508</f>
        <v>0</v>
      </c>
      <c r="H119" s="10">
        <f>'Пр.4 ведом.22'!H508</f>
        <v>0</v>
      </c>
    </row>
    <row r="120" spans="1:8" ht="47.25" hidden="1" x14ac:dyDescent="0.25">
      <c r="A120" s="31" t="s">
        <v>185</v>
      </c>
      <c r="B120" s="365" t="s">
        <v>760</v>
      </c>
      <c r="C120" s="360" t="s">
        <v>174</v>
      </c>
      <c r="D120" s="360" t="s">
        <v>159</v>
      </c>
      <c r="E120" s="360" t="s">
        <v>126</v>
      </c>
      <c r="F120" s="360" t="s">
        <v>305</v>
      </c>
      <c r="G120" s="10">
        <f>G119</f>
        <v>0</v>
      </c>
      <c r="H120" s="10">
        <f>H119</f>
        <v>0</v>
      </c>
    </row>
    <row r="121" spans="1:8" ht="15.75" x14ac:dyDescent="0.25">
      <c r="A121" s="364" t="s">
        <v>177</v>
      </c>
      <c r="B121" s="365" t="s">
        <v>760</v>
      </c>
      <c r="C121" s="360" t="s">
        <v>174</v>
      </c>
      <c r="D121" s="360" t="s">
        <v>159</v>
      </c>
      <c r="E121" s="360" t="s">
        <v>178</v>
      </c>
      <c r="F121" s="360"/>
      <c r="G121" s="10">
        <f t="shared" si="16"/>
        <v>630</v>
      </c>
      <c r="H121" s="10">
        <f t="shared" si="16"/>
        <v>630</v>
      </c>
    </row>
    <row r="122" spans="1:8" ht="31.5" x14ac:dyDescent="0.25">
      <c r="A122" s="364" t="s">
        <v>216</v>
      </c>
      <c r="B122" s="365" t="s">
        <v>760</v>
      </c>
      <c r="C122" s="360" t="s">
        <v>174</v>
      </c>
      <c r="D122" s="360" t="s">
        <v>159</v>
      </c>
      <c r="E122" s="360" t="s">
        <v>217</v>
      </c>
      <c r="F122" s="360"/>
      <c r="G122" s="10">
        <f>'Пр.4.1 ведом.23-24 '!G510</f>
        <v>630</v>
      </c>
      <c r="H122" s="10">
        <f>'Пр.4.1 ведом.23-24 '!H510</f>
        <v>630</v>
      </c>
    </row>
    <row r="123" spans="1:8" ht="47.25" x14ac:dyDescent="0.25">
      <c r="A123" s="31" t="s">
        <v>185</v>
      </c>
      <c r="B123" s="365" t="s">
        <v>760</v>
      </c>
      <c r="C123" s="360" t="s">
        <v>174</v>
      </c>
      <c r="D123" s="360" t="s">
        <v>159</v>
      </c>
      <c r="E123" s="360" t="s">
        <v>217</v>
      </c>
      <c r="F123" s="360" t="s">
        <v>305</v>
      </c>
      <c r="G123" s="10">
        <f>G122</f>
        <v>630</v>
      </c>
      <c r="H123" s="10">
        <f>H122</f>
        <v>630</v>
      </c>
    </row>
    <row r="124" spans="1:8" ht="31.5" x14ac:dyDescent="0.25">
      <c r="A124" s="315" t="s">
        <v>893</v>
      </c>
      <c r="B124" s="316" t="s">
        <v>762</v>
      </c>
      <c r="C124" s="7"/>
      <c r="D124" s="7"/>
      <c r="E124" s="7"/>
      <c r="F124" s="7"/>
      <c r="G124" s="38">
        <f>G125</f>
        <v>257</v>
      </c>
      <c r="H124" s="38">
        <f>H125</f>
        <v>257</v>
      </c>
    </row>
    <row r="125" spans="1:8" ht="15.75" x14ac:dyDescent="0.25">
      <c r="A125" s="31" t="s">
        <v>173</v>
      </c>
      <c r="B125" s="360" t="s">
        <v>762</v>
      </c>
      <c r="C125" s="360" t="s">
        <v>174</v>
      </c>
      <c r="D125" s="360"/>
      <c r="E125" s="360"/>
      <c r="F125" s="360"/>
      <c r="G125" s="10">
        <f t="shared" ref="G125:H125" si="17">G126</f>
        <v>257</v>
      </c>
      <c r="H125" s="10">
        <f t="shared" si="17"/>
        <v>257</v>
      </c>
    </row>
    <row r="126" spans="1:8" ht="15.75" x14ac:dyDescent="0.25">
      <c r="A126" s="31" t="s">
        <v>181</v>
      </c>
      <c r="B126" s="360" t="s">
        <v>762</v>
      </c>
      <c r="C126" s="360" t="s">
        <v>174</v>
      </c>
      <c r="D126" s="360" t="s">
        <v>159</v>
      </c>
      <c r="E126" s="360"/>
      <c r="F126" s="360"/>
      <c r="G126" s="10">
        <f>G127</f>
        <v>257</v>
      </c>
      <c r="H126" s="10">
        <f>H127</f>
        <v>257</v>
      </c>
    </row>
    <row r="127" spans="1:8" ht="31.5" x14ac:dyDescent="0.25">
      <c r="A127" s="364" t="s">
        <v>761</v>
      </c>
      <c r="B127" s="365" t="s">
        <v>763</v>
      </c>
      <c r="C127" s="360" t="s">
        <v>174</v>
      </c>
      <c r="D127" s="360" t="s">
        <v>159</v>
      </c>
      <c r="E127" s="360"/>
      <c r="F127" s="360"/>
      <c r="G127" s="10">
        <f>G128+G131</f>
        <v>257</v>
      </c>
      <c r="H127" s="10">
        <f>H128+H131</f>
        <v>257</v>
      </c>
    </row>
    <row r="128" spans="1:8" ht="31.5" hidden="1" x14ac:dyDescent="0.25">
      <c r="A128" s="364" t="s">
        <v>123</v>
      </c>
      <c r="B128" s="365" t="s">
        <v>763</v>
      </c>
      <c r="C128" s="360" t="s">
        <v>174</v>
      </c>
      <c r="D128" s="360" t="s">
        <v>159</v>
      </c>
      <c r="E128" s="360" t="s">
        <v>124</v>
      </c>
      <c r="F128" s="360"/>
      <c r="G128" s="10">
        <f>G129</f>
        <v>0</v>
      </c>
      <c r="H128" s="10">
        <f>H129</f>
        <v>0</v>
      </c>
    </row>
    <row r="129" spans="1:8" ht="31.5" hidden="1" x14ac:dyDescent="0.25">
      <c r="A129" s="364" t="s">
        <v>125</v>
      </c>
      <c r="B129" s="365" t="s">
        <v>763</v>
      </c>
      <c r="C129" s="360" t="s">
        <v>174</v>
      </c>
      <c r="D129" s="360" t="s">
        <v>159</v>
      </c>
      <c r="E129" s="360" t="s">
        <v>126</v>
      </c>
      <c r="F129" s="360"/>
      <c r="G129" s="10">
        <f>'Пр.4 ведом.22'!G514</f>
        <v>0</v>
      </c>
      <c r="H129" s="10">
        <f>'Пр.4 ведом.22'!H514</f>
        <v>0</v>
      </c>
    </row>
    <row r="130" spans="1:8" ht="47.25" hidden="1" x14ac:dyDescent="0.25">
      <c r="A130" s="31" t="s">
        <v>185</v>
      </c>
      <c r="B130" s="365" t="s">
        <v>763</v>
      </c>
      <c r="C130" s="360" t="s">
        <v>174</v>
      </c>
      <c r="D130" s="360" t="s">
        <v>159</v>
      </c>
      <c r="E130" s="360" t="s">
        <v>126</v>
      </c>
      <c r="F130" s="360" t="s">
        <v>305</v>
      </c>
      <c r="G130" s="10">
        <f>G129</f>
        <v>0</v>
      </c>
      <c r="H130" s="10">
        <f>H129</f>
        <v>0</v>
      </c>
    </row>
    <row r="131" spans="1:8" ht="15.75" x14ac:dyDescent="0.25">
      <c r="A131" s="364" t="s">
        <v>177</v>
      </c>
      <c r="B131" s="365" t="s">
        <v>763</v>
      </c>
      <c r="C131" s="360" t="s">
        <v>174</v>
      </c>
      <c r="D131" s="360" t="s">
        <v>159</v>
      </c>
      <c r="E131" s="360" t="s">
        <v>178</v>
      </c>
      <c r="F131" s="360"/>
      <c r="G131" s="10">
        <f>G132</f>
        <v>257</v>
      </c>
      <c r="H131" s="10">
        <f>H132</f>
        <v>257</v>
      </c>
    </row>
    <row r="132" spans="1:8" ht="31.5" x14ac:dyDescent="0.25">
      <c r="A132" s="364" t="s">
        <v>216</v>
      </c>
      <c r="B132" s="365" t="s">
        <v>763</v>
      </c>
      <c r="C132" s="360" t="s">
        <v>174</v>
      </c>
      <c r="D132" s="360" t="s">
        <v>159</v>
      </c>
      <c r="E132" s="360" t="s">
        <v>217</v>
      </c>
      <c r="F132" s="360"/>
      <c r="G132" s="10">
        <f>'Пр.4.1 ведом.23-24 '!G516</f>
        <v>257</v>
      </c>
      <c r="H132" s="10">
        <f>'Пр.4.1 ведом.23-24 '!H516</f>
        <v>257</v>
      </c>
    </row>
    <row r="133" spans="1:8" ht="47.25" x14ac:dyDescent="0.25">
      <c r="A133" s="31" t="s">
        <v>185</v>
      </c>
      <c r="B133" s="365" t="s">
        <v>763</v>
      </c>
      <c r="C133" s="360" t="s">
        <v>174</v>
      </c>
      <c r="D133" s="360" t="s">
        <v>159</v>
      </c>
      <c r="E133" s="360" t="s">
        <v>217</v>
      </c>
      <c r="F133" s="360" t="s">
        <v>305</v>
      </c>
      <c r="G133" s="10">
        <f>G132</f>
        <v>257</v>
      </c>
      <c r="H133" s="10">
        <f>H132</f>
        <v>257</v>
      </c>
    </row>
    <row r="134" spans="1:8" ht="31.5" x14ac:dyDescent="0.25">
      <c r="A134" s="315" t="s">
        <v>560</v>
      </c>
      <c r="B134" s="316" t="s">
        <v>757</v>
      </c>
      <c r="C134" s="7"/>
      <c r="D134" s="7"/>
      <c r="E134" s="7"/>
      <c r="F134" s="7"/>
      <c r="G134" s="38">
        <f>G141+G135</f>
        <v>680</v>
      </c>
      <c r="H134" s="38">
        <f>H141+H135</f>
        <v>680</v>
      </c>
    </row>
    <row r="135" spans="1:8" ht="15.75" x14ac:dyDescent="0.25">
      <c r="A135" s="364" t="s">
        <v>202</v>
      </c>
      <c r="B135" s="365" t="s">
        <v>757</v>
      </c>
      <c r="C135" s="360" t="s">
        <v>203</v>
      </c>
      <c r="D135" s="360"/>
      <c r="E135" s="7"/>
      <c r="F135" s="7"/>
      <c r="G135" s="10">
        <f t="shared" ref="G135:H138" si="18">G136</f>
        <v>260</v>
      </c>
      <c r="H135" s="10">
        <f t="shared" si="18"/>
        <v>260</v>
      </c>
    </row>
    <row r="136" spans="1:8" ht="15.75" x14ac:dyDescent="0.25">
      <c r="A136" s="364" t="s">
        <v>208</v>
      </c>
      <c r="B136" s="365" t="s">
        <v>757</v>
      </c>
      <c r="C136" s="360" t="s">
        <v>203</v>
      </c>
      <c r="D136" s="360" t="s">
        <v>139</v>
      </c>
      <c r="E136" s="7"/>
      <c r="F136" s="7"/>
      <c r="G136" s="10">
        <f t="shared" si="18"/>
        <v>260</v>
      </c>
      <c r="H136" s="10">
        <f t="shared" si="18"/>
        <v>260</v>
      </c>
    </row>
    <row r="137" spans="1:8" ht="31.5" x14ac:dyDescent="0.25">
      <c r="A137" s="364" t="s">
        <v>559</v>
      </c>
      <c r="B137" s="365" t="s">
        <v>758</v>
      </c>
      <c r="C137" s="360" t="s">
        <v>203</v>
      </c>
      <c r="D137" s="360" t="s">
        <v>139</v>
      </c>
      <c r="E137" s="7"/>
      <c r="F137" s="7"/>
      <c r="G137" s="10">
        <f t="shared" si="18"/>
        <v>260</v>
      </c>
      <c r="H137" s="10">
        <f t="shared" si="18"/>
        <v>260</v>
      </c>
    </row>
    <row r="138" spans="1:8" ht="31.5" x14ac:dyDescent="0.25">
      <c r="A138" s="364" t="s">
        <v>123</v>
      </c>
      <c r="B138" s="365" t="s">
        <v>758</v>
      </c>
      <c r="C138" s="360" t="s">
        <v>203</v>
      </c>
      <c r="D138" s="360" t="s">
        <v>139</v>
      </c>
      <c r="E138" s="360" t="s">
        <v>124</v>
      </c>
      <c r="F138" s="360"/>
      <c r="G138" s="10">
        <f t="shared" si="18"/>
        <v>260</v>
      </c>
      <c r="H138" s="10">
        <f t="shared" si="18"/>
        <v>260</v>
      </c>
    </row>
    <row r="139" spans="1:8" ht="31.5" x14ac:dyDescent="0.25">
      <c r="A139" s="364" t="s">
        <v>125</v>
      </c>
      <c r="B139" s="365" t="s">
        <v>758</v>
      </c>
      <c r="C139" s="360" t="s">
        <v>203</v>
      </c>
      <c r="D139" s="360" t="s">
        <v>139</v>
      </c>
      <c r="E139" s="360" t="s">
        <v>126</v>
      </c>
      <c r="F139" s="360"/>
      <c r="G139" s="10">
        <f>'Пр.4.1 ведом.23-24 '!G490</f>
        <v>260</v>
      </c>
      <c r="H139" s="10">
        <f>'Пр.4.1 ведом.23-24 '!H490</f>
        <v>260</v>
      </c>
    </row>
    <row r="140" spans="1:8" ht="47.25" x14ac:dyDescent="0.25">
      <c r="A140" s="31" t="s">
        <v>185</v>
      </c>
      <c r="B140" s="365" t="s">
        <v>758</v>
      </c>
      <c r="C140" s="360" t="s">
        <v>203</v>
      </c>
      <c r="D140" s="360" t="s">
        <v>139</v>
      </c>
      <c r="E140" s="360" t="s">
        <v>126</v>
      </c>
      <c r="F140" s="360" t="s">
        <v>305</v>
      </c>
      <c r="G140" s="10">
        <f>G139</f>
        <v>260</v>
      </c>
      <c r="H140" s="10">
        <f>H139</f>
        <v>260</v>
      </c>
    </row>
    <row r="141" spans="1:8" ht="15.75" x14ac:dyDescent="0.25">
      <c r="A141" s="31" t="s">
        <v>173</v>
      </c>
      <c r="B141" s="365" t="s">
        <v>757</v>
      </c>
      <c r="C141" s="360" t="s">
        <v>174</v>
      </c>
      <c r="D141" s="360"/>
      <c r="E141" s="360"/>
      <c r="F141" s="360"/>
      <c r="G141" s="10">
        <f t="shared" ref="G141:H144" si="19">G142</f>
        <v>420</v>
      </c>
      <c r="H141" s="10">
        <f t="shared" si="19"/>
        <v>420</v>
      </c>
    </row>
    <row r="142" spans="1:8" ht="15.75" x14ac:dyDescent="0.25">
      <c r="A142" s="31" t="s">
        <v>181</v>
      </c>
      <c r="B142" s="365" t="s">
        <v>757</v>
      </c>
      <c r="C142" s="360" t="s">
        <v>174</v>
      </c>
      <c r="D142" s="360" t="s">
        <v>159</v>
      </c>
      <c r="E142" s="360"/>
      <c r="F142" s="360"/>
      <c r="G142" s="10">
        <f t="shared" si="19"/>
        <v>420</v>
      </c>
      <c r="H142" s="10">
        <f t="shared" si="19"/>
        <v>420</v>
      </c>
    </row>
    <row r="143" spans="1:8" ht="15.75" x14ac:dyDescent="0.25">
      <c r="A143" s="364" t="s">
        <v>598</v>
      </c>
      <c r="B143" s="365" t="s">
        <v>759</v>
      </c>
      <c r="C143" s="360" t="s">
        <v>174</v>
      </c>
      <c r="D143" s="360" t="s">
        <v>159</v>
      </c>
      <c r="E143" s="360"/>
      <c r="F143" s="360"/>
      <c r="G143" s="10">
        <f t="shared" si="19"/>
        <v>420</v>
      </c>
      <c r="H143" s="10">
        <f t="shared" si="19"/>
        <v>420</v>
      </c>
    </row>
    <row r="144" spans="1:8" ht="15.75" x14ac:dyDescent="0.25">
      <c r="A144" s="364" t="s">
        <v>177</v>
      </c>
      <c r="B144" s="365" t="s">
        <v>759</v>
      </c>
      <c r="C144" s="360" t="s">
        <v>174</v>
      </c>
      <c r="D144" s="360" t="s">
        <v>159</v>
      </c>
      <c r="E144" s="360" t="s">
        <v>178</v>
      </c>
      <c r="F144" s="360"/>
      <c r="G144" s="10">
        <f t="shared" si="19"/>
        <v>420</v>
      </c>
      <c r="H144" s="10">
        <f t="shared" si="19"/>
        <v>420</v>
      </c>
    </row>
    <row r="145" spans="1:11" ht="31.5" x14ac:dyDescent="0.25">
      <c r="A145" s="364" t="s">
        <v>216</v>
      </c>
      <c r="B145" s="365" t="s">
        <v>759</v>
      </c>
      <c r="C145" s="360" t="s">
        <v>174</v>
      </c>
      <c r="D145" s="360" t="s">
        <v>159</v>
      </c>
      <c r="E145" s="360" t="s">
        <v>217</v>
      </c>
      <c r="F145" s="360"/>
      <c r="G145" s="10">
        <f>'Пр.4.1 ведом.23-24 '!G520</f>
        <v>420</v>
      </c>
      <c r="H145" s="10">
        <f>'Пр.4.1 ведом.23-24 '!H520</f>
        <v>420</v>
      </c>
    </row>
    <row r="146" spans="1:11" ht="47.25" x14ac:dyDescent="0.25">
      <c r="A146" s="31" t="s">
        <v>185</v>
      </c>
      <c r="B146" s="365" t="s">
        <v>759</v>
      </c>
      <c r="C146" s="360" t="s">
        <v>174</v>
      </c>
      <c r="D146" s="360" t="s">
        <v>159</v>
      </c>
      <c r="E146" s="360" t="s">
        <v>217</v>
      </c>
      <c r="F146" s="360" t="s">
        <v>305</v>
      </c>
      <c r="G146" s="10">
        <f>G145</f>
        <v>420</v>
      </c>
      <c r="H146" s="10">
        <f>H145</f>
        <v>420</v>
      </c>
    </row>
    <row r="147" spans="1:11" ht="31.5" x14ac:dyDescent="0.25">
      <c r="A147" s="37" t="s">
        <v>860</v>
      </c>
      <c r="B147" s="7" t="s">
        <v>237</v>
      </c>
      <c r="C147" s="7"/>
      <c r="D147" s="7"/>
      <c r="E147" s="7"/>
      <c r="F147" s="7"/>
      <c r="G147" s="38">
        <f>G148+G169+G206+G239+G246+G275+G287+G294+G348+G301+G308+G315+G327+G334+G341</f>
        <v>341515.21</v>
      </c>
      <c r="H147" s="38">
        <f>H148+H169+H206+H239+H246+H275+H287+H294+H348+H301+H308+H315+H327+H334+H341</f>
        <v>297462.90999999997</v>
      </c>
      <c r="I147" s="16">
        <f>H147-G147</f>
        <v>-44052.300000000047</v>
      </c>
      <c r="K147" s="156"/>
    </row>
    <row r="148" spans="1:11" ht="31.5" x14ac:dyDescent="0.25">
      <c r="A148" s="315" t="s">
        <v>507</v>
      </c>
      <c r="B148" s="316" t="s">
        <v>766</v>
      </c>
      <c r="C148" s="7"/>
      <c r="D148" s="7"/>
      <c r="E148" s="7"/>
      <c r="F148" s="7"/>
      <c r="G148" s="38">
        <f>G149+G156+G161+G165</f>
        <v>85885.6</v>
      </c>
      <c r="H148" s="38">
        <f>H149+H156+H161+H165</f>
        <v>85885.6</v>
      </c>
    </row>
    <row r="149" spans="1:11" ht="15.75" x14ac:dyDescent="0.25">
      <c r="A149" s="22" t="s">
        <v>186</v>
      </c>
      <c r="B149" s="360" t="s">
        <v>766</v>
      </c>
      <c r="C149" s="360" t="s">
        <v>187</v>
      </c>
      <c r="D149" s="360"/>
      <c r="E149" s="360"/>
      <c r="F149" s="360"/>
      <c r="G149" s="10">
        <f>G150</f>
        <v>16777.2</v>
      </c>
      <c r="H149" s="10">
        <f>H150</f>
        <v>16777.2</v>
      </c>
    </row>
    <row r="150" spans="1:11" ht="15.75" x14ac:dyDescent="0.25">
      <c r="A150" s="31" t="s">
        <v>236</v>
      </c>
      <c r="B150" s="360" t="s">
        <v>766</v>
      </c>
      <c r="C150" s="360" t="s">
        <v>187</v>
      </c>
      <c r="D150" s="360" t="s">
        <v>116</v>
      </c>
      <c r="E150" s="360"/>
      <c r="F150" s="360"/>
      <c r="G150" s="10">
        <f>G151</f>
        <v>16777.2</v>
      </c>
      <c r="H150" s="10">
        <f>H151</f>
        <v>16777.2</v>
      </c>
    </row>
    <row r="151" spans="1:11" ht="31.5" x14ac:dyDescent="0.25">
      <c r="A151" s="364" t="s">
        <v>765</v>
      </c>
      <c r="B151" s="365" t="s">
        <v>767</v>
      </c>
      <c r="C151" s="360" t="s">
        <v>187</v>
      </c>
      <c r="D151" s="360" t="s">
        <v>116</v>
      </c>
      <c r="E151" s="360"/>
      <c r="F151" s="360"/>
      <c r="G151" s="10">
        <f t="shared" ref="G151:H152" si="20">G152</f>
        <v>16777.2</v>
      </c>
      <c r="H151" s="10">
        <f t="shared" si="20"/>
        <v>16777.2</v>
      </c>
    </row>
    <row r="152" spans="1:11" ht="31.5" x14ac:dyDescent="0.25">
      <c r="A152" s="364" t="s">
        <v>191</v>
      </c>
      <c r="B152" s="365" t="s">
        <v>767</v>
      </c>
      <c r="C152" s="360" t="s">
        <v>187</v>
      </c>
      <c r="D152" s="360" t="s">
        <v>116</v>
      </c>
      <c r="E152" s="360" t="s">
        <v>192</v>
      </c>
      <c r="F152" s="360"/>
      <c r="G152" s="10">
        <f t="shared" si="20"/>
        <v>16777.2</v>
      </c>
      <c r="H152" s="10">
        <f t="shared" si="20"/>
        <v>16777.2</v>
      </c>
    </row>
    <row r="153" spans="1:11" ht="15.75" x14ac:dyDescent="0.25">
      <c r="A153" s="364" t="s">
        <v>193</v>
      </c>
      <c r="B153" s="365" t="s">
        <v>767</v>
      </c>
      <c r="C153" s="360" t="s">
        <v>187</v>
      </c>
      <c r="D153" s="360" t="s">
        <v>116</v>
      </c>
      <c r="E153" s="360" t="s">
        <v>194</v>
      </c>
      <c r="F153" s="360"/>
      <c r="G153" s="311">
        <f>'Пр.4.1 ведом.23-24 '!G622</f>
        <v>16777.2</v>
      </c>
      <c r="H153" s="311">
        <f>'Пр.4.1 ведом.23-24 '!H622</f>
        <v>16777.2</v>
      </c>
    </row>
    <row r="154" spans="1:11" ht="31.5" x14ac:dyDescent="0.25">
      <c r="A154" s="22" t="s">
        <v>235</v>
      </c>
      <c r="B154" s="365" t="s">
        <v>767</v>
      </c>
      <c r="C154" s="360" t="s">
        <v>187</v>
      </c>
      <c r="D154" s="360" t="s">
        <v>116</v>
      </c>
      <c r="E154" s="360" t="s">
        <v>194</v>
      </c>
      <c r="F154" s="360" t="s">
        <v>307</v>
      </c>
      <c r="G154" s="10">
        <f>G153</f>
        <v>16777.2</v>
      </c>
      <c r="H154" s="10">
        <f>H153</f>
        <v>16777.2</v>
      </c>
    </row>
    <row r="155" spans="1:11" ht="15.75" x14ac:dyDescent="0.25">
      <c r="A155" s="22" t="s">
        <v>239</v>
      </c>
      <c r="B155" s="360" t="s">
        <v>766</v>
      </c>
      <c r="C155" s="360" t="s">
        <v>187</v>
      </c>
      <c r="D155" s="360" t="s">
        <v>158</v>
      </c>
      <c r="E155" s="360"/>
      <c r="F155" s="360"/>
      <c r="G155" s="10">
        <f t="shared" ref="G155:H157" si="21">G156</f>
        <v>30618.400000000001</v>
      </c>
      <c r="H155" s="10">
        <f t="shared" si="21"/>
        <v>30618.400000000001</v>
      </c>
    </row>
    <row r="156" spans="1:11" ht="31.5" x14ac:dyDescent="0.25">
      <c r="A156" s="364" t="s">
        <v>240</v>
      </c>
      <c r="B156" s="365" t="s">
        <v>780</v>
      </c>
      <c r="C156" s="360" t="s">
        <v>187</v>
      </c>
      <c r="D156" s="360" t="s">
        <v>158</v>
      </c>
      <c r="E156" s="360"/>
      <c r="F156" s="360"/>
      <c r="G156" s="311">
        <f t="shared" si="21"/>
        <v>30618.400000000001</v>
      </c>
      <c r="H156" s="311">
        <f t="shared" si="21"/>
        <v>30618.400000000001</v>
      </c>
    </row>
    <row r="157" spans="1:11" ht="31.5" x14ac:dyDescent="0.25">
      <c r="A157" s="364" t="s">
        <v>191</v>
      </c>
      <c r="B157" s="365" t="s">
        <v>780</v>
      </c>
      <c r="C157" s="360" t="s">
        <v>187</v>
      </c>
      <c r="D157" s="360" t="s">
        <v>158</v>
      </c>
      <c r="E157" s="360" t="s">
        <v>192</v>
      </c>
      <c r="F157" s="360"/>
      <c r="G157" s="311">
        <f t="shared" si="21"/>
        <v>30618.400000000001</v>
      </c>
      <c r="H157" s="311">
        <f t="shared" si="21"/>
        <v>30618.400000000001</v>
      </c>
    </row>
    <row r="158" spans="1:11" ht="15.75" x14ac:dyDescent="0.25">
      <c r="A158" s="364" t="s">
        <v>193</v>
      </c>
      <c r="B158" s="365" t="s">
        <v>780</v>
      </c>
      <c r="C158" s="360" t="s">
        <v>187</v>
      </c>
      <c r="D158" s="360" t="s">
        <v>158</v>
      </c>
      <c r="E158" s="360" t="s">
        <v>194</v>
      </c>
      <c r="F158" s="360"/>
      <c r="G158" s="311">
        <f>'Пр.4.1 ведом.23-24 '!G684</f>
        <v>30618.400000000001</v>
      </c>
      <c r="H158" s="311">
        <f>'Пр.4.1 ведом.23-24 '!H684</f>
        <v>30618.400000000001</v>
      </c>
    </row>
    <row r="159" spans="1:11" ht="31.5" x14ac:dyDescent="0.25">
      <c r="A159" s="22" t="s">
        <v>235</v>
      </c>
      <c r="B159" s="365" t="s">
        <v>780</v>
      </c>
      <c r="C159" s="360" t="s">
        <v>187</v>
      </c>
      <c r="D159" s="360" t="s">
        <v>158</v>
      </c>
      <c r="E159" s="360" t="s">
        <v>194</v>
      </c>
      <c r="F159" s="360" t="s">
        <v>307</v>
      </c>
      <c r="G159" s="10">
        <f>G158</f>
        <v>30618.400000000001</v>
      </c>
      <c r="H159" s="10">
        <f>H158</f>
        <v>30618.400000000001</v>
      </c>
    </row>
    <row r="160" spans="1:11" ht="15.75" x14ac:dyDescent="0.25">
      <c r="A160" s="22" t="s">
        <v>188</v>
      </c>
      <c r="B160" s="360" t="s">
        <v>766</v>
      </c>
      <c r="C160" s="360" t="s">
        <v>187</v>
      </c>
      <c r="D160" s="360" t="s">
        <v>159</v>
      </c>
      <c r="E160" s="360"/>
      <c r="F160" s="360"/>
      <c r="G160" s="311">
        <f>G161+G165</f>
        <v>38490</v>
      </c>
      <c r="H160" s="311">
        <f>H161+H165</f>
        <v>38490</v>
      </c>
    </row>
    <row r="161" spans="1:10" ht="47.25" x14ac:dyDescent="0.25">
      <c r="A161" s="22" t="s">
        <v>190</v>
      </c>
      <c r="B161" s="365" t="s">
        <v>788</v>
      </c>
      <c r="C161" s="360" t="s">
        <v>187</v>
      </c>
      <c r="D161" s="360" t="s">
        <v>159</v>
      </c>
      <c r="E161" s="7"/>
      <c r="F161" s="7"/>
      <c r="G161" s="10">
        <f t="shared" ref="G161:H162" si="22">G162</f>
        <v>38490</v>
      </c>
      <c r="H161" s="10">
        <f t="shared" si="22"/>
        <v>38490</v>
      </c>
    </row>
    <row r="162" spans="1:10" ht="31.5" x14ac:dyDescent="0.25">
      <c r="A162" s="22" t="s">
        <v>191</v>
      </c>
      <c r="B162" s="365" t="s">
        <v>788</v>
      </c>
      <c r="C162" s="360" t="s">
        <v>187</v>
      </c>
      <c r="D162" s="360" t="s">
        <v>159</v>
      </c>
      <c r="E162" s="360" t="s">
        <v>192</v>
      </c>
      <c r="F162" s="360"/>
      <c r="G162" s="10">
        <f t="shared" si="22"/>
        <v>38490</v>
      </c>
      <c r="H162" s="10">
        <f t="shared" si="22"/>
        <v>38490</v>
      </c>
    </row>
    <row r="163" spans="1:10" ht="15.75" x14ac:dyDescent="0.25">
      <c r="A163" s="22" t="s">
        <v>193</v>
      </c>
      <c r="B163" s="365" t="s">
        <v>788</v>
      </c>
      <c r="C163" s="360" t="s">
        <v>187</v>
      </c>
      <c r="D163" s="360" t="s">
        <v>159</v>
      </c>
      <c r="E163" s="360" t="s">
        <v>194</v>
      </c>
      <c r="F163" s="360"/>
      <c r="G163" s="311">
        <f>'Пр.4.1 ведом.23-24 '!G773</f>
        <v>38490</v>
      </c>
      <c r="H163" s="311">
        <f>'Пр.4.1 ведом.23-24 '!H773</f>
        <v>38490</v>
      </c>
    </row>
    <row r="164" spans="1:10" ht="31.5" x14ac:dyDescent="0.25">
      <c r="A164" s="22" t="s">
        <v>235</v>
      </c>
      <c r="B164" s="365" t="s">
        <v>788</v>
      </c>
      <c r="C164" s="360" t="s">
        <v>187</v>
      </c>
      <c r="D164" s="360" t="s">
        <v>159</v>
      </c>
      <c r="E164" s="360" t="s">
        <v>194</v>
      </c>
      <c r="F164" s="360" t="s">
        <v>307</v>
      </c>
      <c r="G164" s="10">
        <f>G163</f>
        <v>38490</v>
      </c>
      <c r="H164" s="10">
        <f>H163</f>
        <v>38490</v>
      </c>
    </row>
    <row r="165" spans="1:10" ht="31.5" hidden="1" x14ac:dyDescent="0.25">
      <c r="A165" s="24" t="s">
        <v>968</v>
      </c>
      <c r="B165" s="365" t="s">
        <v>967</v>
      </c>
      <c r="C165" s="365" t="s">
        <v>187</v>
      </c>
      <c r="D165" s="365" t="s">
        <v>159</v>
      </c>
      <c r="E165" s="365"/>
      <c r="F165" s="360"/>
      <c r="G165" s="10">
        <f>G166</f>
        <v>0</v>
      </c>
      <c r="H165" s="10">
        <f>H166</f>
        <v>0</v>
      </c>
    </row>
    <row r="166" spans="1:10" ht="31.5" hidden="1" x14ac:dyDescent="0.25">
      <c r="A166" s="364" t="s">
        <v>191</v>
      </c>
      <c r="B166" s="365" t="s">
        <v>967</v>
      </c>
      <c r="C166" s="365" t="s">
        <v>187</v>
      </c>
      <c r="D166" s="365" t="s">
        <v>159</v>
      </c>
      <c r="E166" s="365" t="s">
        <v>192</v>
      </c>
      <c r="F166" s="360"/>
      <c r="G166" s="10">
        <f>G167</f>
        <v>0</v>
      </c>
      <c r="H166" s="10">
        <f>H167</f>
        <v>0</v>
      </c>
    </row>
    <row r="167" spans="1:10" ht="15.75" hidden="1" x14ac:dyDescent="0.25">
      <c r="A167" s="24" t="s">
        <v>193</v>
      </c>
      <c r="B167" s="365" t="s">
        <v>967</v>
      </c>
      <c r="C167" s="365" t="s">
        <v>187</v>
      </c>
      <c r="D167" s="365" t="s">
        <v>159</v>
      </c>
      <c r="E167" s="365" t="s">
        <v>194</v>
      </c>
      <c r="F167" s="360"/>
      <c r="G167" s="10">
        <f>'Пр.4 ведом.22'!G776</f>
        <v>0</v>
      </c>
      <c r="H167" s="10">
        <f>'Пр.4 ведом.22'!H776</f>
        <v>0</v>
      </c>
    </row>
    <row r="168" spans="1:10" ht="31.5" hidden="1" x14ac:dyDescent="0.25">
      <c r="A168" s="111" t="s">
        <v>235</v>
      </c>
      <c r="B168" s="365" t="s">
        <v>967</v>
      </c>
      <c r="C168" s="365" t="s">
        <v>187</v>
      </c>
      <c r="D168" s="365" t="s">
        <v>159</v>
      </c>
      <c r="E168" s="365" t="s">
        <v>194</v>
      </c>
      <c r="F168" s="360" t="s">
        <v>307</v>
      </c>
      <c r="G168" s="10">
        <f>G165</f>
        <v>0</v>
      </c>
      <c r="H168" s="10">
        <f>H165</f>
        <v>0</v>
      </c>
    </row>
    <row r="169" spans="1:10" ht="47.25" x14ac:dyDescent="0.25">
      <c r="A169" s="315" t="s">
        <v>471</v>
      </c>
      <c r="B169" s="316" t="s">
        <v>768</v>
      </c>
      <c r="C169" s="7"/>
      <c r="D169" s="7"/>
      <c r="E169" s="7"/>
      <c r="F169" s="7"/>
      <c r="G169" s="310">
        <f>G170</f>
        <v>220650.92</v>
      </c>
      <c r="H169" s="310">
        <f>H170</f>
        <v>178608.92</v>
      </c>
    </row>
    <row r="170" spans="1:10" ht="15.75" x14ac:dyDescent="0.25">
      <c r="A170" s="22" t="s">
        <v>186</v>
      </c>
      <c r="B170" s="360" t="s">
        <v>768</v>
      </c>
      <c r="C170" s="360" t="s">
        <v>187</v>
      </c>
      <c r="D170" s="360"/>
      <c r="E170" s="360"/>
      <c r="F170" s="360"/>
      <c r="G170" s="10">
        <f>G171+G180+G197</f>
        <v>220650.92</v>
      </c>
      <c r="H170" s="10">
        <f>H171+H180+H197</f>
        <v>178608.92</v>
      </c>
    </row>
    <row r="171" spans="1:10" ht="15.75" x14ac:dyDescent="0.25">
      <c r="A171" s="31" t="s">
        <v>236</v>
      </c>
      <c r="B171" s="360" t="s">
        <v>768</v>
      </c>
      <c r="C171" s="360" t="s">
        <v>187</v>
      </c>
      <c r="D171" s="360" t="s">
        <v>116</v>
      </c>
      <c r="E171" s="360"/>
      <c r="F171" s="360"/>
      <c r="G171" s="10">
        <f>G172+G176</f>
        <v>63608.810000000005</v>
      </c>
      <c r="H171" s="10">
        <f>H172+H176</f>
        <v>57657.810000000005</v>
      </c>
    </row>
    <row r="172" spans="1:10" ht="94.5" x14ac:dyDescent="0.25">
      <c r="A172" s="24" t="s">
        <v>200</v>
      </c>
      <c r="B172" s="365" t="s">
        <v>884</v>
      </c>
      <c r="C172" s="360" t="s">
        <v>187</v>
      </c>
      <c r="D172" s="360" t="s">
        <v>116</v>
      </c>
      <c r="E172" s="360"/>
      <c r="F172" s="360"/>
      <c r="G172" s="311">
        <f>G173</f>
        <v>3430</v>
      </c>
      <c r="H172" s="311">
        <f>H173</f>
        <v>3430</v>
      </c>
      <c r="J172" s="156"/>
    </row>
    <row r="173" spans="1:10" ht="31.5" x14ac:dyDescent="0.25">
      <c r="A173" s="364" t="s">
        <v>191</v>
      </c>
      <c r="B173" s="365" t="s">
        <v>884</v>
      </c>
      <c r="C173" s="360" t="s">
        <v>187</v>
      </c>
      <c r="D173" s="360" t="s">
        <v>116</v>
      </c>
      <c r="E173" s="360" t="s">
        <v>192</v>
      </c>
      <c r="F173" s="360"/>
      <c r="G173" s="311">
        <f>G174</f>
        <v>3430</v>
      </c>
      <c r="H173" s="311">
        <f>H174</f>
        <v>3430</v>
      </c>
    </row>
    <row r="174" spans="1:10" ht="15.75" x14ac:dyDescent="0.25">
      <c r="A174" s="364" t="s">
        <v>193</v>
      </c>
      <c r="B174" s="365" t="s">
        <v>884</v>
      </c>
      <c r="C174" s="360" t="s">
        <v>187</v>
      </c>
      <c r="D174" s="360" t="s">
        <v>116</v>
      </c>
      <c r="E174" s="360" t="s">
        <v>194</v>
      </c>
      <c r="F174" s="360"/>
      <c r="G174" s="311">
        <f>'Пр.4.1 ведом.23-24 '!G626</f>
        <v>3430</v>
      </c>
      <c r="H174" s="311">
        <f>'Пр.4.1 ведом.23-24 '!H626</f>
        <v>3430</v>
      </c>
    </row>
    <row r="175" spans="1:10" ht="31.5" x14ac:dyDescent="0.25">
      <c r="A175" s="22" t="s">
        <v>235</v>
      </c>
      <c r="B175" s="365" t="s">
        <v>884</v>
      </c>
      <c r="C175" s="360" t="s">
        <v>187</v>
      </c>
      <c r="D175" s="360" t="s">
        <v>116</v>
      </c>
      <c r="E175" s="360" t="s">
        <v>194</v>
      </c>
      <c r="F175" s="360" t="s">
        <v>307</v>
      </c>
      <c r="G175" s="10">
        <f>G174</f>
        <v>3430</v>
      </c>
      <c r="H175" s="10">
        <f>H174</f>
        <v>3430</v>
      </c>
    </row>
    <row r="176" spans="1:10" ht="47.25" x14ac:dyDescent="0.25">
      <c r="A176" s="399" t="s">
        <v>1147</v>
      </c>
      <c r="B176" s="365" t="s">
        <v>1148</v>
      </c>
      <c r="C176" s="360" t="s">
        <v>187</v>
      </c>
      <c r="D176" s="360" t="s">
        <v>116</v>
      </c>
      <c r="E176" s="360"/>
      <c r="F176" s="360"/>
      <c r="G176" s="311">
        <f>G177</f>
        <v>60178.810000000005</v>
      </c>
      <c r="H176" s="311">
        <f>H177</f>
        <v>54227.810000000005</v>
      </c>
      <c r="J176" s="156"/>
    </row>
    <row r="177" spans="1:10" ht="31.5" x14ac:dyDescent="0.25">
      <c r="A177" s="364" t="s">
        <v>191</v>
      </c>
      <c r="B177" s="365" t="s">
        <v>1148</v>
      </c>
      <c r="C177" s="360" t="s">
        <v>187</v>
      </c>
      <c r="D177" s="360" t="s">
        <v>116</v>
      </c>
      <c r="E177" s="360" t="s">
        <v>192</v>
      </c>
      <c r="F177" s="360"/>
      <c r="G177" s="311">
        <f>G178</f>
        <v>60178.810000000005</v>
      </c>
      <c r="H177" s="311">
        <f>H178</f>
        <v>54227.810000000005</v>
      </c>
      <c r="J177" s="156"/>
    </row>
    <row r="178" spans="1:10" ht="15.75" x14ac:dyDescent="0.25">
      <c r="A178" s="364" t="s">
        <v>193</v>
      </c>
      <c r="B178" s="365" t="s">
        <v>1148</v>
      </c>
      <c r="C178" s="360" t="s">
        <v>187</v>
      </c>
      <c r="D178" s="360" t="s">
        <v>116</v>
      </c>
      <c r="E178" s="360" t="s">
        <v>194</v>
      </c>
      <c r="F178" s="360"/>
      <c r="G178" s="311">
        <f>'Пр.4.1 ведом.23-24 '!G629</f>
        <v>60178.810000000005</v>
      </c>
      <c r="H178" s="311">
        <f>'Пр.4.1 ведом.23-24 '!H629</f>
        <v>54227.810000000005</v>
      </c>
    </row>
    <row r="179" spans="1:10" ht="31.5" x14ac:dyDescent="0.25">
      <c r="A179" s="22" t="s">
        <v>235</v>
      </c>
      <c r="B179" s="365" t="s">
        <v>1148</v>
      </c>
      <c r="C179" s="360" t="s">
        <v>187</v>
      </c>
      <c r="D179" s="360" t="s">
        <v>116</v>
      </c>
      <c r="E179" s="360" t="s">
        <v>194</v>
      </c>
      <c r="F179" s="360" t="s">
        <v>307</v>
      </c>
      <c r="G179" s="10">
        <f>G178</f>
        <v>60178.810000000005</v>
      </c>
      <c r="H179" s="10">
        <f>H178</f>
        <v>54227.810000000005</v>
      </c>
    </row>
    <row r="180" spans="1:10" ht="15.75" x14ac:dyDescent="0.25">
      <c r="A180" s="22" t="s">
        <v>239</v>
      </c>
      <c r="B180" s="360" t="s">
        <v>768</v>
      </c>
      <c r="C180" s="360" t="s">
        <v>187</v>
      </c>
      <c r="D180" s="360" t="s">
        <v>158</v>
      </c>
      <c r="E180" s="360"/>
      <c r="F180" s="360"/>
      <c r="G180" s="10">
        <f>G181+G185+G189+G193</f>
        <v>154802.51</v>
      </c>
      <c r="H180" s="10">
        <f>H181+H185+H189+H193</f>
        <v>118711.51</v>
      </c>
    </row>
    <row r="181" spans="1:10" ht="63" x14ac:dyDescent="0.25">
      <c r="A181" s="364" t="s">
        <v>886</v>
      </c>
      <c r="B181" s="365" t="s">
        <v>887</v>
      </c>
      <c r="C181" s="360" t="s">
        <v>187</v>
      </c>
      <c r="D181" s="360" t="s">
        <v>158</v>
      </c>
      <c r="E181" s="360"/>
      <c r="F181" s="360"/>
      <c r="G181" s="10">
        <f>G182</f>
        <v>7421.4</v>
      </c>
      <c r="H181" s="10">
        <f>H182</f>
        <v>7421.4</v>
      </c>
    </row>
    <row r="182" spans="1:10" ht="31.5" x14ac:dyDescent="0.25">
      <c r="A182" s="364" t="s">
        <v>191</v>
      </c>
      <c r="B182" s="365" t="s">
        <v>887</v>
      </c>
      <c r="C182" s="360" t="s">
        <v>187</v>
      </c>
      <c r="D182" s="360" t="s">
        <v>158</v>
      </c>
      <c r="E182" s="360" t="s">
        <v>192</v>
      </c>
      <c r="F182" s="360"/>
      <c r="G182" s="10">
        <f>G183</f>
        <v>7421.4</v>
      </c>
      <c r="H182" s="10">
        <f>H183</f>
        <v>7421.4</v>
      </c>
    </row>
    <row r="183" spans="1:10" ht="15.75" x14ac:dyDescent="0.25">
      <c r="A183" s="364" t="s">
        <v>193</v>
      </c>
      <c r="B183" s="365" t="s">
        <v>887</v>
      </c>
      <c r="C183" s="360" t="s">
        <v>187</v>
      </c>
      <c r="D183" s="360" t="s">
        <v>158</v>
      </c>
      <c r="E183" s="360" t="s">
        <v>194</v>
      </c>
      <c r="F183" s="360"/>
      <c r="G183" s="10">
        <f>'Пр.4.1 ведом.23-24 '!G688</f>
        <v>7421.4</v>
      </c>
      <c r="H183" s="10">
        <f>'Пр.4.1 ведом.23-24 '!H688</f>
        <v>7421.4</v>
      </c>
    </row>
    <row r="184" spans="1:10" ht="31.5" x14ac:dyDescent="0.25">
      <c r="A184" s="31" t="s">
        <v>235</v>
      </c>
      <c r="B184" s="365" t="s">
        <v>887</v>
      </c>
      <c r="C184" s="360" t="s">
        <v>187</v>
      </c>
      <c r="D184" s="360" t="s">
        <v>158</v>
      </c>
      <c r="E184" s="360" t="s">
        <v>194</v>
      </c>
      <c r="F184" s="360" t="s">
        <v>307</v>
      </c>
      <c r="G184" s="10">
        <f>G181</f>
        <v>7421.4</v>
      </c>
      <c r="H184" s="10">
        <f>H181</f>
        <v>7421.4</v>
      </c>
    </row>
    <row r="185" spans="1:10" ht="94.5" x14ac:dyDescent="0.25">
      <c r="A185" s="24" t="s">
        <v>245</v>
      </c>
      <c r="B185" s="365" t="s">
        <v>884</v>
      </c>
      <c r="C185" s="360" t="s">
        <v>187</v>
      </c>
      <c r="D185" s="360" t="s">
        <v>158</v>
      </c>
      <c r="E185" s="360"/>
      <c r="F185" s="360"/>
      <c r="G185" s="311">
        <f>G186</f>
        <v>5001</v>
      </c>
      <c r="H185" s="311">
        <f>H186</f>
        <v>5001</v>
      </c>
    </row>
    <row r="186" spans="1:10" ht="31.5" x14ac:dyDescent="0.25">
      <c r="A186" s="364" t="s">
        <v>191</v>
      </c>
      <c r="B186" s="365" t="s">
        <v>884</v>
      </c>
      <c r="C186" s="360" t="s">
        <v>187</v>
      </c>
      <c r="D186" s="360" t="s">
        <v>158</v>
      </c>
      <c r="E186" s="360" t="s">
        <v>192</v>
      </c>
      <c r="F186" s="360"/>
      <c r="G186" s="311">
        <f>G187</f>
        <v>5001</v>
      </c>
      <c r="H186" s="311">
        <f>H187</f>
        <v>5001</v>
      </c>
    </row>
    <row r="187" spans="1:10" ht="15.75" x14ac:dyDescent="0.25">
      <c r="A187" s="364" t="s">
        <v>193</v>
      </c>
      <c r="B187" s="365" t="s">
        <v>884</v>
      </c>
      <c r="C187" s="360" t="s">
        <v>187</v>
      </c>
      <c r="D187" s="360" t="s">
        <v>158</v>
      </c>
      <c r="E187" s="360" t="s">
        <v>194</v>
      </c>
      <c r="F187" s="360"/>
      <c r="G187" s="311">
        <f>'Пр.4.1 ведом.23-24 '!G691</f>
        <v>5001</v>
      </c>
      <c r="H187" s="311">
        <f>'Пр.4.1 ведом.23-24 '!H691</f>
        <v>5001</v>
      </c>
    </row>
    <row r="188" spans="1:10" ht="31.5" x14ac:dyDescent="0.25">
      <c r="A188" s="22" t="s">
        <v>235</v>
      </c>
      <c r="B188" s="365" t="s">
        <v>884</v>
      </c>
      <c r="C188" s="360" t="s">
        <v>187</v>
      </c>
      <c r="D188" s="360" t="s">
        <v>158</v>
      </c>
      <c r="E188" s="360" t="s">
        <v>194</v>
      </c>
      <c r="F188" s="360" t="s">
        <v>307</v>
      </c>
      <c r="G188" s="10">
        <f>G187</f>
        <v>5001</v>
      </c>
      <c r="H188" s="10">
        <f>H187</f>
        <v>5001</v>
      </c>
    </row>
    <row r="189" spans="1:10" ht="47.25" x14ac:dyDescent="0.25">
      <c r="A189" s="24" t="s">
        <v>244</v>
      </c>
      <c r="B189" s="365" t="s">
        <v>781</v>
      </c>
      <c r="C189" s="360" t="s">
        <v>187</v>
      </c>
      <c r="D189" s="360" t="s">
        <v>158</v>
      </c>
      <c r="E189" s="360"/>
      <c r="F189" s="360"/>
      <c r="G189" s="311">
        <f>G190</f>
        <v>909.3</v>
      </c>
      <c r="H189" s="311">
        <f>H190</f>
        <v>909.3</v>
      </c>
    </row>
    <row r="190" spans="1:10" ht="31.5" x14ac:dyDescent="0.25">
      <c r="A190" s="364" t="s">
        <v>191</v>
      </c>
      <c r="B190" s="365" t="s">
        <v>781</v>
      </c>
      <c r="C190" s="360" t="s">
        <v>187</v>
      </c>
      <c r="D190" s="360" t="s">
        <v>158</v>
      </c>
      <c r="E190" s="360" t="s">
        <v>192</v>
      </c>
      <c r="F190" s="360"/>
      <c r="G190" s="311">
        <f>G191</f>
        <v>909.3</v>
      </c>
      <c r="H190" s="311">
        <f>H191</f>
        <v>909.3</v>
      </c>
    </row>
    <row r="191" spans="1:10" ht="15.75" x14ac:dyDescent="0.25">
      <c r="A191" s="364" t="s">
        <v>193</v>
      </c>
      <c r="B191" s="365" t="s">
        <v>781</v>
      </c>
      <c r="C191" s="360" t="s">
        <v>187</v>
      </c>
      <c r="D191" s="360" t="s">
        <v>158</v>
      </c>
      <c r="E191" s="360" t="s">
        <v>194</v>
      </c>
      <c r="F191" s="360"/>
      <c r="G191" s="311">
        <f>'Пр.4.1 ведом.23-24 '!G694</f>
        <v>909.3</v>
      </c>
      <c r="H191" s="311">
        <f>'Пр.4.1 ведом.23-24 '!H694</f>
        <v>909.3</v>
      </c>
    </row>
    <row r="192" spans="1:10" ht="31.5" x14ac:dyDescent="0.25">
      <c r="A192" s="22" t="s">
        <v>235</v>
      </c>
      <c r="B192" s="365" t="s">
        <v>781</v>
      </c>
      <c r="C192" s="360" t="s">
        <v>187</v>
      </c>
      <c r="D192" s="360" t="s">
        <v>158</v>
      </c>
      <c r="E192" s="360" t="s">
        <v>194</v>
      </c>
      <c r="F192" s="360" t="s">
        <v>307</v>
      </c>
      <c r="G192" s="10">
        <f>G191</f>
        <v>909.3</v>
      </c>
      <c r="H192" s="10">
        <f>H191</f>
        <v>909.3</v>
      </c>
    </row>
    <row r="193" spans="1:8" ht="47.25" x14ac:dyDescent="0.25">
      <c r="A193" s="399" t="s">
        <v>1147</v>
      </c>
      <c r="B193" s="365" t="s">
        <v>1148</v>
      </c>
      <c r="C193" s="360" t="s">
        <v>187</v>
      </c>
      <c r="D193" s="360" t="s">
        <v>158</v>
      </c>
      <c r="E193" s="360"/>
      <c r="F193" s="360"/>
      <c r="G193" s="311">
        <f>G194</f>
        <v>141470.81</v>
      </c>
      <c r="H193" s="311">
        <f>H194</f>
        <v>105379.81</v>
      </c>
    </row>
    <row r="194" spans="1:8" ht="31.5" x14ac:dyDescent="0.25">
      <c r="A194" s="364" t="s">
        <v>191</v>
      </c>
      <c r="B194" s="365" t="s">
        <v>1148</v>
      </c>
      <c r="C194" s="360" t="s">
        <v>187</v>
      </c>
      <c r="D194" s="360" t="s">
        <v>158</v>
      </c>
      <c r="E194" s="360" t="s">
        <v>192</v>
      </c>
      <c r="F194" s="360"/>
      <c r="G194" s="311">
        <f>G195</f>
        <v>141470.81</v>
      </c>
      <c r="H194" s="311">
        <f>H195</f>
        <v>105379.81</v>
      </c>
    </row>
    <row r="195" spans="1:8" ht="15.75" x14ac:dyDescent="0.25">
      <c r="A195" s="364" t="s">
        <v>193</v>
      </c>
      <c r="B195" s="365" t="s">
        <v>1148</v>
      </c>
      <c r="C195" s="360" t="s">
        <v>187</v>
      </c>
      <c r="D195" s="360" t="s">
        <v>158</v>
      </c>
      <c r="E195" s="360" t="s">
        <v>194</v>
      </c>
      <c r="F195" s="360"/>
      <c r="G195" s="311">
        <f>'Пр.4.1 ведом.23-24 '!G697</f>
        <v>141470.81</v>
      </c>
      <c r="H195" s="311">
        <f>'Пр.4.1 ведом.23-24 '!H697</f>
        <v>105379.81</v>
      </c>
    </row>
    <row r="196" spans="1:8" ht="31.5" x14ac:dyDescent="0.25">
      <c r="A196" s="22" t="s">
        <v>235</v>
      </c>
      <c r="B196" s="365" t="s">
        <v>1148</v>
      </c>
      <c r="C196" s="360" t="s">
        <v>187</v>
      </c>
      <c r="D196" s="360" t="s">
        <v>158</v>
      </c>
      <c r="E196" s="360" t="s">
        <v>194</v>
      </c>
      <c r="F196" s="360" t="s">
        <v>307</v>
      </c>
      <c r="G196" s="10">
        <f>G195</f>
        <v>141470.81</v>
      </c>
      <c r="H196" s="10">
        <f>H195</f>
        <v>105379.81</v>
      </c>
    </row>
    <row r="197" spans="1:8" ht="15.75" x14ac:dyDescent="0.25">
      <c r="A197" s="22" t="s">
        <v>188</v>
      </c>
      <c r="B197" s="360" t="s">
        <v>768</v>
      </c>
      <c r="C197" s="360" t="s">
        <v>187</v>
      </c>
      <c r="D197" s="360" t="s">
        <v>159</v>
      </c>
      <c r="E197" s="360"/>
      <c r="F197" s="360"/>
      <c r="G197" s="311">
        <f>G198+G202</f>
        <v>2239.6</v>
      </c>
      <c r="H197" s="311">
        <f>H198+H202</f>
        <v>2239.6</v>
      </c>
    </row>
    <row r="198" spans="1:8" ht="94.5" x14ac:dyDescent="0.25">
      <c r="A198" s="24" t="s">
        <v>200</v>
      </c>
      <c r="B198" s="365" t="s">
        <v>884</v>
      </c>
      <c r="C198" s="360" t="s">
        <v>187</v>
      </c>
      <c r="D198" s="360" t="s">
        <v>159</v>
      </c>
      <c r="E198" s="360"/>
      <c r="F198" s="360"/>
      <c r="G198" s="311">
        <f>G199</f>
        <v>1480</v>
      </c>
      <c r="H198" s="311">
        <f>H199</f>
        <v>1480</v>
      </c>
    </row>
    <row r="199" spans="1:8" ht="31.5" x14ac:dyDescent="0.25">
      <c r="A199" s="364" t="s">
        <v>191</v>
      </c>
      <c r="B199" s="365" t="s">
        <v>884</v>
      </c>
      <c r="C199" s="360" t="s">
        <v>187</v>
      </c>
      <c r="D199" s="360" t="s">
        <v>159</v>
      </c>
      <c r="E199" s="360" t="s">
        <v>192</v>
      </c>
      <c r="F199" s="360"/>
      <c r="G199" s="311">
        <f>G200</f>
        <v>1480</v>
      </c>
      <c r="H199" s="311">
        <f>H200</f>
        <v>1480</v>
      </c>
    </row>
    <row r="200" spans="1:8" ht="15.75" x14ac:dyDescent="0.25">
      <c r="A200" s="364" t="s">
        <v>193</v>
      </c>
      <c r="B200" s="365" t="s">
        <v>884</v>
      </c>
      <c r="C200" s="360" t="s">
        <v>187</v>
      </c>
      <c r="D200" s="360" t="s">
        <v>159</v>
      </c>
      <c r="E200" s="360" t="s">
        <v>194</v>
      </c>
      <c r="F200" s="360"/>
      <c r="G200" s="311">
        <f>'Пр.4.1 ведом.23-24 '!G780</f>
        <v>1480</v>
      </c>
      <c r="H200" s="311">
        <f>'Пр.4.1 ведом.23-24 '!H780</f>
        <v>1480</v>
      </c>
    </row>
    <row r="201" spans="1:8" ht="31.5" x14ac:dyDescent="0.25">
      <c r="A201" s="22" t="s">
        <v>235</v>
      </c>
      <c r="B201" s="365" t="s">
        <v>884</v>
      </c>
      <c r="C201" s="360" t="s">
        <v>187</v>
      </c>
      <c r="D201" s="360" t="s">
        <v>159</v>
      </c>
      <c r="E201" s="360" t="s">
        <v>194</v>
      </c>
      <c r="F201" s="360" t="s">
        <v>307</v>
      </c>
      <c r="G201" s="10">
        <f>G200</f>
        <v>1480</v>
      </c>
      <c r="H201" s="10">
        <f>H200</f>
        <v>1480</v>
      </c>
    </row>
    <row r="202" spans="1:8" ht="47.25" x14ac:dyDescent="0.25">
      <c r="A202" s="399" t="s">
        <v>1147</v>
      </c>
      <c r="B202" s="365" t="s">
        <v>1148</v>
      </c>
      <c r="C202" s="360" t="s">
        <v>187</v>
      </c>
      <c r="D202" s="360" t="s">
        <v>159</v>
      </c>
      <c r="E202" s="360"/>
      <c r="F202" s="360"/>
      <c r="G202" s="311">
        <f>G203</f>
        <v>759.59999999999991</v>
      </c>
      <c r="H202" s="311">
        <f>H203</f>
        <v>759.59999999999991</v>
      </c>
    </row>
    <row r="203" spans="1:8" ht="31.5" x14ac:dyDescent="0.25">
      <c r="A203" s="364" t="s">
        <v>191</v>
      </c>
      <c r="B203" s="365" t="s">
        <v>1148</v>
      </c>
      <c r="C203" s="360" t="s">
        <v>187</v>
      </c>
      <c r="D203" s="360" t="s">
        <v>159</v>
      </c>
      <c r="E203" s="360" t="s">
        <v>192</v>
      </c>
      <c r="F203" s="360"/>
      <c r="G203" s="311">
        <f>G204</f>
        <v>759.59999999999991</v>
      </c>
      <c r="H203" s="311">
        <f>H204</f>
        <v>759.59999999999991</v>
      </c>
    </row>
    <row r="204" spans="1:8" ht="15.75" x14ac:dyDescent="0.25">
      <c r="A204" s="364" t="s">
        <v>193</v>
      </c>
      <c r="B204" s="365" t="s">
        <v>1148</v>
      </c>
      <c r="C204" s="360" t="s">
        <v>187</v>
      </c>
      <c r="D204" s="360" t="s">
        <v>159</v>
      </c>
      <c r="E204" s="360" t="s">
        <v>194</v>
      </c>
      <c r="F204" s="360"/>
      <c r="G204" s="311">
        <f>'Пр.4.1 ведом.23-24 '!G783</f>
        <v>759.59999999999991</v>
      </c>
      <c r="H204" s="311">
        <f>'Пр.4.1 ведом.23-24 '!H783</f>
        <v>759.59999999999991</v>
      </c>
    </row>
    <row r="205" spans="1:8" ht="31.5" x14ac:dyDescent="0.25">
      <c r="A205" s="22" t="s">
        <v>235</v>
      </c>
      <c r="B205" s="365" t="s">
        <v>1148</v>
      </c>
      <c r="C205" s="360" t="s">
        <v>187</v>
      </c>
      <c r="D205" s="360" t="s">
        <v>159</v>
      </c>
      <c r="E205" s="360" t="s">
        <v>194</v>
      </c>
      <c r="F205" s="360" t="s">
        <v>307</v>
      </c>
      <c r="G205" s="10">
        <f>G204</f>
        <v>759.59999999999991</v>
      </c>
      <c r="H205" s="10">
        <f>H204</f>
        <v>759.59999999999991</v>
      </c>
    </row>
    <row r="206" spans="1:8" ht="31.5" x14ac:dyDescent="0.25">
      <c r="A206" s="315" t="s">
        <v>809</v>
      </c>
      <c r="B206" s="316" t="s">
        <v>770</v>
      </c>
      <c r="C206" s="7"/>
      <c r="D206" s="7"/>
      <c r="E206" s="7"/>
      <c r="F206" s="7"/>
      <c r="G206" s="38">
        <f>G207+G221</f>
        <v>4958</v>
      </c>
      <c r="H206" s="38">
        <f>H207+H221</f>
        <v>4958</v>
      </c>
    </row>
    <row r="207" spans="1:8" ht="15.75" x14ac:dyDescent="0.25">
      <c r="A207" s="22" t="s">
        <v>186</v>
      </c>
      <c r="B207" s="365" t="s">
        <v>770</v>
      </c>
      <c r="C207" s="360" t="s">
        <v>187</v>
      </c>
      <c r="D207" s="360"/>
      <c r="E207" s="360"/>
      <c r="F207" s="360"/>
      <c r="G207" s="10">
        <f t="shared" ref="G207:H207" si="23">G208</f>
        <v>4749.3999999999996</v>
      </c>
      <c r="H207" s="10">
        <f t="shared" si="23"/>
        <v>4749.3999999999996</v>
      </c>
    </row>
    <row r="208" spans="1:8" ht="15.75" x14ac:dyDescent="0.25">
      <c r="A208" s="31" t="s">
        <v>236</v>
      </c>
      <c r="B208" s="365" t="s">
        <v>770</v>
      </c>
      <c r="C208" s="360" t="s">
        <v>187</v>
      </c>
      <c r="D208" s="360" t="s">
        <v>116</v>
      </c>
      <c r="E208" s="360"/>
      <c r="F208" s="360"/>
      <c r="G208" s="10">
        <f>G209+G213+G217</f>
        <v>4749.3999999999996</v>
      </c>
      <c r="H208" s="10">
        <f>H209+H213+H217</f>
        <v>4749.3999999999996</v>
      </c>
    </row>
    <row r="209" spans="1:8" ht="31.5" hidden="1" x14ac:dyDescent="0.25">
      <c r="A209" s="22" t="s">
        <v>195</v>
      </c>
      <c r="B209" s="365" t="s">
        <v>826</v>
      </c>
      <c r="C209" s="360" t="s">
        <v>187</v>
      </c>
      <c r="D209" s="360" t="s">
        <v>116</v>
      </c>
      <c r="E209" s="360"/>
      <c r="F209" s="360"/>
      <c r="G209" s="10">
        <f t="shared" ref="G209:H210" si="24">G210</f>
        <v>0</v>
      </c>
      <c r="H209" s="10">
        <f t="shared" si="24"/>
        <v>0</v>
      </c>
    </row>
    <row r="210" spans="1:8" ht="31.5" hidden="1" x14ac:dyDescent="0.25">
      <c r="A210" s="22" t="s">
        <v>191</v>
      </c>
      <c r="B210" s="365" t="s">
        <v>826</v>
      </c>
      <c r="C210" s="360" t="s">
        <v>187</v>
      </c>
      <c r="D210" s="360" t="s">
        <v>116</v>
      </c>
      <c r="E210" s="360" t="s">
        <v>192</v>
      </c>
      <c r="F210" s="360"/>
      <c r="G210" s="10">
        <f t="shared" si="24"/>
        <v>0</v>
      </c>
      <c r="H210" s="10">
        <f t="shared" si="24"/>
        <v>0</v>
      </c>
    </row>
    <row r="211" spans="1:8" ht="15.75" hidden="1" x14ac:dyDescent="0.25">
      <c r="A211" s="22" t="s">
        <v>193</v>
      </c>
      <c r="B211" s="365" t="s">
        <v>826</v>
      </c>
      <c r="C211" s="360" t="s">
        <v>187</v>
      </c>
      <c r="D211" s="360" t="s">
        <v>116</v>
      </c>
      <c r="E211" s="360" t="s">
        <v>194</v>
      </c>
      <c r="F211" s="360"/>
      <c r="G211" s="10">
        <f>'Пр.4 ведом.22'!G633</f>
        <v>0</v>
      </c>
      <c r="H211" s="10">
        <f>'Пр.4 ведом.22'!H633</f>
        <v>0</v>
      </c>
    </row>
    <row r="212" spans="1:8" ht="31.5" hidden="1" x14ac:dyDescent="0.25">
      <c r="A212" s="22" t="s">
        <v>235</v>
      </c>
      <c r="B212" s="365" t="s">
        <v>826</v>
      </c>
      <c r="C212" s="360" t="s">
        <v>187</v>
      </c>
      <c r="D212" s="360" t="s">
        <v>116</v>
      </c>
      <c r="E212" s="360" t="s">
        <v>194</v>
      </c>
      <c r="F212" s="360" t="s">
        <v>307</v>
      </c>
      <c r="G212" s="10">
        <f>G211</f>
        <v>0</v>
      </c>
      <c r="H212" s="10">
        <f>H211</f>
        <v>0</v>
      </c>
    </row>
    <row r="213" spans="1:8" ht="31.7" hidden="1" customHeight="1" x14ac:dyDescent="0.25">
      <c r="A213" s="22" t="s">
        <v>196</v>
      </c>
      <c r="B213" s="365" t="s">
        <v>827</v>
      </c>
      <c r="C213" s="360" t="s">
        <v>187</v>
      </c>
      <c r="D213" s="360" t="s">
        <v>116</v>
      </c>
      <c r="E213" s="360"/>
      <c r="F213" s="360"/>
      <c r="G213" s="10">
        <f t="shared" ref="G213:H214" si="25">G214</f>
        <v>0</v>
      </c>
      <c r="H213" s="10">
        <f t="shared" si="25"/>
        <v>0</v>
      </c>
    </row>
    <row r="214" spans="1:8" ht="31.7" hidden="1" customHeight="1" x14ac:dyDescent="0.25">
      <c r="A214" s="22" t="s">
        <v>191</v>
      </c>
      <c r="B214" s="365" t="s">
        <v>827</v>
      </c>
      <c r="C214" s="360" t="s">
        <v>187</v>
      </c>
      <c r="D214" s="360" t="s">
        <v>116</v>
      </c>
      <c r="E214" s="360" t="s">
        <v>192</v>
      </c>
      <c r="F214" s="360"/>
      <c r="G214" s="10">
        <f t="shared" si="25"/>
        <v>0</v>
      </c>
      <c r="H214" s="10">
        <f t="shared" si="25"/>
        <v>0</v>
      </c>
    </row>
    <row r="215" spans="1:8" ht="15.75" hidden="1" customHeight="1" x14ac:dyDescent="0.25">
      <c r="A215" s="22" t="s">
        <v>193</v>
      </c>
      <c r="B215" s="365" t="s">
        <v>827</v>
      </c>
      <c r="C215" s="360" t="s">
        <v>187</v>
      </c>
      <c r="D215" s="360" t="s">
        <v>116</v>
      </c>
      <c r="E215" s="360" t="s">
        <v>194</v>
      </c>
      <c r="F215" s="360"/>
      <c r="G215" s="10">
        <f>'Пр.4 ведом.22'!G636</f>
        <v>0</v>
      </c>
      <c r="H215" s="10">
        <f>'Пр.4 ведом.22'!H636</f>
        <v>0</v>
      </c>
    </row>
    <row r="216" spans="1:8" ht="35.450000000000003" hidden="1" customHeight="1" x14ac:dyDescent="0.25">
      <c r="A216" s="22" t="s">
        <v>235</v>
      </c>
      <c r="B216" s="365" t="s">
        <v>827</v>
      </c>
      <c r="C216" s="360" t="s">
        <v>187</v>
      </c>
      <c r="D216" s="360" t="s">
        <v>116</v>
      </c>
      <c r="E216" s="360" t="s">
        <v>194</v>
      </c>
      <c r="F216" s="360" t="s">
        <v>307</v>
      </c>
      <c r="G216" s="10">
        <f>G215</f>
        <v>0</v>
      </c>
      <c r="H216" s="10">
        <f>H215</f>
        <v>0</v>
      </c>
    </row>
    <row r="217" spans="1:8" ht="31.5" x14ac:dyDescent="0.25">
      <c r="A217" s="22" t="s">
        <v>238</v>
      </c>
      <c r="B217" s="365" t="s">
        <v>771</v>
      </c>
      <c r="C217" s="360" t="s">
        <v>187</v>
      </c>
      <c r="D217" s="360" t="s">
        <v>116</v>
      </c>
      <c r="E217" s="360"/>
      <c r="F217" s="360"/>
      <c r="G217" s="10">
        <f t="shared" ref="G217:H218" si="26">G218</f>
        <v>4749.3999999999996</v>
      </c>
      <c r="H217" s="10">
        <f t="shared" si="26"/>
        <v>4749.3999999999996</v>
      </c>
    </row>
    <row r="218" spans="1:8" ht="33.75" customHeight="1" x14ac:dyDescent="0.25">
      <c r="A218" s="22" t="s">
        <v>191</v>
      </c>
      <c r="B218" s="365" t="s">
        <v>771</v>
      </c>
      <c r="C218" s="360" t="s">
        <v>187</v>
      </c>
      <c r="D218" s="360" t="s">
        <v>116</v>
      </c>
      <c r="E218" s="360" t="s">
        <v>192</v>
      </c>
      <c r="F218" s="360"/>
      <c r="G218" s="10">
        <f t="shared" si="26"/>
        <v>4749.3999999999996</v>
      </c>
      <c r="H218" s="10">
        <f t="shared" si="26"/>
        <v>4749.3999999999996</v>
      </c>
    </row>
    <row r="219" spans="1:8" ht="15.75" x14ac:dyDescent="0.25">
      <c r="A219" s="22" t="s">
        <v>193</v>
      </c>
      <c r="B219" s="365" t="s">
        <v>771</v>
      </c>
      <c r="C219" s="360" t="s">
        <v>187</v>
      </c>
      <c r="D219" s="360" t="s">
        <v>116</v>
      </c>
      <c r="E219" s="360" t="s">
        <v>194</v>
      </c>
      <c r="F219" s="360"/>
      <c r="G219" s="311">
        <f>'Пр.4.1 ведом.23-24 '!G639</f>
        <v>4749.3999999999996</v>
      </c>
      <c r="H219" s="311">
        <f>'Пр.4.1 ведом.23-24 '!H639</f>
        <v>4749.3999999999996</v>
      </c>
    </row>
    <row r="220" spans="1:8" ht="31.5" x14ac:dyDescent="0.25">
      <c r="A220" s="22" t="s">
        <v>235</v>
      </c>
      <c r="B220" s="365" t="s">
        <v>771</v>
      </c>
      <c r="C220" s="360" t="s">
        <v>187</v>
      </c>
      <c r="D220" s="360" t="s">
        <v>116</v>
      </c>
      <c r="E220" s="360" t="s">
        <v>194</v>
      </c>
      <c r="F220" s="360" t="s">
        <v>307</v>
      </c>
      <c r="G220" s="10">
        <f>G219</f>
        <v>4749.3999999999996</v>
      </c>
      <c r="H220" s="10">
        <f>H219</f>
        <v>4749.3999999999996</v>
      </c>
    </row>
    <row r="221" spans="1:8" ht="15.75" x14ac:dyDescent="0.25">
      <c r="A221" s="22" t="s">
        <v>186</v>
      </c>
      <c r="B221" s="360" t="s">
        <v>770</v>
      </c>
      <c r="C221" s="360" t="s">
        <v>187</v>
      </c>
      <c r="D221" s="360"/>
      <c r="E221" s="360"/>
      <c r="F221" s="360"/>
      <c r="G221" s="10">
        <f t="shared" ref="G221:H221" si="27">G222</f>
        <v>208.6</v>
      </c>
      <c r="H221" s="10">
        <f t="shared" si="27"/>
        <v>208.6</v>
      </c>
    </row>
    <row r="222" spans="1:8" ht="15.75" x14ac:dyDescent="0.25">
      <c r="A222" s="22" t="s">
        <v>239</v>
      </c>
      <c r="B222" s="360" t="s">
        <v>770</v>
      </c>
      <c r="C222" s="360" t="s">
        <v>187</v>
      </c>
      <c r="D222" s="360" t="s">
        <v>158</v>
      </c>
      <c r="E222" s="360"/>
      <c r="F222" s="360"/>
      <c r="G222" s="10">
        <f>G223+G227+G231+G235</f>
        <v>208.6</v>
      </c>
      <c r="H222" s="10">
        <f>H235</f>
        <v>208.6</v>
      </c>
    </row>
    <row r="223" spans="1:8" ht="47.25" hidden="1" x14ac:dyDescent="0.25">
      <c r="A223" s="364" t="s">
        <v>367</v>
      </c>
      <c r="B223" s="365" t="s">
        <v>825</v>
      </c>
      <c r="C223" s="360" t="s">
        <v>187</v>
      </c>
      <c r="D223" s="360" t="s">
        <v>158</v>
      </c>
      <c r="E223" s="360"/>
      <c r="F223" s="360"/>
      <c r="G223" s="311">
        <f>G224</f>
        <v>0</v>
      </c>
      <c r="H223" s="311">
        <f>H224</f>
        <v>0</v>
      </c>
    </row>
    <row r="224" spans="1:8" ht="31.5" hidden="1" x14ac:dyDescent="0.25">
      <c r="A224" s="364" t="s">
        <v>191</v>
      </c>
      <c r="B224" s="365" t="s">
        <v>825</v>
      </c>
      <c r="C224" s="360" t="s">
        <v>187</v>
      </c>
      <c r="D224" s="360" t="s">
        <v>158</v>
      </c>
      <c r="E224" s="360" t="s">
        <v>192</v>
      </c>
      <c r="F224" s="360"/>
      <c r="G224" s="311">
        <f>G225</f>
        <v>0</v>
      </c>
      <c r="H224" s="311">
        <f>H225</f>
        <v>0</v>
      </c>
    </row>
    <row r="225" spans="1:8" ht="15.75" hidden="1" x14ac:dyDescent="0.25">
      <c r="A225" s="364" t="s">
        <v>193</v>
      </c>
      <c r="B225" s="365" t="s">
        <v>825</v>
      </c>
      <c r="C225" s="360" t="s">
        <v>187</v>
      </c>
      <c r="D225" s="360" t="s">
        <v>158</v>
      </c>
      <c r="E225" s="360" t="s">
        <v>194</v>
      </c>
      <c r="F225" s="360"/>
      <c r="G225" s="311">
        <f>'Пр.4 ведом.22'!G701</f>
        <v>0</v>
      </c>
      <c r="H225" s="311">
        <v>0</v>
      </c>
    </row>
    <row r="226" spans="1:8" ht="31.5" hidden="1" x14ac:dyDescent="0.25">
      <c r="A226" s="22" t="s">
        <v>235</v>
      </c>
      <c r="B226" s="365" t="s">
        <v>825</v>
      </c>
      <c r="C226" s="360" t="s">
        <v>187</v>
      </c>
      <c r="D226" s="360" t="s">
        <v>158</v>
      </c>
      <c r="E226" s="360" t="s">
        <v>194</v>
      </c>
      <c r="F226" s="360" t="s">
        <v>307</v>
      </c>
      <c r="G226" s="10">
        <f>G225</f>
        <v>0</v>
      </c>
      <c r="H226" s="10">
        <f>H225</f>
        <v>0</v>
      </c>
    </row>
    <row r="227" spans="1:8" ht="31.5" hidden="1" x14ac:dyDescent="0.25">
      <c r="A227" s="364" t="s">
        <v>195</v>
      </c>
      <c r="B227" s="365" t="s">
        <v>826</v>
      </c>
      <c r="C227" s="360" t="s">
        <v>187</v>
      </c>
      <c r="D227" s="360" t="s">
        <v>158</v>
      </c>
      <c r="E227" s="360"/>
      <c r="F227" s="360"/>
      <c r="G227" s="311">
        <f t="shared" ref="G227:H228" si="28">G228</f>
        <v>0</v>
      </c>
      <c r="H227" s="311">
        <f t="shared" si="28"/>
        <v>0</v>
      </c>
    </row>
    <row r="228" spans="1:8" ht="31.5" hidden="1" x14ac:dyDescent="0.25">
      <c r="A228" s="364" t="s">
        <v>191</v>
      </c>
      <c r="B228" s="365" t="s">
        <v>826</v>
      </c>
      <c r="C228" s="360" t="s">
        <v>187</v>
      </c>
      <c r="D228" s="360" t="s">
        <v>158</v>
      </c>
      <c r="E228" s="360" t="s">
        <v>192</v>
      </c>
      <c r="F228" s="360"/>
      <c r="G228" s="311">
        <f t="shared" si="28"/>
        <v>0</v>
      </c>
      <c r="H228" s="311">
        <f t="shared" si="28"/>
        <v>0</v>
      </c>
    </row>
    <row r="229" spans="1:8" ht="15.75" hidden="1" x14ac:dyDescent="0.25">
      <c r="A229" s="364" t="s">
        <v>193</v>
      </c>
      <c r="B229" s="365" t="s">
        <v>826</v>
      </c>
      <c r="C229" s="360" t="s">
        <v>187</v>
      </c>
      <c r="D229" s="360" t="s">
        <v>158</v>
      </c>
      <c r="E229" s="360" t="s">
        <v>194</v>
      </c>
      <c r="F229" s="360"/>
      <c r="G229" s="311"/>
      <c r="H229" s="311"/>
    </row>
    <row r="230" spans="1:8" ht="31.5" hidden="1" x14ac:dyDescent="0.25">
      <c r="A230" s="22" t="s">
        <v>235</v>
      </c>
      <c r="B230" s="365" t="s">
        <v>826</v>
      </c>
      <c r="C230" s="360" t="s">
        <v>187</v>
      </c>
      <c r="D230" s="360" t="s">
        <v>158</v>
      </c>
      <c r="E230" s="360" t="s">
        <v>194</v>
      </c>
      <c r="F230" s="360" t="s">
        <v>307</v>
      </c>
      <c r="G230" s="10">
        <f>G229</f>
        <v>0</v>
      </c>
      <c r="H230" s="10">
        <f>H229</f>
        <v>0</v>
      </c>
    </row>
    <row r="231" spans="1:8" ht="31.5" hidden="1" x14ac:dyDescent="0.25">
      <c r="A231" s="364" t="s">
        <v>196</v>
      </c>
      <c r="B231" s="365" t="s">
        <v>827</v>
      </c>
      <c r="C231" s="360" t="s">
        <v>187</v>
      </c>
      <c r="D231" s="360" t="s">
        <v>158</v>
      </c>
      <c r="E231" s="360"/>
      <c r="F231" s="360"/>
      <c r="G231" s="311">
        <f t="shared" ref="G231:H232" si="29">G232</f>
        <v>0</v>
      </c>
      <c r="H231" s="311">
        <f t="shared" si="29"/>
        <v>0</v>
      </c>
    </row>
    <row r="232" spans="1:8" ht="31.5" hidden="1" x14ac:dyDescent="0.25">
      <c r="A232" s="364" t="s">
        <v>191</v>
      </c>
      <c r="B232" s="365" t="s">
        <v>827</v>
      </c>
      <c r="C232" s="360" t="s">
        <v>187</v>
      </c>
      <c r="D232" s="360" t="s">
        <v>158</v>
      </c>
      <c r="E232" s="360" t="s">
        <v>192</v>
      </c>
      <c r="F232" s="360"/>
      <c r="G232" s="311">
        <f t="shared" si="29"/>
        <v>0</v>
      </c>
      <c r="H232" s="311">
        <f t="shared" si="29"/>
        <v>0</v>
      </c>
    </row>
    <row r="233" spans="1:8" ht="15.75" hidden="1" x14ac:dyDescent="0.25">
      <c r="A233" s="364" t="s">
        <v>193</v>
      </c>
      <c r="B233" s="365" t="s">
        <v>827</v>
      </c>
      <c r="C233" s="360" t="s">
        <v>187</v>
      </c>
      <c r="D233" s="360" t="s">
        <v>158</v>
      </c>
      <c r="E233" s="360" t="s">
        <v>194</v>
      </c>
      <c r="F233" s="360"/>
      <c r="G233" s="311">
        <f>'Пр.4 ведом.22'!G707</f>
        <v>0</v>
      </c>
      <c r="H233" s="311">
        <f>'Пр.4 ведом.22'!H707</f>
        <v>0</v>
      </c>
    </row>
    <row r="234" spans="1:8" ht="31.5" hidden="1" x14ac:dyDescent="0.25">
      <c r="A234" s="22" t="s">
        <v>235</v>
      </c>
      <c r="B234" s="365" t="s">
        <v>827</v>
      </c>
      <c r="C234" s="360" t="s">
        <v>187</v>
      </c>
      <c r="D234" s="360" t="s">
        <v>158</v>
      </c>
      <c r="E234" s="360" t="s">
        <v>194</v>
      </c>
      <c r="F234" s="360" t="s">
        <v>307</v>
      </c>
      <c r="G234" s="10">
        <f>G233</f>
        <v>0</v>
      </c>
      <c r="H234" s="10">
        <f>H233</f>
        <v>0</v>
      </c>
    </row>
    <row r="235" spans="1:8" ht="31.5" x14ac:dyDescent="0.25">
      <c r="A235" s="22" t="s">
        <v>197</v>
      </c>
      <c r="B235" s="365" t="s">
        <v>783</v>
      </c>
      <c r="C235" s="360" t="s">
        <v>187</v>
      </c>
      <c r="D235" s="360" t="s">
        <v>158</v>
      </c>
      <c r="E235" s="360"/>
      <c r="F235" s="360"/>
      <c r="G235" s="10">
        <f t="shared" ref="G235:H236" si="30">G236</f>
        <v>208.6</v>
      </c>
      <c r="H235" s="10">
        <f t="shared" si="30"/>
        <v>208.6</v>
      </c>
    </row>
    <row r="236" spans="1:8" ht="31.5" x14ac:dyDescent="0.25">
      <c r="A236" s="22" t="s">
        <v>191</v>
      </c>
      <c r="B236" s="365" t="s">
        <v>783</v>
      </c>
      <c r="C236" s="360" t="s">
        <v>187</v>
      </c>
      <c r="D236" s="360" t="s">
        <v>158</v>
      </c>
      <c r="E236" s="360" t="s">
        <v>192</v>
      </c>
      <c r="F236" s="360"/>
      <c r="G236" s="10">
        <f t="shared" si="30"/>
        <v>208.6</v>
      </c>
      <c r="H236" s="10">
        <f t="shared" si="30"/>
        <v>208.6</v>
      </c>
    </row>
    <row r="237" spans="1:8" ht="15.75" x14ac:dyDescent="0.25">
      <c r="A237" s="22" t="s">
        <v>193</v>
      </c>
      <c r="B237" s="365" t="s">
        <v>783</v>
      </c>
      <c r="C237" s="360" t="s">
        <v>187</v>
      </c>
      <c r="D237" s="360" t="s">
        <v>158</v>
      </c>
      <c r="E237" s="360" t="s">
        <v>194</v>
      </c>
      <c r="F237" s="360"/>
      <c r="G237" s="10">
        <f>'Пр.4.1 ведом.23-24 '!G710</f>
        <v>208.6</v>
      </c>
      <c r="H237" s="10">
        <f>'Пр.4.1 ведом.23-24 '!H710</f>
        <v>208.6</v>
      </c>
    </row>
    <row r="238" spans="1:8" ht="31.5" x14ac:dyDescent="0.25">
      <c r="A238" s="22" t="s">
        <v>235</v>
      </c>
      <c r="B238" s="365" t="s">
        <v>783</v>
      </c>
      <c r="C238" s="360" t="s">
        <v>187</v>
      </c>
      <c r="D238" s="360" t="s">
        <v>158</v>
      </c>
      <c r="E238" s="360" t="s">
        <v>194</v>
      </c>
      <c r="F238" s="360" t="s">
        <v>307</v>
      </c>
      <c r="G238" s="10">
        <f>G237</f>
        <v>208.6</v>
      </c>
      <c r="H238" s="10">
        <f>H237</f>
        <v>208.6</v>
      </c>
    </row>
    <row r="239" spans="1:8" ht="31.5" x14ac:dyDescent="0.25">
      <c r="A239" s="315" t="s">
        <v>511</v>
      </c>
      <c r="B239" s="316" t="s">
        <v>772</v>
      </c>
      <c r="C239" s="7"/>
      <c r="D239" s="7"/>
      <c r="E239" s="7"/>
      <c r="F239" s="7"/>
      <c r="G239" s="38">
        <f>G240</f>
        <v>7678.5</v>
      </c>
      <c r="H239" s="38">
        <f>H240</f>
        <v>7849.6</v>
      </c>
    </row>
    <row r="240" spans="1:8" ht="15.75" x14ac:dyDescent="0.25">
      <c r="A240" s="22" t="s">
        <v>186</v>
      </c>
      <c r="B240" s="365" t="s">
        <v>772</v>
      </c>
      <c r="C240" s="360" t="s">
        <v>187</v>
      </c>
      <c r="D240" s="360"/>
      <c r="E240" s="360"/>
      <c r="F240" s="360"/>
      <c r="G240" s="10">
        <f t="shared" ref="G240:H243" si="31">G241</f>
        <v>7678.5</v>
      </c>
      <c r="H240" s="10">
        <f t="shared" si="31"/>
        <v>7849.6</v>
      </c>
    </row>
    <row r="241" spans="1:8" ht="15.75" x14ac:dyDescent="0.25">
      <c r="A241" s="22" t="s">
        <v>246</v>
      </c>
      <c r="B241" s="365" t="s">
        <v>772</v>
      </c>
      <c r="C241" s="360" t="s">
        <v>187</v>
      </c>
      <c r="D241" s="360" t="s">
        <v>187</v>
      </c>
      <c r="E241" s="360"/>
      <c r="F241" s="360"/>
      <c r="G241" s="10">
        <f>G242</f>
        <v>7678.5</v>
      </c>
      <c r="H241" s="10">
        <f>H242</f>
        <v>7849.6</v>
      </c>
    </row>
    <row r="242" spans="1:8" ht="31.5" x14ac:dyDescent="0.25">
      <c r="A242" s="24" t="s">
        <v>617</v>
      </c>
      <c r="B242" s="365" t="s">
        <v>789</v>
      </c>
      <c r="C242" s="360" t="s">
        <v>187</v>
      </c>
      <c r="D242" s="360" t="s">
        <v>187</v>
      </c>
      <c r="E242" s="360"/>
      <c r="F242" s="360"/>
      <c r="G242" s="10">
        <f t="shared" si="31"/>
        <v>7678.5</v>
      </c>
      <c r="H242" s="10">
        <f t="shared" si="31"/>
        <v>7849.6</v>
      </c>
    </row>
    <row r="243" spans="1:8" ht="31.5" x14ac:dyDescent="0.25">
      <c r="A243" s="364" t="s">
        <v>191</v>
      </c>
      <c r="B243" s="365" t="s">
        <v>789</v>
      </c>
      <c r="C243" s="360" t="s">
        <v>187</v>
      </c>
      <c r="D243" s="360" t="s">
        <v>187</v>
      </c>
      <c r="E243" s="360" t="s">
        <v>192</v>
      </c>
      <c r="F243" s="360"/>
      <c r="G243" s="10">
        <f t="shared" si="31"/>
        <v>7678.5</v>
      </c>
      <c r="H243" s="10">
        <f t="shared" si="31"/>
        <v>7849.6</v>
      </c>
    </row>
    <row r="244" spans="1:8" ht="15.75" x14ac:dyDescent="0.25">
      <c r="A244" s="364" t="s">
        <v>193</v>
      </c>
      <c r="B244" s="365" t="s">
        <v>789</v>
      </c>
      <c r="C244" s="360" t="s">
        <v>187</v>
      </c>
      <c r="D244" s="360" t="s">
        <v>187</v>
      </c>
      <c r="E244" s="360" t="s">
        <v>194</v>
      </c>
      <c r="F244" s="360"/>
      <c r="G244" s="10">
        <f>'Пр.4.1 ведом.23-24 '!G806</f>
        <v>7678.5</v>
      </c>
      <c r="H244" s="10">
        <f>'Пр.4.1 ведом.23-24 '!H806</f>
        <v>7849.6</v>
      </c>
    </row>
    <row r="245" spans="1:8" ht="31.5" x14ac:dyDescent="0.25">
      <c r="A245" s="22" t="s">
        <v>235</v>
      </c>
      <c r="B245" s="365" t="s">
        <v>789</v>
      </c>
      <c r="C245" s="360" t="s">
        <v>187</v>
      </c>
      <c r="D245" s="360" t="s">
        <v>187</v>
      </c>
      <c r="E245" s="360" t="s">
        <v>194</v>
      </c>
      <c r="F245" s="360" t="s">
        <v>307</v>
      </c>
      <c r="G245" s="400">
        <f>G244</f>
        <v>7678.5</v>
      </c>
      <c r="H245" s="400">
        <f>H244</f>
        <v>7849.6</v>
      </c>
    </row>
    <row r="246" spans="1:8" ht="31.5" x14ac:dyDescent="0.25">
      <c r="A246" s="145" t="s">
        <v>515</v>
      </c>
      <c r="B246" s="316" t="s">
        <v>773</v>
      </c>
      <c r="C246" s="7"/>
      <c r="D246" s="7"/>
      <c r="E246" s="7"/>
      <c r="F246" s="7"/>
      <c r="G246" s="310">
        <f>G247</f>
        <v>8313</v>
      </c>
      <c r="H246" s="310">
        <f>H247</f>
        <v>8313</v>
      </c>
    </row>
    <row r="247" spans="1:8" ht="15.75" x14ac:dyDescent="0.25">
      <c r="A247" s="22" t="s">
        <v>186</v>
      </c>
      <c r="B247" s="365" t="s">
        <v>773</v>
      </c>
      <c r="C247" s="360" t="s">
        <v>187</v>
      </c>
      <c r="D247" s="360"/>
      <c r="E247" s="360"/>
      <c r="F247" s="360"/>
      <c r="G247" s="10">
        <f>G248+G261+G270</f>
        <v>8313</v>
      </c>
      <c r="H247" s="10">
        <f>H248+H261+H270</f>
        <v>8313</v>
      </c>
    </row>
    <row r="248" spans="1:8" ht="15.75" x14ac:dyDescent="0.25">
      <c r="A248" s="31" t="s">
        <v>236</v>
      </c>
      <c r="B248" s="365" t="s">
        <v>773</v>
      </c>
      <c r="C248" s="360" t="s">
        <v>187</v>
      </c>
      <c r="D248" s="360" t="s">
        <v>116</v>
      </c>
      <c r="E248" s="360"/>
      <c r="F248" s="360"/>
      <c r="G248" s="10">
        <f>G249+G253+G257</f>
        <v>4142</v>
      </c>
      <c r="H248" s="10">
        <f>H249+H253+H257</f>
        <v>4142</v>
      </c>
    </row>
    <row r="249" spans="1:8" ht="31.7" hidden="1" customHeight="1" x14ac:dyDescent="0.25">
      <c r="A249" s="22" t="s">
        <v>198</v>
      </c>
      <c r="B249" s="365" t="s">
        <v>786</v>
      </c>
      <c r="C249" s="360" t="s">
        <v>187</v>
      </c>
      <c r="D249" s="360" t="s">
        <v>116</v>
      </c>
      <c r="E249" s="360"/>
      <c r="F249" s="360"/>
      <c r="G249" s="10">
        <f t="shared" ref="G249:H250" si="32">G250</f>
        <v>0</v>
      </c>
      <c r="H249" s="10">
        <f t="shared" si="32"/>
        <v>0</v>
      </c>
    </row>
    <row r="250" spans="1:8" ht="31.7" hidden="1" customHeight="1" x14ac:dyDescent="0.25">
      <c r="A250" s="22" t="s">
        <v>191</v>
      </c>
      <c r="B250" s="365" t="s">
        <v>786</v>
      </c>
      <c r="C250" s="360" t="s">
        <v>187</v>
      </c>
      <c r="D250" s="360" t="s">
        <v>116</v>
      </c>
      <c r="E250" s="360" t="s">
        <v>192</v>
      </c>
      <c r="F250" s="360"/>
      <c r="G250" s="10">
        <f t="shared" si="32"/>
        <v>0</v>
      </c>
      <c r="H250" s="10">
        <f t="shared" si="32"/>
        <v>0</v>
      </c>
    </row>
    <row r="251" spans="1:8" ht="15.75" hidden="1" customHeight="1" x14ac:dyDescent="0.25">
      <c r="A251" s="22" t="s">
        <v>193</v>
      </c>
      <c r="B251" s="365" t="s">
        <v>786</v>
      </c>
      <c r="C251" s="360" t="s">
        <v>187</v>
      </c>
      <c r="D251" s="360" t="s">
        <v>116</v>
      </c>
      <c r="E251" s="360" t="s">
        <v>194</v>
      </c>
      <c r="F251" s="360"/>
      <c r="G251" s="10">
        <f>'Пр.4 ведом.22'!G643</f>
        <v>0</v>
      </c>
      <c r="H251" s="10">
        <f>'Пр.4 ведом.22'!H643</f>
        <v>0</v>
      </c>
    </row>
    <row r="252" spans="1:8" ht="30.6" hidden="1" customHeight="1" x14ac:dyDescent="0.25">
      <c r="A252" s="22" t="s">
        <v>235</v>
      </c>
      <c r="B252" s="365" t="s">
        <v>786</v>
      </c>
      <c r="C252" s="360" t="s">
        <v>187</v>
      </c>
      <c r="D252" s="360" t="s">
        <v>116</v>
      </c>
      <c r="E252" s="360" t="s">
        <v>194</v>
      </c>
      <c r="F252" s="360" t="s">
        <v>307</v>
      </c>
      <c r="G252" s="10">
        <f>G251</f>
        <v>0</v>
      </c>
      <c r="H252" s="10">
        <f>H251</f>
        <v>0</v>
      </c>
    </row>
    <row r="253" spans="1:8" ht="31.5" x14ac:dyDescent="0.25">
      <c r="A253" s="39" t="s">
        <v>344</v>
      </c>
      <c r="B253" s="365" t="s">
        <v>774</v>
      </c>
      <c r="C253" s="365" t="s">
        <v>187</v>
      </c>
      <c r="D253" s="365" t="s">
        <v>116</v>
      </c>
      <c r="E253" s="365"/>
      <c r="F253" s="365"/>
      <c r="G253" s="10">
        <f t="shared" ref="G253:H254" si="33">G254</f>
        <v>2882</v>
      </c>
      <c r="H253" s="10">
        <f t="shared" si="33"/>
        <v>2882</v>
      </c>
    </row>
    <row r="254" spans="1:8" ht="31.5" x14ac:dyDescent="0.25">
      <c r="A254" s="22" t="s">
        <v>191</v>
      </c>
      <c r="B254" s="365" t="s">
        <v>774</v>
      </c>
      <c r="C254" s="365" t="s">
        <v>187</v>
      </c>
      <c r="D254" s="365" t="s">
        <v>116</v>
      </c>
      <c r="E254" s="365" t="s">
        <v>192</v>
      </c>
      <c r="F254" s="365"/>
      <c r="G254" s="10">
        <f t="shared" si="33"/>
        <v>2882</v>
      </c>
      <c r="H254" s="10">
        <f t="shared" si="33"/>
        <v>2882</v>
      </c>
    </row>
    <row r="255" spans="1:8" ht="15.75" x14ac:dyDescent="0.25">
      <c r="A255" s="111" t="s">
        <v>193</v>
      </c>
      <c r="B255" s="365" t="s">
        <v>774</v>
      </c>
      <c r="C255" s="365" t="s">
        <v>187</v>
      </c>
      <c r="D255" s="365" t="s">
        <v>116</v>
      </c>
      <c r="E255" s="365" t="s">
        <v>194</v>
      </c>
      <c r="F255" s="365"/>
      <c r="G255" s="10">
        <f>'Пр.4.1 ведом.23-24 '!G646</f>
        <v>2882</v>
      </c>
      <c r="H255" s="10">
        <f>'Пр.4.1 ведом.23-24 '!H646</f>
        <v>2882</v>
      </c>
    </row>
    <row r="256" spans="1:8" ht="31.5" x14ac:dyDescent="0.25">
      <c r="A256" s="22" t="s">
        <v>235</v>
      </c>
      <c r="B256" s="365" t="s">
        <v>774</v>
      </c>
      <c r="C256" s="360" t="s">
        <v>187</v>
      </c>
      <c r="D256" s="360" t="s">
        <v>116</v>
      </c>
      <c r="E256" s="360" t="s">
        <v>194</v>
      </c>
      <c r="F256" s="360" t="s">
        <v>307</v>
      </c>
      <c r="G256" s="10">
        <f>G255</f>
        <v>2882</v>
      </c>
      <c r="H256" s="10">
        <f>H255</f>
        <v>2882</v>
      </c>
    </row>
    <row r="257" spans="1:8" ht="47.25" x14ac:dyDescent="0.25">
      <c r="A257" s="39" t="s">
        <v>345</v>
      </c>
      <c r="B257" s="365" t="s">
        <v>775</v>
      </c>
      <c r="C257" s="365" t="s">
        <v>187</v>
      </c>
      <c r="D257" s="365" t="s">
        <v>116</v>
      </c>
      <c r="E257" s="365"/>
      <c r="F257" s="365"/>
      <c r="G257" s="10">
        <f t="shared" ref="G257:H258" si="34">G258</f>
        <v>1260</v>
      </c>
      <c r="H257" s="10">
        <f t="shared" si="34"/>
        <v>1260</v>
      </c>
    </row>
    <row r="258" spans="1:8" ht="31.5" x14ac:dyDescent="0.25">
      <c r="A258" s="22" t="s">
        <v>191</v>
      </c>
      <c r="B258" s="365" t="s">
        <v>775</v>
      </c>
      <c r="C258" s="365" t="s">
        <v>187</v>
      </c>
      <c r="D258" s="365" t="s">
        <v>116</v>
      </c>
      <c r="E258" s="365" t="s">
        <v>192</v>
      </c>
      <c r="F258" s="365"/>
      <c r="G258" s="10">
        <f t="shared" si="34"/>
        <v>1260</v>
      </c>
      <c r="H258" s="10">
        <f t="shared" si="34"/>
        <v>1260</v>
      </c>
    </row>
    <row r="259" spans="1:8" ht="15.75" x14ac:dyDescent="0.25">
      <c r="A259" s="111" t="s">
        <v>193</v>
      </c>
      <c r="B259" s="365" t="s">
        <v>775</v>
      </c>
      <c r="C259" s="365" t="s">
        <v>187</v>
      </c>
      <c r="D259" s="365" t="s">
        <v>116</v>
      </c>
      <c r="E259" s="365" t="s">
        <v>194</v>
      </c>
      <c r="F259" s="365"/>
      <c r="G259" s="10">
        <f>'Пр.4.1 ведом.23-24 '!G649</f>
        <v>1260</v>
      </c>
      <c r="H259" s="10">
        <f>'Пр.4.1 ведом.23-24 '!H649</f>
        <v>1260</v>
      </c>
    </row>
    <row r="260" spans="1:8" ht="31.5" x14ac:dyDescent="0.25">
      <c r="A260" s="22" t="s">
        <v>235</v>
      </c>
      <c r="B260" s="365" t="s">
        <v>775</v>
      </c>
      <c r="C260" s="360" t="s">
        <v>187</v>
      </c>
      <c r="D260" s="360" t="s">
        <v>116</v>
      </c>
      <c r="E260" s="360" t="s">
        <v>194</v>
      </c>
      <c r="F260" s="360" t="s">
        <v>307</v>
      </c>
      <c r="G260" s="10">
        <f>G259</f>
        <v>1260</v>
      </c>
      <c r="H260" s="10">
        <f>H259</f>
        <v>1260</v>
      </c>
    </row>
    <row r="261" spans="1:8" ht="15.75" x14ac:dyDescent="0.25">
      <c r="A261" s="22" t="s">
        <v>239</v>
      </c>
      <c r="B261" s="360" t="s">
        <v>773</v>
      </c>
      <c r="C261" s="360" t="s">
        <v>187</v>
      </c>
      <c r="D261" s="360" t="s">
        <v>158</v>
      </c>
      <c r="E261" s="360"/>
      <c r="F261" s="360"/>
      <c r="G261" s="10">
        <f>G262+G266</f>
        <v>2967</v>
      </c>
      <c r="H261" s="10">
        <f>H262+H266</f>
        <v>2967</v>
      </c>
    </row>
    <row r="262" spans="1:8" ht="31.5" hidden="1" x14ac:dyDescent="0.25">
      <c r="A262" s="22" t="s">
        <v>198</v>
      </c>
      <c r="B262" s="365" t="s">
        <v>786</v>
      </c>
      <c r="C262" s="360" t="s">
        <v>187</v>
      </c>
      <c r="D262" s="360" t="s">
        <v>158</v>
      </c>
      <c r="E262" s="360"/>
      <c r="F262" s="360"/>
      <c r="G262" s="10">
        <f t="shared" ref="G262:H263" si="35">G263</f>
        <v>0</v>
      </c>
      <c r="H262" s="10">
        <f t="shared" si="35"/>
        <v>0</v>
      </c>
    </row>
    <row r="263" spans="1:8" ht="31.5" hidden="1" x14ac:dyDescent="0.25">
      <c r="A263" s="22" t="s">
        <v>191</v>
      </c>
      <c r="B263" s="365" t="s">
        <v>786</v>
      </c>
      <c r="C263" s="360" t="s">
        <v>187</v>
      </c>
      <c r="D263" s="360" t="s">
        <v>158</v>
      </c>
      <c r="E263" s="360" t="s">
        <v>192</v>
      </c>
      <c r="F263" s="360"/>
      <c r="G263" s="10">
        <f t="shared" si="35"/>
        <v>0</v>
      </c>
      <c r="H263" s="10">
        <f t="shared" si="35"/>
        <v>0</v>
      </c>
    </row>
    <row r="264" spans="1:8" ht="15.75" hidden="1" x14ac:dyDescent="0.25">
      <c r="A264" s="22" t="s">
        <v>193</v>
      </c>
      <c r="B264" s="365" t="s">
        <v>786</v>
      </c>
      <c r="C264" s="360" t="s">
        <v>187</v>
      </c>
      <c r="D264" s="360" t="s">
        <v>158</v>
      </c>
      <c r="E264" s="360" t="s">
        <v>194</v>
      </c>
      <c r="F264" s="360"/>
      <c r="G264" s="10">
        <f>'Пр.4 ведом.22'!G714</f>
        <v>0</v>
      </c>
      <c r="H264" s="10">
        <f>'Пр.4 ведом.22'!H714</f>
        <v>0</v>
      </c>
    </row>
    <row r="265" spans="1:8" ht="31.5" hidden="1" x14ac:dyDescent="0.25">
      <c r="A265" s="22" t="s">
        <v>235</v>
      </c>
      <c r="B265" s="365" t="s">
        <v>786</v>
      </c>
      <c r="C265" s="360" t="s">
        <v>187</v>
      </c>
      <c r="D265" s="360" t="s">
        <v>158</v>
      </c>
      <c r="E265" s="360" t="s">
        <v>194</v>
      </c>
      <c r="F265" s="360" t="s">
        <v>307</v>
      </c>
      <c r="G265" s="10">
        <f>G264</f>
        <v>0</v>
      </c>
      <c r="H265" s="10">
        <f>H264</f>
        <v>0</v>
      </c>
    </row>
    <row r="266" spans="1:8" ht="31.5" x14ac:dyDescent="0.25">
      <c r="A266" s="39" t="s">
        <v>344</v>
      </c>
      <c r="B266" s="365" t="s">
        <v>774</v>
      </c>
      <c r="C266" s="360" t="s">
        <v>187</v>
      </c>
      <c r="D266" s="360" t="s">
        <v>158</v>
      </c>
      <c r="E266" s="360"/>
      <c r="F266" s="360"/>
      <c r="G266" s="10">
        <f t="shared" ref="G266:H267" si="36">G267</f>
        <v>2967</v>
      </c>
      <c r="H266" s="10">
        <f t="shared" si="36"/>
        <v>2967</v>
      </c>
    </row>
    <row r="267" spans="1:8" ht="31.5" x14ac:dyDescent="0.25">
      <c r="A267" s="22" t="s">
        <v>191</v>
      </c>
      <c r="B267" s="365" t="s">
        <v>774</v>
      </c>
      <c r="C267" s="360" t="s">
        <v>187</v>
      </c>
      <c r="D267" s="360" t="s">
        <v>158</v>
      </c>
      <c r="E267" s="360" t="s">
        <v>192</v>
      </c>
      <c r="F267" s="360"/>
      <c r="G267" s="10">
        <f t="shared" si="36"/>
        <v>2967</v>
      </c>
      <c r="H267" s="10">
        <f t="shared" si="36"/>
        <v>2967</v>
      </c>
    </row>
    <row r="268" spans="1:8" ht="15.75" x14ac:dyDescent="0.25">
      <c r="A268" s="111" t="s">
        <v>193</v>
      </c>
      <c r="B268" s="365" t="s">
        <v>774</v>
      </c>
      <c r="C268" s="360" t="s">
        <v>187</v>
      </c>
      <c r="D268" s="360" t="s">
        <v>158</v>
      </c>
      <c r="E268" s="360" t="s">
        <v>194</v>
      </c>
      <c r="F268" s="360"/>
      <c r="G268" s="10">
        <f>'Пр.4.1 ведом.23-24 '!G717</f>
        <v>2967</v>
      </c>
      <c r="H268" s="10">
        <f>'Пр.4.1 ведом.23-24 '!H717</f>
        <v>2967</v>
      </c>
    </row>
    <row r="269" spans="1:8" ht="31.5" x14ac:dyDescent="0.25">
      <c r="A269" s="22" t="s">
        <v>235</v>
      </c>
      <c r="B269" s="365" t="s">
        <v>774</v>
      </c>
      <c r="C269" s="360" t="s">
        <v>187</v>
      </c>
      <c r="D269" s="360" t="s">
        <v>158</v>
      </c>
      <c r="E269" s="360" t="s">
        <v>194</v>
      </c>
      <c r="F269" s="360" t="s">
        <v>307</v>
      </c>
      <c r="G269" s="10">
        <f>G268</f>
        <v>2967</v>
      </c>
      <c r="H269" s="10">
        <f>H268</f>
        <v>2967</v>
      </c>
    </row>
    <row r="270" spans="1:8" ht="15.75" x14ac:dyDescent="0.25">
      <c r="A270" s="22" t="s">
        <v>188</v>
      </c>
      <c r="B270" s="360" t="s">
        <v>773</v>
      </c>
      <c r="C270" s="360" t="s">
        <v>187</v>
      </c>
      <c r="D270" s="360" t="s">
        <v>159</v>
      </c>
      <c r="E270" s="360"/>
      <c r="F270" s="360"/>
      <c r="G270" s="10">
        <f>G271</f>
        <v>1204</v>
      </c>
      <c r="H270" s="10">
        <f>H271</f>
        <v>1204</v>
      </c>
    </row>
    <row r="271" spans="1:8" ht="31.5" x14ac:dyDescent="0.25">
      <c r="A271" s="31" t="s">
        <v>344</v>
      </c>
      <c r="B271" s="365" t="s">
        <v>774</v>
      </c>
      <c r="C271" s="365" t="s">
        <v>187</v>
      </c>
      <c r="D271" s="365" t="s">
        <v>159</v>
      </c>
      <c r="E271" s="365"/>
      <c r="F271" s="365"/>
      <c r="G271" s="10">
        <f t="shared" ref="G271:H272" si="37">G272</f>
        <v>1204</v>
      </c>
      <c r="H271" s="10">
        <f t="shared" si="37"/>
        <v>1204</v>
      </c>
    </row>
    <row r="272" spans="1:8" ht="31.5" x14ac:dyDescent="0.25">
      <c r="A272" s="22" t="s">
        <v>191</v>
      </c>
      <c r="B272" s="365" t="s">
        <v>774</v>
      </c>
      <c r="C272" s="365" t="s">
        <v>187</v>
      </c>
      <c r="D272" s="365" t="s">
        <v>159</v>
      </c>
      <c r="E272" s="365" t="s">
        <v>192</v>
      </c>
      <c r="F272" s="365"/>
      <c r="G272" s="10">
        <f t="shared" si="37"/>
        <v>1204</v>
      </c>
      <c r="H272" s="10">
        <f t="shared" si="37"/>
        <v>1204</v>
      </c>
    </row>
    <row r="273" spans="1:8" ht="15.75" x14ac:dyDescent="0.25">
      <c r="A273" s="24" t="s">
        <v>193</v>
      </c>
      <c r="B273" s="365" t="s">
        <v>774</v>
      </c>
      <c r="C273" s="365" t="s">
        <v>187</v>
      </c>
      <c r="D273" s="365" t="s">
        <v>159</v>
      </c>
      <c r="E273" s="365" t="s">
        <v>194</v>
      </c>
      <c r="F273" s="365"/>
      <c r="G273" s="10">
        <f>'Пр.4.1 ведом.23-24 '!G791</f>
        <v>1204</v>
      </c>
      <c r="H273" s="10">
        <f>'Пр.4.1 ведом.23-24 '!H791</f>
        <v>1204</v>
      </c>
    </row>
    <row r="274" spans="1:8" ht="31.5" x14ac:dyDescent="0.25">
      <c r="A274" s="22" t="s">
        <v>235</v>
      </c>
      <c r="B274" s="365" t="s">
        <v>774</v>
      </c>
      <c r="C274" s="360" t="s">
        <v>187</v>
      </c>
      <c r="D274" s="360" t="s">
        <v>159</v>
      </c>
      <c r="E274" s="360" t="s">
        <v>194</v>
      </c>
      <c r="F274" s="360" t="s">
        <v>307</v>
      </c>
      <c r="G274" s="10">
        <f>G273</f>
        <v>1204</v>
      </c>
      <c r="H274" s="10">
        <f>H273</f>
        <v>1204</v>
      </c>
    </row>
    <row r="275" spans="1:8" ht="31.5" x14ac:dyDescent="0.25">
      <c r="A275" s="315" t="s">
        <v>1107</v>
      </c>
      <c r="B275" s="316" t="s">
        <v>776</v>
      </c>
      <c r="C275" s="316"/>
      <c r="D275" s="316"/>
      <c r="E275" s="316"/>
      <c r="F275" s="316"/>
      <c r="G275" s="38">
        <f>G276+G282</f>
        <v>5611.3099999999995</v>
      </c>
      <c r="H275" s="38">
        <f>H276+H282</f>
        <v>5683.61</v>
      </c>
    </row>
    <row r="276" spans="1:8" ht="15.75" x14ac:dyDescent="0.25">
      <c r="A276" s="22" t="s">
        <v>186</v>
      </c>
      <c r="B276" s="365" t="s">
        <v>776</v>
      </c>
      <c r="C276" s="360" t="s">
        <v>187</v>
      </c>
      <c r="D276" s="360"/>
      <c r="E276" s="360"/>
      <c r="F276" s="360"/>
      <c r="G276" s="10">
        <f t="shared" ref="G276:H276" si="38">G277</f>
        <v>189.9</v>
      </c>
      <c r="H276" s="10">
        <f t="shared" si="38"/>
        <v>196.79999999999998</v>
      </c>
    </row>
    <row r="277" spans="1:8" ht="15.75" x14ac:dyDescent="0.25">
      <c r="A277" s="31" t="s">
        <v>236</v>
      </c>
      <c r="B277" s="365" t="s">
        <v>776</v>
      </c>
      <c r="C277" s="360" t="s">
        <v>187</v>
      </c>
      <c r="D277" s="360" t="s">
        <v>116</v>
      </c>
      <c r="E277" s="360"/>
      <c r="F277" s="360"/>
      <c r="G277" s="10">
        <f t="shared" ref="G277:H279" si="39">G278</f>
        <v>189.9</v>
      </c>
      <c r="H277" s="10">
        <f t="shared" si="39"/>
        <v>196.79999999999998</v>
      </c>
    </row>
    <row r="278" spans="1:8" ht="31.5" x14ac:dyDescent="0.25">
      <c r="A278" s="364" t="s">
        <v>1108</v>
      </c>
      <c r="B278" s="365" t="s">
        <v>1109</v>
      </c>
      <c r="C278" s="365" t="s">
        <v>187</v>
      </c>
      <c r="D278" s="365" t="s">
        <v>116</v>
      </c>
      <c r="E278" s="365"/>
      <c r="F278" s="365"/>
      <c r="G278" s="10">
        <f t="shared" si="39"/>
        <v>189.9</v>
      </c>
      <c r="H278" s="10">
        <f t="shared" si="39"/>
        <v>196.79999999999998</v>
      </c>
    </row>
    <row r="279" spans="1:8" ht="31.5" x14ac:dyDescent="0.25">
      <c r="A279" s="364" t="s">
        <v>191</v>
      </c>
      <c r="B279" s="365" t="s">
        <v>1109</v>
      </c>
      <c r="C279" s="365" t="s">
        <v>187</v>
      </c>
      <c r="D279" s="365" t="s">
        <v>116</v>
      </c>
      <c r="E279" s="365" t="s">
        <v>192</v>
      </c>
      <c r="F279" s="365"/>
      <c r="G279" s="10">
        <f t="shared" si="39"/>
        <v>189.9</v>
      </c>
      <c r="H279" s="10">
        <f t="shared" si="39"/>
        <v>196.79999999999998</v>
      </c>
    </row>
    <row r="280" spans="1:8" ht="15.75" x14ac:dyDescent="0.25">
      <c r="A280" s="364" t="s">
        <v>193</v>
      </c>
      <c r="B280" s="365" t="s">
        <v>1109</v>
      </c>
      <c r="C280" s="365" t="s">
        <v>187</v>
      </c>
      <c r="D280" s="365" t="s">
        <v>116</v>
      </c>
      <c r="E280" s="365" t="s">
        <v>194</v>
      </c>
      <c r="F280" s="365"/>
      <c r="G280" s="10">
        <f>'Пр.4.1 ведом.23-24 '!G653</f>
        <v>189.9</v>
      </c>
      <c r="H280" s="10">
        <f>'Пр.4.1 ведом.23-24 '!H653</f>
        <v>196.79999999999998</v>
      </c>
    </row>
    <row r="281" spans="1:8" ht="31.5" x14ac:dyDescent="0.25">
      <c r="A281" s="22" t="s">
        <v>235</v>
      </c>
      <c r="B281" s="365" t="s">
        <v>1109</v>
      </c>
      <c r="C281" s="360" t="s">
        <v>187</v>
      </c>
      <c r="D281" s="360" t="s">
        <v>116</v>
      </c>
      <c r="E281" s="360" t="s">
        <v>194</v>
      </c>
      <c r="F281" s="360" t="s">
        <v>307</v>
      </c>
      <c r="G281" s="10">
        <f>G280</f>
        <v>189.9</v>
      </c>
      <c r="H281" s="10">
        <f>H280</f>
        <v>196.79999999999998</v>
      </c>
    </row>
    <row r="282" spans="1:8" ht="15.75" x14ac:dyDescent="0.25">
      <c r="A282" s="22" t="s">
        <v>239</v>
      </c>
      <c r="B282" s="365" t="s">
        <v>776</v>
      </c>
      <c r="C282" s="360" t="s">
        <v>187</v>
      </c>
      <c r="D282" s="360" t="s">
        <v>158</v>
      </c>
      <c r="E282" s="360"/>
      <c r="F282" s="360"/>
      <c r="G282" s="10">
        <f>G283</f>
        <v>5421.41</v>
      </c>
      <c r="H282" s="10">
        <f>H283</f>
        <v>5486.8099999999995</v>
      </c>
    </row>
    <row r="283" spans="1:8" ht="31.5" x14ac:dyDescent="0.25">
      <c r="A283" s="364" t="s">
        <v>1108</v>
      </c>
      <c r="B283" s="365" t="s">
        <v>1109</v>
      </c>
      <c r="C283" s="360" t="s">
        <v>187</v>
      </c>
      <c r="D283" s="360" t="s">
        <v>158</v>
      </c>
      <c r="E283" s="360"/>
      <c r="F283" s="360"/>
      <c r="G283" s="10">
        <f t="shared" ref="G283:H284" si="40">G284</f>
        <v>5421.41</v>
      </c>
      <c r="H283" s="10">
        <f t="shared" si="40"/>
        <v>5486.8099999999995</v>
      </c>
    </row>
    <row r="284" spans="1:8" ht="31.5" x14ac:dyDescent="0.25">
      <c r="A284" s="22" t="s">
        <v>191</v>
      </c>
      <c r="B284" s="365" t="s">
        <v>1109</v>
      </c>
      <c r="C284" s="360" t="s">
        <v>187</v>
      </c>
      <c r="D284" s="360" t="s">
        <v>158</v>
      </c>
      <c r="E284" s="360" t="s">
        <v>192</v>
      </c>
      <c r="F284" s="360"/>
      <c r="G284" s="10">
        <f t="shared" si="40"/>
        <v>5421.41</v>
      </c>
      <c r="H284" s="10">
        <f t="shared" si="40"/>
        <v>5486.8099999999995</v>
      </c>
    </row>
    <row r="285" spans="1:8" ht="15.75" x14ac:dyDescent="0.25">
      <c r="A285" s="22" t="s">
        <v>193</v>
      </c>
      <c r="B285" s="365" t="s">
        <v>1109</v>
      </c>
      <c r="C285" s="360" t="s">
        <v>187</v>
      </c>
      <c r="D285" s="360" t="s">
        <v>158</v>
      </c>
      <c r="E285" s="360" t="s">
        <v>194</v>
      </c>
      <c r="F285" s="360"/>
      <c r="G285" s="311">
        <f>'Пр.4.1 ведом.23-24 '!G721</f>
        <v>5421.41</v>
      </c>
      <c r="H285" s="311">
        <f>'Пр.4.1 ведом.23-24 '!H721</f>
        <v>5486.8099999999995</v>
      </c>
    </row>
    <row r="286" spans="1:8" ht="31.5" x14ac:dyDescent="0.25">
      <c r="A286" s="22" t="s">
        <v>235</v>
      </c>
      <c r="B286" s="365" t="s">
        <v>1109</v>
      </c>
      <c r="C286" s="360" t="s">
        <v>187</v>
      </c>
      <c r="D286" s="360" t="s">
        <v>158</v>
      </c>
      <c r="E286" s="360" t="s">
        <v>194</v>
      </c>
      <c r="F286" s="360" t="s">
        <v>307</v>
      </c>
      <c r="G286" s="10">
        <f>G285</f>
        <v>5421.41</v>
      </c>
      <c r="H286" s="10">
        <f>H285</f>
        <v>5486.8099999999995</v>
      </c>
    </row>
    <row r="287" spans="1:8" ht="94.5" x14ac:dyDescent="0.25">
      <c r="A287" s="315" t="s">
        <v>902</v>
      </c>
      <c r="B287" s="316" t="s">
        <v>777</v>
      </c>
      <c r="C287" s="316"/>
      <c r="D287" s="316"/>
      <c r="E287" s="360"/>
      <c r="F287" s="360"/>
      <c r="G287" s="38">
        <f t="shared" ref="G287:H291" si="41">G288</f>
        <v>701.07999999999993</v>
      </c>
      <c r="H287" s="38">
        <f t="shared" si="41"/>
        <v>701.07999999999993</v>
      </c>
    </row>
    <row r="288" spans="1:8" ht="15.75" x14ac:dyDescent="0.25">
      <c r="A288" s="22" t="s">
        <v>186</v>
      </c>
      <c r="B288" s="365" t="s">
        <v>777</v>
      </c>
      <c r="C288" s="365" t="s">
        <v>187</v>
      </c>
      <c r="D288" s="365"/>
      <c r="E288" s="360"/>
      <c r="F288" s="360"/>
      <c r="G288" s="10">
        <f t="shared" si="41"/>
        <v>701.07999999999993</v>
      </c>
      <c r="H288" s="10">
        <f t="shared" si="41"/>
        <v>701.07999999999993</v>
      </c>
    </row>
    <row r="289" spans="1:8" ht="15.75" x14ac:dyDescent="0.25">
      <c r="A289" s="31" t="s">
        <v>236</v>
      </c>
      <c r="B289" s="365" t="s">
        <v>777</v>
      </c>
      <c r="C289" s="365" t="s">
        <v>187</v>
      </c>
      <c r="D289" s="365" t="s">
        <v>116</v>
      </c>
      <c r="E289" s="360"/>
      <c r="F289" s="360"/>
      <c r="G289" s="10">
        <f t="shared" si="41"/>
        <v>701.07999999999993</v>
      </c>
      <c r="H289" s="10">
        <f t="shared" si="41"/>
        <v>701.07999999999993</v>
      </c>
    </row>
    <row r="290" spans="1:8" ht="102.2" customHeight="1" x14ac:dyDescent="0.25">
      <c r="A290" s="99" t="s">
        <v>965</v>
      </c>
      <c r="B290" s="365" t="s">
        <v>778</v>
      </c>
      <c r="C290" s="365" t="s">
        <v>187</v>
      </c>
      <c r="D290" s="365" t="s">
        <v>116</v>
      </c>
      <c r="E290" s="360"/>
      <c r="F290" s="360"/>
      <c r="G290" s="10">
        <f t="shared" si="41"/>
        <v>701.07999999999993</v>
      </c>
      <c r="H290" s="10">
        <f t="shared" si="41"/>
        <v>701.07999999999993</v>
      </c>
    </row>
    <row r="291" spans="1:8" ht="31.5" x14ac:dyDescent="0.25">
      <c r="A291" s="364" t="s">
        <v>191</v>
      </c>
      <c r="B291" s="365" t="s">
        <v>778</v>
      </c>
      <c r="C291" s="365" t="s">
        <v>187</v>
      </c>
      <c r="D291" s="365" t="s">
        <v>116</v>
      </c>
      <c r="E291" s="365" t="s">
        <v>192</v>
      </c>
      <c r="F291" s="360"/>
      <c r="G291" s="10">
        <f t="shared" si="41"/>
        <v>701.07999999999993</v>
      </c>
      <c r="H291" s="10">
        <f t="shared" si="41"/>
        <v>701.07999999999993</v>
      </c>
    </row>
    <row r="292" spans="1:8" ht="15.75" x14ac:dyDescent="0.25">
      <c r="A292" s="364" t="s">
        <v>193</v>
      </c>
      <c r="B292" s="365" t="s">
        <v>778</v>
      </c>
      <c r="C292" s="365" t="s">
        <v>187</v>
      </c>
      <c r="D292" s="365" t="s">
        <v>116</v>
      </c>
      <c r="E292" s="365" t="s">
        <v>194</v>
      </c>
      <c r="F292" s="360"/>
      <c r="G292" s="10">
        <f>'Пр.4.1 ведом.23-24 '!G657</f>
        <v>701.07999999999993</v>
      </c>
      <c r="H292" s="10">
        <f>'Пр.4.1 ведом.23-24 '!H657</f>
        <v>701.07999999999993</v>
      </c>
    </row>
    <row r="293" spans="1:8" ht="31.5" x14ac:dyDescent="0.25">
      <c r="A293" s="22" t="s">
        <v>235</v>
      </c>
      <c r="B293" s="365" t="s">
        <v>778</v>
      </c>
      <c r="C293" s="365" t="s">
        <v>187</v>
      </c>
      <c r="D293" s="365" t="s">
        <v>116</v>
      </c>
      <c r="E293" s="365" t="s">
        <v>194</v>
      </c>
      <c r="F293" s="360" t="s">
        <v>307</v>
      </c>
      <c r="G293" s="10">
        <f>G288</f>
        <v>701.07999999999993</v>
      </c>
      <c r="H293" s="10">
        <f>H288</f>
        <v>701.07999999999993</v>
      </c>
    </row>
    <row r="294" spans="1:8" ht="31.5" x14ac:dyDescent="0.25">
      <c r="A294" s="201" t="s">
        <v>899</v>
      </c>
      <c r="B294" s="316" t="s">
        <v>898</v>
      </c>
      <c r="C294" s="316"/>
      <c r="D294" s="316"/>
      <c r="E294" s="316"/>
      <c r="F294" s="7"/>
      <c r="G294" s="38">
        <f t="shared" ref="G294:H298" si="42">G295</f>
        <v>5302.8</v>
      </c>
      <c r="H294" s="38">
        <f t="shared" si="42"/>
        <v>5463.1</v>
      </c>
    </row>
    <row r="295" spans="1:8" ht="15.75" x14ac:dyDescent="0.25">
      <c r="A295" s="111" t="s">
        <v>186</v>
      </c>
      <c r="B295" s="365" t="s">
        <v>898</v>
      </c>
      <c r="C295" s="365" t="s">
        <v>187</v>
      </c>
      <c r="D295" s="365"/>
      <c r="E295" s="365"/>
      <c r="F295" s="360"/>
      <c r="G295" s="10">
        <f t="shared" si="42"/>
        <v>5302.8</v>
      </c>
      <c r="H295" s="10">
        <f t="shared" si="42"/>
        <v>5463.1</v>
      </c>
    </row>
    <row r="296" spans="1:8" ht="15.75" x14ac:dyDescent="0.25">
      <c r="A296" s="111" t="s">
        <v>239</v>
      </c>
      <c r="B296" s="365" t="s">
        <v>898</v>
      </c>
      <c r="C296" s="365" t="s">
        <v>187</v>
      </c>
      <c r="D296" s="365" t="s">
        <v>158</v>
      </c>
      <c r="E296" s="365"/>
      <c r="F296" s="360"/>
      <c r="G296" s="10">
        <f t="shared" si="42"/>
        <v>5302.8</v>
      </c>
      <c r="H296" s="10">
        <f t="shared" si="42"/>
        <v>5463.1</v>
      </c>
    </row>
    <row r="297" spans="1:8" ht="63" x14ac:dyDescent="0.25">
      <c r="A297" s="200" t="s">
        <v>885</v>
      </c>
      <c r="B297" s="365" t="s">
        <v>936</v>
      </c>
      <c r="C297" s="365" t="s">
        <v>187</v>
      </c>
      <c r="D297" s="365" t="s">
        <v>158</v>
      </c>
      <c r="E297" s="365"/>
      <c r="F297" s="360"/>
      <c r="G297" s="10">
        <f t="shared" si="42"/>
        <v>5302.8</v>
      </c>
      <c r="H297" s="10">
        <f t="shared" si="42"/>
        <v>5463.1</v>
      </c>
    </row>
    <row r="298" spans="1:8" ht="31.5" x14ac:dyDescent="0.25">
      <c r="A298" s="24" t="s">
        <v>191</v>
      </c>
      <c r="B298" s="365" t="s">
        <v>936</v>
      </c>
      <c r="C298" s="365" t="s">
        <v>187</v>
      </c>
      <c r="D298" s="365" t="s">
        <v>158</v>
      </c>
      <c r="E298" s="365" t="s">
        <v>192</v>
      </c>
      <c r="F298" s="360"/>
      <c r="G298" s="10">
        <f t="shared" si="42"/>
        <v>5302.8</v>
      </c>
      <c r="H298" s="10">
        <f t="shared" si="42"/>
        <v>5463.1</v>
      </c>
    </row>
    <row r="299" spans="1:8" ht="15.75" x14ac:dyDescent="0.25">
      <c r="A299" s="24" t="s">
        <v>193</v>
      </c>
      <c r="B299" s="365" t="s">
        <v>936</v>
      </c>
      <c r="C299" s="365" t="s">
        <v>187</v>
      </c>
      <c r="D299" s="365" t="s">
        <v>158</v>
      </c>
      <c r="E299" s="365" t="s">
        <v>194</v>
      </c>
      <c r="F299" s="360"/>
      <c r="G299" s="10">
        <f>'Пр.4.1 ведом.23-24 '!G733</f>
        <v>5302.8</v>
      </c>
      <c r="H299" s="10">
        <f>'Пр.4.1 ведом.23-24 '!H733</f>
        <v>5463.1</v>
      </c>
    </row>
    <row r="300" spans="1:8" ht="31.5" x14ac:dyDescent="0.25">
      <c r="A300" s="111" t="s">
        <v>235</v>
      </c>
      <c r="B300" s="365" t="s">
        <v>936</v>
      </c>
      <c r="C300" s="365" t="s">
        <v>187</v>
      </c>
      <c r="D300" s="365" t="s">
        <v>158</v>
      </c>
      <c r="E300" s="365" t="s">
        <v>194</v>
      </c>
      <c r="F300" s="360" t="s">
        <v>307</v>
      </c>
      <c r="G300" s="10">
        <f>G294</f>
        <v>5302.8</v>
      </c>
      <c r="H300" s="10">
        <f>H294</f>
        <v>5463.1</v>
      </c>
    </row>
    <row r="301" spans="1:8" ht="31.5" hidden="1" x14ac:dyDescent="0.25">
      <c r="A301" s="201" t="s">
        <v>916</v>
      </c>
      <c r="B301" s="316" t="s">
        <v>904</v>
      </c>
      <c r="C301" s="365"/>
      <c r="D301" s="365"/>
      <c r="E301" s="365"/>
      <c r="F301" s="360"/>
      <c r="G301" s="38">
        <f t="shared" ref="G301:H305" si="43">G302</f>
        <v>0</v>
      </c>
      <c r="H301" s="38">
        <f t="shared" si="43"/>
        <v>0</v>
      </c>
    </row>
    <row r="302" spans="1:8" ht="15.75" hidden="1" x14ac:dyDescent="0.25">
      <c r="A302" s="111" t="s">
        <v>186</v>
      </c>
      <c r="B302" s="365" t="s">
        <v>904</v>
      </c>
      <c r="C302" s="365" t="s">
        <v>187</v>
      </c>
      <c r="D302" s="365"/>
      <c r="E302" s="365"/>
      <c r="F302" s="360"/>
      <c r="G302" s="10">
        <f t="shared" si="43"/>
        <v>0</v>
      </c>
      <c r="H302" s="10">
        <f t="shared" si="43"/>
        <v>0</v>
      </c>
    </row>
    <row r="303" spans="1:8" ht="15.75" hidden="1" x14ac:dyDescent="0.25">
      <c r="A303" s="111" t="s">
        <v>239</v>
      </c>
      <c r="B303" s="365" t="s">
        <v>904</v>
      </c>
      <c r="C303" s="365" t="s">
        <v>187</v>
      </c>
      <c r="D303" s="365" t="s">
        <v>158</v>
      </c>
      <c r="E303" s="365"/>
      <c r="F303" s="360"/>
      <c r="G303" s="10">
        <f t="shared" si="43"/>
        <v>0</v>
      </c>
      <c r="H303" s="10">
        <f t="shared" si="43"/>
        <v>0</v>
      </c>
    </row>
    <row r="304" spans="1:8" ht="21.2" hidden="1" customHeight="1" x14ac:dyDescent="0.25">
      <c r="A304" s="200" t="s">
        <v>905</v>
      </c>
      <c r="B304" s="365" t="s">
        <v>907</v>
      </c>
      <c r="C304" s="365" t="s">
        <v>187</v>
      </c>
      <c r="D304" s="365" t="s">
        <v>158</v>
      </c>
      <c r="E304" s="365"/>
      <c r="F304" s="360"/>
      <c r="G304" s="10">
        <f t="shared" si="43"/>
        <v>0</v>
      </c>
      <c r="H304" s="10">
        <f t="shared" si="43"/>
        <v>0</v>
      </c>
    </row>
    <row r="305" spans="1:8" ht="31.5" hidden="1" x14ac:dyDescent="0.25">
      <c r="A305" s="24" t="s">
        <v>191</v>
      </c>
      <c r="B305" s="365" t="s">
        <v>907</v>
      </c>
      <c r="C305" s="365" t="s">
        <v>187</v>
      </c>
      <c r="D305" s="365" t="s">
        <v>158</v>
      </c>
      <c r="E305" s="365" t="s">
        <v>192</v>
      </c>
      <c r="F305" s="360"/>
      <c r="G305" s="10">
        <f t="shared" si="43"/>
        <v>0</v>
      </c>
      <c r="H305" s="10">
        <f t="shared" si="43"/>
        <v>0</v>
      </c>
    </row>
    <row r="306" spans="1:8" ht="15.75" hidden="1" x14ac:dyDescent="0.25">
      <c r="A306" s="24" t="s">
        <v>193</v>
      </c>
      <c r="B306" s="365" t="s">
        <v>907</v>
      </c>
      <c r="C306" s="365" t="s">
        <v>187</v>
      </c>
      <c r="D306" s="365" t="s">
        <v>158</v>
      </c>
      <c r="E306" s="365" t="s">
        <v>194</v>
      </c>
      <c r="F306" s="360"/>
      <c r="G306" s="10">
        <f>'Пр.4 ведом.22'!G737</f>
        <v>0</v>
      </c>
      <c r="H306" s="10">
        <f>'Пр.4 ведом.22'!H737</f>
        <v>0</v>
      </c>
    </row>
    <row r="307" spans="1:8" ht="31.5" hidden="1" x14ac:dyDescent="0.25">
      <c r="A307" s="111" t="s">
        <v>235</v>
      </c>
      <c r="B307" s="365" t="s">
        <v>907</v>
      </c>
      <c r="C307" s="365" t="s">
        <v>187</v>
      </c>
      <c r="D307" s="365" t="s">
        <v>158</v>
      </c>
      <c r="E307" s="365" t="s">
        <v>194</v>
      </c>
      <c r="F307" s="360" t="s">
        <v>307</v>
      </c>
      <c r="G307" s="10">
        <f>G304</f>
        <v>0</v>
      </c>
      <c r="H307" s="10">
        <f>H304</f>
        <v>0</v>
      </c>
    </row>
    <row r="308" spans="1:8" ht="47.25" hidden="1" x14ac:dyDescent="0.25">
      <c r="A308" s="201" t="s">
        <v>1013</v>
      </c>
      <c r="B308" s="316" t="s">
        <v>1014</v>
      </c>
      <c r="C308" s="365"/>
      <c r="D308" s="365"/>
      <c r="E308" s="365"/>
      <c r="F308" s="360"/>
      <c r="G308" s="38">
        <f t="shared" ref="G308:H312" si="44">G309</f>
        <v>0</v>
      </c>
      <c r="H308" s="38">
        <f t="shared" si="44"/>
        <v>0</v>
      </c>
    </row>
    <row r="309" spans="1:8" ht="15.75" hidden="1" x14ac:dyDescent="0.25">
      <c r="A309" s="111" t="s">
        <v>186</v>
      </c>
      <c r="B309" s="365" t="s">
        <v>1014</v>
      </c>
      <c r="C309" s="365" t="s">
        <v>187</v>
      </c>
      <c r="D309" s="365"/>
      <c r="E309" s="365"/>
      <c r="F309" s="360"/>
      <c r="G309" s="10">
        <f t="shared" si="44"/>
        <v>0</v>
      </c>
      <c r="H309" s="10">
        <f t="shared" si="44"/>
        <v>0</v>
      </c>
    </row>
    <row r="310" spans="1:8" ht="15.75" hidden="1" x14ac:dyDescent="0.25">
      <c r="A310" s="111" t="s">
        <v>239</v>
      </c>
      <c r="B310" s="365" t="s">
        <v>1014</v>
      </c>
      <c r="C310" s="365" t="s">
        <v>187</v>
      </c>
      <c r="D310" s="365" t="s">
        <v>158</v>
      </c>
      <c r="E310" s="365"/>
      <c r="F310" s="360"/>
      <c r="G310" s="10">
        <f t="shared" si="44"/>
        <v>0</v>
      </c>
      <c r="H310" s="10">
        <f t="shared" si="44"/>
        <v>0</v>
      </c>
    </row>
    <row r="311" spans="1:8" ht="47.25" hidden="1" x14ac:dyDescent="0.25">
      <c r="A311" s="200" t="s">
        <v>243</v>
      </c>
      <c r="B311" s="365" t="s">
        <v>1015</v>
      </c>
      <c r="C311" s="365" t="s">
        <v>187</v>
      </c>
      <c r="D311" s="365" t="s">
        <v>158</v>
      </c>
      <c r="E311" s="365"/>
      <c r="F311" s="360"/>
      <c r="G311" s="10">
        <f t="shared" si="44"/>
        <v>0</v>
      </c>
      <c r="H311" s="10">
        <f t="shared" si="44"/>
        <v>0</v>
      </c>
    </row>
    <row r="312" spans="1:8" ht="31.5" hidden="1" x14ac:dyDescent="0.25">
      <c r="A312" s="24" t="s">
        <v>191</v>
      </c>
      <c r="B312" s="365" t="s">
        <v>1015</v>
      </c>
      <c r="C312" s="365" t="s">
        <v>187</v>
      </c>
      <c r="D312" s="365" t="s">
        <v>158</v>
      </c>
      <c r="E312" s="365"/>
      <c r="F312" s="360"/>
      <c r="G312" s="10">
        <f t="shared" si="44"/>
        <v>0</v>
      </c>
      <c r="H312" s="10">
        <f t="shared" si="44"/>
        <v>0</v>
      </c>
    </row>
    <row r="313" spans="1:8" ht="15.75" hidden="1" x14ac:dyDescent="0.25">
      <c r="A313" s="24" t="s">
        <v>193</v>
      </c>
      <c r="B313" s="365" t="s">
        <v>1015</v>
      </c>
      <c r="C313" s="365" t="s">
        <v>187</v>
      </c>
      <c r="D313" s="365" t="s">
        <v>158</v>
      </c>
      <c r="E313" s="365" t="s">
        <v>192</v>
      </c>
      <c r="F313" s="360"/>
      <c r="G313" s="10">
        <f>'Пр.4 ведом.22'!G741</f>
        <v>0</v>
      </c>
      <c r="H313" s="10">
        <f>'Пр.4 ведом.22'!H741</f>
        <v>0</v>
      </c>
    </row>
    <row r="314" spans="1:8" ht="31.5" hidden="1" x14ac:dyDescent="0.25">
      <c r="A314" s="22" t="s">
        <v>235</v>
      </c>
      <c r="B314" s="365" t="s">
        <v>1015</v>
      </c>
      <c r="C314" s="365" t="s">
        <v>187</v>
      </c>
      <c r="D314" s="365" t="s">
        <v>158</v>
      </c>
      <c r="E314" s="365" t="s">
        <v>194</v>
      </c>
      <c r="F314" s="360" t="s">
        <v>307</v>
      </c>
      <c r="G314" s="10">
        <f>G308</f>
        <v>0</v>
      </c>
      <c r="H314" s="10">
        <f>H308</f>
        <v>0</v>
      </c>
    </row>
    <row r="315" spans="1:8" ht="31.5" hidden="1" x14ac:dyDescent="0.25">
      <c r="A315" s="201" t="s">
        <v>1024</v>
      </c>
      <c r="B315" s="316" t="s">
        <v>1026</v>
      </c>
      <c r="C315" s="316"/>
      <c r="D315" s="316"/>
      <c r="E315" s="316"/>
      <c r="F315" s="7"/>
      <c r="G315" s="38">
        <f>G316</f>
        <v>0</v>
      </c>
      <c r="H315" s="38">
        <f>H316</f>
        <v>0</v>
      </c>
    </row>
    <row r="316" spans="1:8" ht="15.75" hidden="1" x14ac:dyDescent="0.25">
      <c r="A316" s="111" t="s">
        <v>186</v>
      </c>
      <c r="B316" s="365" t="s">
        <v>1026</v>
      </c>
      <c r="C316" s="365" t="s">
        <v>187</v>
      </c>
      <c r="D316" s="365"/>
      <c r="E316" s="365"/>
      <c r="F316" s="360"/>
      <c r="G316" s="10">
        <f>G317+G322</f>
        <v>0</v>
      </c>
      <c r="H316" s="10">
        <f>H317+H322</f>
        <v>0</v>
      </c>
    </row>
    <row r="317" spans="1:8" ht="15.75" hidden="1" x14ac:dyDescent="0.25">
      <c r="A317" s="31" t="s">
        <v>236</v>
      </c>
      <c r="B317" s="365" t="s">
        <v>1026</v>
      </c>
      <c r="C317" s="365" t="s">
        <v>187</v>
      </c>
      <c r="D317" s="365" t="s">
        <v>116</v>
      </c>
      <c r="E317" s="365"/>
      <c r="F317" s="360"/>
      <c r="G317" s="10">
        <f t="shared" ref="G317:H319" si="45">G318</f>
        <v>0</v>
      </c>
      <c r="H317" s="10">
        <f t="shared" si="45"/>
        <v>0</v>
      </c>
    </row>
    <row r="318" spans="1:8" ht="31.5" hidden="1" x14ac:dyDescent="0.25">
      <c r="A318" s="200" t="s">
        <v>1025</v>
      </c>
      <c r="B318" s="365" t="s">
        <v>1027</v>
      </c>
      <c r="C318" s="365" t="s">
        <v>187</v>
      </c>
      <c r="D318" s="365" t="s">
        <v>116</v>
      </c>
      <c r="E318" s="365"/>
      <c r="F318" s="360"/>
      <c r="G318" s="10">
        <f t="shared" si="45"/>
        <v>0</v>
      </c>
      <c r="H318" s="10">
        <f t="shared" si="45"/>
        <v>0</v>
      </c>
    </row>
    <row r="319" spans="1:8" ht="31.5" hidden="1" x14ac:dyDescent="0.25">
      <c r="A319" s="24" t="s">
        <v>191</v>
      </c>
      <c r="B319" s="365" t="s">
        <v>1027</v>
      </c>
      <c r="C319" s="365" t="s">
        <v>187</v>
      </c>
      <c r="D319" s="365" t="s">
        <v>116</v>
      </c>
      <c r="E319" s="365" t="s">
        <v>192</v>
      </c>
      <c r="F319" s="360"/>
      <c r="G319" s="10">
        <f t="shared" si="45"/>
        <v>0</v>
      </c>
      <c r="H319" s="10">
        <f t="shared" si="45"/>
        <v>0</v>
      </c>
    </row>
    <row r="320" spans="1:8" ht="15.75" hidden="1" x14ac:dyDescent="0.25">
      <c r="A320" s="24" t="s">
        <v>193</v>
      </c>
      <c r="B320" s="365" t="s">
        <v>1027</v>
      </c>
      <c r="C320" s="365" t="s">
        <v>187</v>
      </c>
      <c r="D320" s="365" t="s">
        <v>116</v>
      </c>
      <c r="E320" s="365" t="s">
        <v>194</v>
      </c>
      <c r="F320" s="360"/>
      <c r="G320" s="10">
        <f>'Пр.4 ведом.22'!G664</f>
        <v>0</v>
      </c>
      <c r="H320" s="10">
        <f>'Пр.4 ведом.22'!H664</f>
        <v>0</v>
      </c>
    </row>
    <row r="321" spans="1:8" ht="31.5" hidden="1" x14ac:dyDescent="0.25">
      <c r="A321" s="22" t="s">
        <v>235</v>
      </c>
      <c r="B321" s="365" t="s">
        <v>1027</v>
      </c>
      <c r="C321" s="365" t="s">
        <v>187</v>
      </c>
      <c r="D321" s="365" t="s">
        <v>116</v>
      </c>
      <c r="E321" s="365" t="s">
        <v>194</v>
      </c>
      <c r="F321" s="360" t="s">
        <v>307</v>
      </c>
      <c r="G321" s="10">
        <f>G320</f>
        <v>0</v>
      </c>
      <c r="H321" s="10">
        <f>H320</f>
        <v>0</v>
      </c>
    </row>
    <row r="322" spans="1:8" ht="15.75" hidden="1" x14ac:dyDescent="0.25">
      <c r="A322" s="111" t="s">
        <v>239</v>
      </c>
      <c r="B322" s="365" t="s">
        <v>1027</v>
      </c>
      <c r="C322" s="365" t="s">
        <v>187</v>
      </c>
      <c r="D322" s="365" t="s">
        <v>158</v>
      </c>
      <c r="E322" s="365"/>
      <c r="F322" s="360"/>
      <c r="G322" s="10">
        <f t="shared" ref="G322:H324" si="46">G323</f>
        <v>0</v>
      </c>
      <c r="H322" s="10">
        <f t="shared" si="46"/>
        <v>0</v>
      </c>
    </row>
    <row r="323" spans="1:8" ht="31.5" hidden="1" x14ac:dyDescent="0.25">
      <c r="A323" s="200" t="s">
        <v>1025</v>
      </c>
      <c r="B323" s="365" t="s">
        <v>1027</v>
      </c>
      <c r="C323" s="365" t="s">
        <v>187</v>
      </c>
      <c r="D323" s="365" t="s">
        <v>158</v>
      </c>
      <c r="E323" s="365"/>
      <c r="F323" s="360"/>
      <c r="G323" s="10">
        <f t="shared" si="46"/>
        <v>0</v>
      </c>
      <c r="H323" s="10">
        <f t="shared" si="46"/>
        <v>0</v>
      </c>
    </row>
    <row r="324" spans="1:8" ht="31.5" hidden="1" x14ac:dyDescent="0.25">
      <c r="A324" s="24" t="s">
        <v>191</v>
      </c>
      <c r="B324" s="365" t="s">
        <v>1027</v>
      </c>
      <c r="C324" s="365" t="s">
        <v>187</v>
      </c>
      <c r="D324" s="365" t="s">
        <v>158</v>
      </c>
      <c r="E324" s="365" t="s">
        <v>192</v>
      </c>
      <c r="F324" s="360"/>
      <c r="G324" s="10">
        <f t="shared" si="46"/>
        <v>0</v>
      </c>
      <c r="H324" s="10">
        <f t="shared" si="46"/>
        <v>0</v>
      </c>
    </row>
    <row r="325" spans="1:8" ht="15.75" hidden="1" x14ac:dyDescent="0.25">
      <c r="A325" s="24" t="s">
        <v>193</v>
      </c>
      <c r="B325" s="365" t="s">
        <v>1027</v>
      </c>
      <c r="C325" s="365" t="s">
        <v>187</v>
      </c>
      <c r="D325" s="365" t="s">
        <v>158</v>
      </c>
      <c r="E325" s="365" t="s">
        <v>194</v>
      </c>
      <c r="F325" s="360"/>
      <c r="G325" s="10">
        <f>'Пр.4 ведом.22'!G745</f>
        <v>0</v>
      </c>
      <c r="H325" s="10">
        <f>'Пр.4 ведом.22'!H745</f>
        <v>0</v>
      </c>
    </row>
    <row r="326" spans="1:8" ht="31.5" hidden="1" x14ac:dyDescent="0.25">
      <c r="A326" s="22" t="s">
        <v>235</v>
      </c>
      <c r="B326" s="365" t="s">
        <v>1027</v>
      </c>
      <c r="C326" s="365" t="s">
        <v>187</v>
      </c>
      <c r="D326" s="365" t="s">
        <v>158</v>
      </c>
      <c r="E326" s="365" t="s">
        <v>194</v>
      </c>
      <c r="F326" s="360" t="s">
        <v>307</v>
      </c>
      <c r="G326" s="10">
        <f>G325</f>
        <v>0</v>
      </c>
      <c r="H326" s="10">
        <f>H325</f>
        <v>0</v>
      </c>
    </row>
    <row r="327" spans="1:8" ht="47.25" hidden="1" x14ac:dyDescent="0.25">
      <c r="A327" s="201" t="s">
        <v>1028</v>
      </c>
      <c r="B327" s="316" t="s">
        <v>1031</v>
      </c>
      <c r="C327" s="316"/>
      <c r="D327" s="316"/>
      <c r="E327" s="316"/>
      <c r="F327" s="7"/>
      <c r="G327" s="38">
        <f t="shared" ref="G327:H331" si="47">G328</f>
        <v>0</v>
      </c>
      <c r="H327" s="38">
        <f t="shared" si="47"/>
        <v>0</v>
      </c>
    </row>
    <row r="328" spans="1:8" ht="15.75" hidden="1" x14ac:dyDescent="0.25">
      <c r="A328" s="111" t="s">
        <v>186</v>
      </c>
      <c r="B328" s="365" t="s">
        <v>1031</v>
      </c>
      <c r="C328" s="365" t="s">
        <v>187</v>
      </c>
      <c r="D328" s="365"/>
      <c r="E328" s="365"/>
      <c r="F328" s="360"/>
      <c r="G328" s="10">
        <f t="shared" si="47"/>
        <v>0</v>
      </c>
      <c r="H328" s="10">
        <f t="shared" si="47"/>
        <v>0</v>
      </c>
    </row>
    <row r="329" spans="1:8" ht="15.75" hidden="1" x14ac:dyDescent="0.25">
      <c r="A329" s="31" t="s">
        <v>236</v>
      </c>
      <c r="B329" s="365" t="s">
        <v>1031</v>
      </c>
      <c r="C329" s="365" t="s">
        <v>187</v>
      </c>
      <c r="D329" s="365" t="s">
        <v>116</v>
      </c>
      <c r="E329" s="365"/>
      <c r="F329" s="360"/>
      <c r="G329" s="10">
        <f t="shared" si="47"/>
        <v>0</v>
      </c>
      <c r="H329" s="10">
        <f t="shared" si="47"/>
        <v>0</v>
      </c>
    </row>
    <row r="330" spans="1:8" ht="47.25" hidden="1" x14ac:dyDescent="0.25">
      <c r="A330" s="200" t="s">
        <v>1029</v>
      </c>
      <c r="B330" s="365" t="s">
        <v>1030</v>
      </c>
      <c r="C330" s="365" t="s">
        <v>187</v>
      </c>
      <c r="D330" s="365" t="s">
        <v>116</v>
      </c>
      <c r="E330" s="365"/>
      <c r="F330" s="360"/>
      <c r="G330" s="10">
        <f>G331</f>
        <v>0</v>
      </c>
      <c r="H330" s="10">
        <f>H331</f>
        <v>0</v>
      </c>
    </row>
    <row r="331" spans="1:8" ht="31.5" hidden="1" x14ac:dyDescent="0.25">
      <c r="A331" s="24" t="s">
        <v>191</v>
      </c>
      <c r="B331" s="365" t="s">
        <v>1030</v>
      </c>
      <c r="C331" s="365" t="s">
        <v>187</v>
      </c>
      <c r="D331" s="365" t="s">
        <v>116</v>
      </c>
      <c r="E331" s="365" t="s">
        <v>192</v>
      </c>
      <c r="F331" s="360"/>
      <c r="G331" s="10">
        <f t="shared" si="47"/>
        <v>0</v>
      </c>
      <c r="H331" s="10">
        <f t="shared" si="47"/>
        <v>0</v>
      </c>
    </row>
    <row r="332" spans="1:8" ht="15.75" hidden="1" x14ac:dyDescent="0.25">
      <c r="A332" s="24" t="s">
        <v>193</v>
      </c>
      <c r="B332" s="365" t="s">
        <v>1030</v>
      </c>
      <c r="C332" s="365" t="s">
        <v>187</v>
      </c>
      <c r="D332" s="365" t="s">
        <v>116</v>
      </c>
      <c r="E332" s="365" t="s">
        <v>194</v>
      </c>
      <c r="F332" s="360"/>
      <c r="G332" s="10">
        <f>'Пр.4 ведом.22'!G668</f>
        <v>0</v>
      </c>
      <c r="H332" s="10">
        <f>'Пр.4 ведом.22'!H668</f>
        <v>0</v>
      </c>
    </row>
    <row r="333" spans="1:8" ht="31.5" hidden="1" x14ac:dyDescent="0.25">
      <c r="A333" s="22" t="s">
        <v>235</v>
      </c>
      <c r="B333" s="365" t="s">
        <v>1030</v>
      </c>
      <c r="C333" s="365" t="s">
        <v>187</v>
      </c>
      <c r="D333" s="365" t="s">
        <v>116</v>
      </c>
      <c r="E333" s="365" t="s">
        <v>194</v>
      </c>
      <c r="F333" s="360" t="s">
        <v>307</v>
      </c>
      <c r="G333" s="10">
        <f>G332</f>
        <v>0</v>
      </c>
      <c r="H333" s="10">
        <f>H332</f>
        <v>0</v>
      </c>
    </row>
    <row r="334" spans="1:8" ht="48.2" hidden="1" customHeight="1" x14ac:dyDescent="0.25">
      <c r="A334" s="143" t="s">
        <v>722</v>
      </c>
      <c r="B334" s="316" t="s">
        <v>828</v>
      </c>
      <c r="C334" s="360"/>
      <c r="D334" s="360"/>
      <c r="E334" s="360"/>
      <c r="F334" s="360"/>
      <c r="G334" s="38">
        <f t="shared" ref="G334:H338" si="48">G335</f>
        <v>0</v>
      </c>
      <c r="H334" s="38">
        <f t="shared" si="48"/>
        <v>0</v>
      </c>
    </row>
    <row r="335" spans="1:8" ht="15" hidden="1" customHeight="1" x14ac:dyDescent="0.25">
      <c r="A335" s="22" t="s">
        <v>186</v>
      </c>
      <c r="B335" s="365" t="s">
        <v>828</v>
      </c>
      <c r="C335" s="360" t="s">
        <v>187</v>
      </c>
      <c r="D335" s="360"/>
      <c r="E335" s="360"/>
      <c r="F335" s="360"/>
      <c r="G335" s="10">
        <f t="shared" si="48"/>
        <v>0</v>
      </c>
      <c r="H335" s="10">
        <f t="shared" si="48"/>
        <v>0</v>
      </c>
    </row>
    <row r="336" spans="1:8" ht="19.5" hidden="1" customHeight="1" x14ac:dyDescent="0.25">
      <c r="A336" s="22" t="s">
        <v>239</v>
      </c>
      <c r="B336" s="365" t="s">
        <v>828</v>
      </c>
      <c r="C336" s="360" t="s">
        <v>187</v>
      </c>
      <c r="D336" s="360" t="s">
        <v>158</v>
      </c>
      <c r="E336" s="360"/>
      <c r="F336" s="360"/>
      <c r="G336" s="10">
        <f t="shared" si="48"/>
        <v>0</v>
      </c>
      <c r="H336" s="10">
        <f t="shared" si="48"/>
        <v>0</v>
      </c>
    </row>
    <row r="337" spans="1:8" ht="62.45" hidden="1" customHeight="1" x14ac:dyDescent="0.25">
      <c r="A337" s="111" t="s">
        <v>971</v>
      </c>
      <c r="B337" s="365" t="s">
        <v>829</v>
      </c>
      <c r="C337" s="360" t="s">
        <v>187</v>
      </c>
      <c r="D337" s="360" t="s">
        <v>158</v>
      </c>
      <c r="E337" s="360"/>
      <c r="F337" s="360"/>
      <c r="G337" s="10">
        <f t="shared" si="48"/>
        <v>0</v>
      </c>
      <c r="H337" s="10">
        <f t="shared" si="48"/>
        <v>0</v>
      </c>
    </row>
    <row r="338" spans="1:8" ht="33.75" hidden="1" customHeight="1" x14ac:dyDescent="0.25">
      <c r="A338" s="24" t="s">
        <v>191</v>
      </c>
      <c r="B338" s="365" t="s">
        <v>829</v>
      </c>
      <c r="C338" s="360" t="s">
        <v>187</v>
      </c>
      <c r="D338" s="360" t="s">
        <v>158</v>
      </c>
      <c r="E338" s="360" t="s">
        <v>192</v>
      </c>
      <c r="F338" s="360"/>
      <c r="G338" s="10">
        <f t="shared" si="48"/>
        <v>0</v>
      </c>
      <c r="H338" s="10">
        <f t="shared" si="48"/>
        <v>0</v>
      </c>
    </row>
    <row r="339" spans="1:8" ht="21.2" hidden="1" customHeight="1" x14ac:dyDescent="0.25">
      <c r="A339" s="24" t="s">
        <v>193</v>
      </c>
      <c r="B339" s="365" t="s">
        <v>829</v>
      </c>
      <c r="C339" s="360" t="s">
        <v>187</v>
      </c>
      <c r="D339" s="360" t="s">
        <v>158</v>
      </c>
      <c r="E339" s="360" t="s">
        <v>194</v>
      </c>
      <c r="F339" s="360"/>
      <c r="G339" s="10">
        <f>'Пр.4 ведом.22'!G749</f>
        <v>0</v>
      </c>
      <c r="H339" s="10">
        <f>'Пр.4 ведом.22'!H749</f>
        <v>0</v>
      </c>
    </row>
    <row r="340" spans="1:8" ht="31.7" hidden="1" customHeight="1" x14ac:dyDescent="0.25">
      <c r="A340" s="22" t="s">
        <v>235</v>
      </c>
      <c r="B340" s="365" t="s">
        <v>829</v>
      </c>
      <c r="C340" s="360" t="s">
        <v>187</v>
      </c>
      <c r="D340" s="360" t="s">
        <v>158</v>
      </c>
      <c r="E340" s="360" t="s">
        <v>194</v>
      </c>
      <c r="F340" s="360" t="s">
        <v>307</v>
      </c>
      <c r="G340" s="10">
        <f>G334</f>
        <v>0</v>
      </c>
      <c r="H340" s="10">
        <f>H334</f>
        <v>0</v>
      </c>
    </row>
    <row r="341" spans="1:8" ht="31.7" hidden="1" customHeight="1" x14ac:dyDescent="0.25">
      <c r="A341" s="26" t="s">
        <v>950</v>
      </c>
      <c r="B341" s="316" t="s">
        <v>951</v>
      </c>
      <c r="C341" s="360"/>
      <c r="D341" s="360"/>
      <c r="E341" s="360"/>
      <c r="F341" s="360"/>
      <c r="G341" s="38">
        <f t="shared" ref="G341:H345" si="49">G342</f>
        <v>0</v>
      </c>
      <c r="H341" s="38">
        <f t="shared" si="49"/>
        <v>0</v>
      </c>
    </row>
    <row r="342" spans="1:8" ht="15.75" hidden="1" x14ac:dyDescent="0.25">
      <c r="A342" s="22" t="s">
        <v>186</v>
      </c>
      <c r="B342" s="365" t="s">
        <v>951</v>
      </c>
      <c r="C342" s="360" t="s">
        <v>187</v>
      </c>
      <c r="D342" s="360"/>
      <c r="E342" s="360"/>
      <c r="F342" s="360"/>
      <c r="G342" s="10">
        <f t="shared" si="49"/>
        <v>0</v>
      </c>
      <c r="H342" s="10">
        <f t="shared" si="49"/>
        <v>0</v>
      </c>
    </row>
    <row r="343" spans="1:8" ht="15.75" hidden="1" x14ac:dyDescent="0.25">
      <c r="A343" s="22" t="s">
        <v>239</v>
      </c>
      <c r="B343" s="365" t="s">
        <v>951</v>
      </c>
      <c r="C343" s="360" t="s">
        <v>187</v>
      </c>
      <c r="D343" s="360" t="s">
        <v>158</v>
      </c>
      <c r="E343" s="360"/>
      <c r="F343" s="360"/>
      <c r="G343" s="10">
        <f t="shared" si="49"/>
        <v>0</v>
      </c>
      <c r="H343" s="10">
        <f t="shared" si="49"/>
        <v>0</v>
      </c>
    </row>
    <row r="344" spans="1:8" ht="57.75" hidden="1" customHeight="1" x14ac:dyDescent="0.25">
      <c r="A344" s="24" t="s">
        <v>972</v>
      </c>
      <c r="B344" s="365" t="s">
        <v>952</v>
      </c>
      <c r="C344" s="360" t="s">
        <v>187</v>
      </c>
      <c r="D344" s="360" t="s">
        <v>158</v>
      </c>
      <c r="E344" s="360"/>
      <c r="F344" s="360"/>
      <c r="G344" s="10">
        <f t="shared" si="49"/>
        <v>0</v>
      </c>
      <c r="H344" s="10">
        <f t="shared" si="49"/>
        <v>0</v>
      </c>
    </row>
    <row r="345" spans="1:8" ht="31.7" hidden="1" customHeight="1" x14ac:dyDescent="0.25">
      <c r="A345" s="24" t="s">
        <v>191</v>
      </c>
      <c r="B345" s="365" t="s">
        <v>952</v>
      </c>
      <c r="C345" s="360" t="s">
        <v>187</v>
      </c>
      <c r="D345" s="360" t="s">
        <v>158</v>
      </c>
      <c r="E345" s="360" t="s">
        <v>192</v>
      </c>
      <c r="F345" s="360"/>
      <c r="G345" s="10">
        <f t="shared" si="49"/>
        <v>0</v>
      </c>
      <c r="H345" s="10">
        <f t="shared" si="49"/>
        <v>0</v>
      </c>
    </row>
    <row r="346" spans="1:8" ht="31.7" hidden="1" customHeight="1" x14ac:dyDescent="0.25">
      <c r="A346" s="24" t="s">
        <v>193</v>
      </c>
      <c r="B346" s="365" t="s">
        <v>952</v>
      </c>
      <c r="C346" s="360" t="s">
        <v>187</v>
      </c>
      <c r="D346" s="360" t="s">
        <v>158</v>
      </c>
      <c r="E346" s="360" t="s">
        <v>194</v>
      </c>
      <c r="F346" s="360"/>
      <c r="G346" s="10">
        <f>'Пр.4 ведом.22'!G753</f>
        <v>0</v>
      </c>
      <c r="H346" s="10">
        <f>'Пр.4 ведом.22'!H753</f>
        <v>0</v>
      </c>
    </row>
    <row r="347" spans="1:8" ht="31.7" hidden="1" customHeight="1" x14ac:dyDescent="0.25">
      <c r="A347" s="22" t="s">
        <v>235</v>
      </c>
      <c r="B347" s="365" t="s">
        <v>952</v>
      </c>
      <c r="C347" s="360" t="s">
        <v>187</v>
      </c>
      <c r="D347" s="360" t="s">
        <v>158</v>
      </c>
      <c r="E347" s="360" t="s">
        <v>194</v>
      </c>
      <c r="F347" s="360" t="s">
        <v>307</v>
      </c>
      <c r="G347" s="10">
        <f>G341</f>
        <v>0</v>
      </c>
      <c r="H347" s="10">
        <f>H341</f>
        <v>0</v>
      </c>
    </row>
    <row r="348" spans="1:8" ht="31.5" x14ac:dyDescent="0.25">
      <c r="A348" s="26" t="s">
        <v>957</v>
      </c>
      <c r="B348" s="316" t="s">
        <v>955</v>
      </c>
      <c r="C348" s="360"/>
      <c r="D348" s="360"/>
      <c r="E348" s="360"/>
      <c r="F348" s="360"/>
      <c r="G348" s="38">
        <f t="shared" ref="G348:H351" si="50">G349</f>
        <v>2414</v>
      </c>
      <c r="H348" s="38">
        <f t="shared" si="50"/>
        <v>0</v>
      </c>
    </row>
    <row r="349" spans="1:8" ht="15.75" x14ac:dyDescent="0.25">
      <c r="A349" s="22" t="s">
        <v>186</v>
      </c>
      <c r="B349" s="365" t="s">
        <v>956</v>
      </c>
      <c r="C349" s="360" t="s">
        <v>187</v>
      </c>
      <c r="D349" s="360"/>
      <c r="E349" s="360"/>
      <c r="F349" s="360"/>
      <c r="G349" s="10">
        <f t="shared" si="50"/>
        <v>2414</v>
      </c>
      <c r="H349" s="10">
        <f t="shared" si="50"/>
        <v>0</v>
      </c>
    </row>
    <row r="350" spans="1:8" ht="15.75" x14ac:dyDescent="0.25">
      <c r="A350" s="22" t="s">
        <v>239</v>
      </c>
      <c r="B350" s="365" t="s">
        <v>956</v>
      </c>
      <c r="C350" s="360" t="s">
        <v>187</v>
      </c>
      <c r="D350" s="360" t="s">
        <v>158</v>
      </c>
      <c r="E350" s="360"/>
      <c r="F350" s="360"/>
      <c r="G350" s="10">
        <f t="shared" si="50"/>
        <v>2414</v>
      </c>
      <c r="H350" s="10">
        <f t="shared" si="50"/>
        <v>0</v>
      </c>
    </row>
    <row r="351" spans="1:8" ht="49.5" customHeight="1" x14ac:dyDescent="0.25">
      <c r="A351" s="401" t="s">
        <v>1346</v>
      </c>
      <c r="B351" s="365" t="s">
        <v>956</v>
      </c>
      <c r="C351" s="360" t="s">
        <v>187</v>
      </c>
      <c r="D351" s="360" t="s">
        <v>158</v>
      </c>
      <c r="E351" s="360" t="s">
        <v>192</v>
      </c>
      <c r="F351" s="360"/>
      <c r="G351" s="10">
        <f t="shared" si="50"/>
        <v>2414</v>
      </c>
      <c r="H351" s="10">
        <f t="shared" si="50"/>
        <v>0</v>
      </c>
    </row>
    <row r="352" spans="1:8" ht="31.5" x14ac:dyDescent="0.25">
      <c r="A352" s="24" t="s">
        <v>191</v>
      </c>
      <c r="B352" s="365" t="s">
        <v>956</v>
      </c>
      <c r="C352" s="360" t="s">
        <v>187</v>
      </c>
      <c r="D352" s="360" t="s">
        <v>158</v>
      </c>
      <c r="E352" s="360" t="s">
        <v>194</v>
      </c>
      <c r="F352" s="360"/>
      <c r="G352" s="10">
        <f>'Пр.4.1 ведом.23-24 '!G757</f>
        <v>2414</v>
      </c>
      <c r="H352" s="10">
        <f>'Пр.4.1 ведом.23-24 '!H757</f>
        <v>0</v>
      </c>
    </row>
    <row r="353" spans="1:8" ht="15.75" x14ac:dyDescent="0.25">
      <c r="A353" s="24" t="s">
        <v>193</v>
      </c>
      <c r="B353" s="365" t="s">
        <v>956</v>
      </c>
      <c r="C353" s="360" t="s">
        <v>187</v>
      </c>
      <c r="D353" s="360" t="s">
        <v>158</v>
      </c>
      <c r="E353" s="360" t="s">
        <v>194</v>
      </c>
      <c r="F353" s="360" t="s">
        <v>307</v>
      </c>
      <c r="G353" s="10">
        <f>G352</f>
        <v>2414</v>
      </c>
      <c r="H353" s="10">
        <f>H352</f>
        <v>0</v>
      </c>
    </row>
    <row r="354" spans="1:8" ht="47.25" x14ac:dyDescent="0.25">
      <c r="A354" s="37" t="s">
        <v>878</v>
      </c>
      <c r="B354" s="122" t="s">
        <v>141</v>
      </c>
      <c r="C354" s="7"/>
      <c r="D354" s="122"/>
      <c r="E354" s="122"/>
      <c r="F354" s="122"/>
      <c r="G354" s="38">
        <f>G356</f>
        <v>150</v>
      </c>
      <c r="H354" s="38">
        <f>H356</f>
        <v>150</v>
      </c>
    </row>
    <row r="355" spans="1:8" ht="36.75" customHeight="1" x14ac:dyDescent="0.25">
      <c r="A355" s="315" t="s">
        <v>621</v>
      </c>
      <c r="B355" s="316" t="s">
        <v>619</v>
      </c>
      <c r="C355" s="7"/>
      <c r="D355" s="7"/>
      <c r="E355" s="7"/>
      <c r="F355" s="7"/>
      <c r="G355" s="38">
        <f t="shared" ref="G355:H359" si="51">G356</f>
        <v>150</v>
      </c>
      <c r="H355" s="38">
        <f t="shared" si="51"/>
        <v>150</v>
      </c>
    </row>
    <row r="356" spans="1:8" ht="15.75" x14ac:dyDescent="0.25">
      <c r="A356" s="31" t="s">
        <v>166</v>
      </c>
      <c r="B356" s="5" t="s">
        <v>619</v>
      </c>
      <c r="C356" s="360" t="s">
        <v>139</v>
      </c>
      <c r="D356" s="360"/>
      <c r="E356" s="360"/>
      <c r="F356" s="360"/>
      <c r="G356" s="10">
        <f t="shared" si="51"/>
        <v>150</v>
      </c>
      <c r="H356" s="10">
        <f t="shared" si="51"/>
        <v>150</v>
      </c>
    </row>
    <row r="357" spans="1:8" ht="15.75" x14ac:dyDescent="0.25">
      <c r="A357" s="31" t="s">
        <v>354</v>
      </c>
      <c r="B357" s="5" t="s">
        <v>619</v>
      </c>
      <c r="C357" s="360" t="s">
        <v>139</v>
      </c>
      <c r="D357" s="360" t="s">
        <v>171</v>
      </c>
      <c r="E357" s="360"/>
      <c r="F357" s="360"/>
      <c r="G357" s="10">
        <f t="shared" si="51"/>
        <v>150</v>
      </c>
      <c r="H357" s="10">
        <f t="shared" si="51"/>
        <v>150</v>
      </c>
    </row>
    <row r="358" spans="1:8" ht="31.5" x14ac:dyDescent="0.25">
      <c r="A358" s="364" t="s">
        <v>622</v>
      </c>
      <c r="B358" s="365" t="s">
        <v>620</v>
      </c>
      <c r="C358" s="360" t="s">
        <v>139</v>
      </c>
      <c r="D358" s="360" t="s">
        <v>171</v>
      </c>
      <c r="E358" s="360"/>
      <c r="F358" s="360"/>
      <c r="G358" s="10">
        <f t="shared" si="51"/>
        <v>150</v>
      </c>
      <c r="H358" s="10">
        <f t="shared" si="51"/>
        <v>150</v>
      </c>
    </row>
    <row r="359" spans="1:8" ht="15.75" x14ac:dyDescent="0.25">
      <c r="A359" s="364" t="s">
        <v>127</v>
      </c>
      <c r="B359" s="365" t="s">
        <v>620</v>
      </c>
      <c r="C359" s="360" t="s">
        <v>139</v>
      </c>
      <c r="D359" s="360" t="s">
        <v>171</v>
      </c>
      <c r="E359" s="360" t="s">
        <v>124</v>
      </c>
      <c r="F359" s="360"/>
      <c r="G359" s="10">
        <f t="shared" si="51"/>
        <v>150</v>
      </c>
      <c r="H359" s="10">
        <f t="shared" si="51"/>
        <v>150</v>
      </c>
    </row>
    <row r="360" spans="1:8" ht="47.25" x14ac:dyDescent="0.25">
      <c r="A360" s="364" t="s">
        <v>148</v>
      </c>
      <c r="B360" s="365" t="s">
        <v>620</v>
      </c>
      <c r="C360" s="360" t="s">
        <v>139</v>
      </c>
      <c r="D360" s="360" t="s">
        <v>171</v>
      </c>
      <c r="E360" s="360" t="s">
        <v>126</v>
      </c>
      <c r="F360" s="360"/>
      <c r="G360" s="10">
        <f>'Пр.4.1 ведом.23-24 '!G224</f>
        <v>150</v>
      </c>
      <c r="H360" s="10">
        <f>'Пр.4.1 ведом.23-24 '!H224</f>
        <v>150</v>
      </c>
    </row>
    <row r="361" spans="1:8" ht="15.75" x14ac:dyDescent="0.25">
      <c r="A361" s="22" t="s">
        <v>137</v>
      </c>
      <c r="B361" s="365" t="s">
        <v>620</v>
      </c>
      <c r="C361" s="360" t="s">
        <v>139</v>
      </c>
      <c r="D361" s="360" t="s">
        <v>171</v>
      </c>
      <c r="E361" s="360" t="s">
        <v>126</v>
      </c>
      <c r="F361" s="360" t="s">
        <v>308</v>
      </c>
      <c r="G361" s="10">
        <f>G360</f>
        <v>150</v>
      </c>
      <c r="H361" s="10">
        <f>H360</f>
        <v>150</v>
      </c>
    </row>
    <row r="362" spans="1:8" ht="45.75" customHeight="1" x14ac:dyDescent="0.25">
      <c r="A362" s="359" t="s">
        <v>866</v>
      </c>
      <c r="B362" s="122" t="s">
        <v>143</v>
      </c>
      <c r="C362" s="7"/>
      <c r="D362" s="7"/>
      <c r="E362" s="7"/>
      <c r="F362" s="7"/>
      <c r="G362" s="38">
        <f>G363+G370+G389</f>
        <v>604</v>
      </c>
      <c r="H362" s="38">
        <f>H363+H370+H389</f>
        <v>604</v>
      </c>
    </row>
    <row r="363" spans="1:8" ht="67.7" customHeight="1" x14ac:dyDescent="0.25">
      <c r="A363" s="202" t="s">
        <v>842</v>
      </c>
      <c r="B363" s="7" t="s">
        <v>425</v>
      </c>
      <c r="C363" s="7"/>
      <c r="D363" s="8"/>
      <c r="E363" s="122"/>
      <c r="F363" s="7"/>
      <c r="G363" s="38">
        <f>G365</f>
        <v>526</v>
      </c>
      <c r="H363" s="38">
        <f>H365</f>
        <v>526</v>
      </c>
    </row>
    <row r="364" spans="1:8" ht="15.75" customHeight="1" x14ac:dyDescent="0.25">
      <c r="A364" s="31" t="s">
        <v>115</v>
      </c>
      <c r="B364" s="5" t="s">
        <v>425</v>
      </c>
      <c r="C364" s="360" t="s">
        <v>116</v>
      </c>
      <c r="D364" s="5"/>
      <c r="E364" s="5"/>
      <c r="F364" s="360"/>
      <c r="G364" s="10">
        <f t="shared" ref="G364:H364" si="52">G365</f>
        <v>526</v>
      </c>
      <c r="H364" s="10">
        <f t="shared" si="52"/>
        <v>526</v>
      </c>
    </row>
    <row r="365" spans="1:8" ht="45.75" customHeight="1" x14ac:dyDescent="0.25">
      <c r="A365" s="22" t="s">
        <v>138</v>
      </c>
      <c r="B365" s="5" t="s">
        <v>425</v>
      </c>
      <c r="C365" s="360" t="s">
        <v>116</v>
      </c>
      <c r="D365" s="9" t="s">
        <v>139</v>
      </c>
      <c r="E365" s="5"/>
      <c r="F365" s="360"/>
      <c r="G365" s="10">
        <f>G366</f>
        <v>526</v>
      </c>
      <c r="H365" s="10">
        <f>H366</f>
        <v>526</v>
      </c>
    </row>
    <row r="366" spans="1:8" ht="62.45" customHeight="1" x14ac:dyDescent="0.25">
      <c r="A366" s="22" t="s">
        <v>820</v>
      </c>
      <c r="B366" s="360" t="s">
        <v>418</v>
      </c>
      <c r="C366" s="360" t="s">
        <v>116</v>
      </c>
      <c r="D366" s="9" t="s">
        <v>139</v>
      </c>
      <c r="E366" s="360"/>
      <c r="F366" s="360"/>
      <c r="G366" s="10">
        <f t="shared" ref="G366:H367" si="53">G367</f>
        <v>526</v>
      </c>
      <c r="H366" s="10">
        <f t="shared" si="53"/>
        <v>526</v>
      </c>
    </row>
    <row r="367" spans="1:8" ht="34.5" customHeight="1" x14ac:dyDescent="0.25">
      <c r="A367" s="22" t="s">
        <v>123</v>
      </c>
      <c r="B367" s="360" t="s">
        <v>418</v>
      </c>
      <c r="C367" s="360" t="s">
        <v>116</v>
      </c>
      <c r="D367" s="9" t="s">
        <v>139</v>
      </c>
      <c r="E367" s="360" t="s">
        <v>124</v>
      </c>
      <c r="F367" s="360"/>
      <c r="G367" s="10">
        <f t="shared" si="53"/>
        <v>526</v>
      </c>
      <c r="H367" s="10">
        <f t="shared" si="53"/>
        <v>526</v>
      </c>
    </row>
    <row r="368" spans="1:8" ht="36" customHeight="1" x14ac:dyDescent="0.25">
      <c r="A368" s="22" t="s">
        <v>125</v>
      </c>
      <c r="B368" s="360" t="s">
        <v>418</v>
      </c>
      <c r="C368" s="360" t="s">
        <v>116</v>
      </c>
      <c r="D368" s="9" t="s">
        <v>139</v>
      </c>
      <c r="E368" s="360" t="s">
        <v>126</v>
      </c>
      <c r="F368" s="360"/>
      <c r="G368" s="10">
        <f>'Пр.4.1 ведом.23-24 '!G90</f>
        <v>526</v>
      </c>
      <c r="H368" s="10">
        <f>'Пр.4.1 ведом.23-24 '!H90</f>
        <v>526</v>
      </c>
    </row>
    <row r="369" spans="1:8" ht="20.25" customHeight="1" x14ac:dyDescent="0.25">
      <c r="A369" s="22" t="s">
        <v>137</v>
      </c>
      <c r="B369" s="360" t="s">
        <v>418</v>
      </c>
      <c r="C369" s="360" t="s">
        <v>116</v>
      </c>
      <c r="D369" s="9" t="s">
        <v>139</v>
      </c>
      <c r="E369" s="360" t="s">
        <v>126</v>
      </c>
      <c r="F369" s="360" t="s">
        <v>308</v>
      </c>
      <c r="G369" s="10">
        <f>G368</f>
        <v>526</v>
      </c>
      <c r="H369" s="10">
        <f>H368</f>
        <v>526</v>
      </c>
    </row>
    <row r="370" spans="1:8" ht="63" customHeight="1" x14ac:dyDescent="0.25">
      <c r="A370" s="146" t="s">
        <v>420</v>
      </c>
      <c r="B370" s="7" t="s">
        <v>426</v>
      </c>
      <c r="C370" s="7"/>
      <c r="D370" s="8"/>
      <c r="E370" s="122"/>
      <c r="F370" s="7"/>
      <c r="G370" s="38">
        <f>G371</f>
        <v>77.5</v>
      </c>
      <c r="H370" s="38">
        <f>H371</f>
        <v>77.5</v>
      </c>
    </row>
    <row r="371" spans="1:8" ht="15.75" x14ac:dyDescent="0.25">
      <c r="A371" s="31" t="s">
        <v>115</v>
      </c>
      <c r="B371" s="5" t="s">
        <v>426</v>
      </c>
      <c r="C371" s="360" t="s">
        <v>116</v>
      </c>
      <c r="D371" s="5"/>
      <c r="E371" s="5"/>
      <c r="F371" s="360"/>
      <c r="G371" s="10">
        <f>G372+G377</f>
        <v>77.5</v>
      </c>
      <c r="H371" s="10">
        <f>H372+H377</f>
        <v>77.5</v>
      </c>
    </row>
    <row r="372" spans="1:8" ht="47.25" x14ac:dyDescent="0.25">
      <c r="A372" s="364" t="s">
        <v>285</v>
      </c>
      <c r="B372" s="5" t="s">
        <v>426</v>
      </c>
      <c r="C372" s="360" t="s">
        <v>116</v>
      </c>
      <c r="D372" s="9" t="s">
        <v>158</v>
      </c>
      <c r="E372" s="5"/>
      <c r="F372" s="360"/>
      <c r="G372" s="10">
        <f t="shared" ref="G372:H374" si="54">G373</f>
        <v>0.5</v>
      </c>
      <c r="H372" s="10">
        <f t="shared" si="54"/>
        <v>0.5</v>
      </c>
    </row>
    <row r="373" spans="1:8" ht="47.25" x14ac:dyDescent="0.25">
      <c r="A373" s="24" t="s">
        <v>334</v>
      </c>
      <c r="B373" s="360" t="s">
        <v>556</v>
      </c>
      <c r="C373" s="365" t="s">
        <v>116</v>
      </c>
      <c r="D373" s="9" t="s">
        <v>158</v>
      </c>
      <c r="E373" s="5"/>
      <c r="F373" s="360"/>
      <c r="G373" s="10">
        <f t="shared" si="54"/>
        <v>0.5</v>
      </c>
      <c r="H373" s="10">
        <f t="shared" si="54"/>
        <v>0.5</v>
      </c>
    </row>
    <row r="374" spans="1:8" ht="31.5" x14ac:dyDescent="0.25">
      <c r="A374" s="364" t="s">
        <v>123</v>
      </c>
      <c r="B374" s="360" t="s">
        <v>335</v>
      </c>
      <c r="C374" s="365" t="s">
        <v>116</v>
      </c>
      <c r="D374" s="9" t="s">
        <v>158</v>
      </c>
      <c r="E374" s="5">
        <v>200</v>
      </c>
      <c r="F374" s="360"/>
      <c r="G374" s="10">
        <f t="shared" si="54"/>
        <v>0.5</v>
      </c>
      <c r="H374" s="10">
        <f t="shared" si="54"/>
        <v>0.5</v>
      </c>
    </row>
    <row r="375" spans="1:8" ht="31.5" x14ac:dyDescent="0.25">
      <c r="A375" s="364" t="s">
        <v>125</v>
      </c>
      <c r="B375" s="360" t="s">
        <v>335</v>
      </c>
      <c r="C375" s="365" t="s">
        <v>116</v>
      </c>
      <c r="D375" s="9" t="s">
        <v>158</v>
      </c>
      <c r="E375" s="5">
        <v>240</v>
      </c>
      <c r="F375" s="360"/>
      <c r="G375" s="10">
        <f>'Пр.4.1 ведом.23-24 '!G48</f>
        <v>0.5</v>
      </c>
      <c r="H375" s="10">
        <f>'Пр.4.1 ведом.23-24 '!H48</f>
        <v>0.5</v>
      </c>
    </row>
    <row r="376" spans="1:8" ht="15.75" x14ac:dyDescent="0.25">
      <c r="A376" s="364" t="s">
        <v>137</v>
      </c>
      <c r="B376" s="360" t="s">
        <v>335</v>
      </c>
      <c r="C376" s="365" t="s">
        <v>116</v>
      </c>
      <c r="D376" s="9" t="s">
        <v>158</v>
      </c>
      <c r="E376" s="5">
        <v>240</v>
      </c>
      <c r="F376" s="360" t="s">
        <v>308</v>
      </c>
      <c r="G376" s="10">
        <f>G373</f>
        <v>0.5</v>
      </c>
      <c r="H376" s="10">
        <f>H373</f>
        <v>0.5</v>
      </c>
    </row>
    <row r="377" spans="1:8" ht="63" x14ac:dyDescent="0.25">
      <c r="A377" s="22" t="s">
        <v>138</v>
      </c>
      <c r="B377" s="5" t="s">
        <v>426</v>
      </c>
      <c r="C377" s="360" t="s">
        <v>116</v>
      </c>
      <c r="D377" s="9" t="s">
        <v>139</v>
      </c>
      <c r="E377" s="5"/>
      <c r="F377" s="360"/>
      <c r="G377" s="10">
        <f>G378</f>
        <v>77</v>
      </c>
      <c r="H377" s="10">
        <f>H378</f>
        <v>77</v>
      </c>
    </row>
    <row r="378" spans="1:8" ht="47.25" x14ac:dyDescent="0.25">
      <c r="A378" s="103" t="s">
        <v>144</v>
      </c>
      <c r="B378" s="360" t="s">
        <v>419</v>
      </c>
      <c r="C378" s="360" t="s">
        <v>116</v>
      </c>
      <c r="D378" s="9" t="s">
        <v>139</v>
      </c>
      <c r="E378" s="360"/>
      <c r="F378" s="360"/>
      <c r="G378" s="10">
        <f>G379+G382</f>
        <v>77</v>
      </c>
      <c r="H378" s="10">
        <f>H379+H382</f>
        <v>77</v>
      </c>
    </row>
    <row r="379" spans="1:8" ht="78.75" x14ac:dyDescent="0.25">
      <c r="A379" s="364" t="s">
        <v>119</v>
      </c>
      <c r="B379" s="360" t="s">
        <v>419</v>
      </c>
      <c r="C379" s="360" t="s">
        <v>116</v>
      </c>
      <c r="D379" s="9" t="s">
        <v>139</v>
      </c>
      <c r="E379" s="360" t="s">
        <v>120</v>
      </c>
      <c r="F379" s="360"/>
      <c r="G379" s="10">
        <f>G380</f>
        <v>37.200000000000003</v>
      </c>
      <c r="H379" s="10">
        <f>H380</f>
        <v>37.200000000000003</v>
      </c>
    </row>
    <row r="380" spans="1:8" ht="31.5" x14ac:dyDescent="0.25">
      <c r="A380" s="364" t="s">
        <v>121</v>
      </c>
      <c r="B380" s="360" t="s">
        <v>419</v>
      </c>
      <c r="C380" s="360" t="s">
        <v>116</v>
      </c>
      <c r="D380" s="9" t="s">
        <v>139</v>
      </c>
      <c r="E380" s="360" t="s">
        <v>122</v>
      </c>
      <c r="F380" s="360"/>
      <c r="G380" s="10">
        <f>'Пр.4.1 ведом.23-24 '!G94</f>
        <v>37.200000000000003</v>
      </c>
      <c r="H380" s="10">
        <f>'Пр.4.1 ведом.23-24 '!H94</f>
        <v>37.200000000000003</v>
      </c>
    </row>
    <row r="381" spans="1:8" ht="24" customHeight="1" x14ac:dyDescent="0.25">
      <c r="A381" s="22" t="s">
        <v>830</v>
      </c>
      <c r="B381" s="360" t="s">
        <v>419</v>
      </c>
      <c r="C381" s="360" t="s">
        <v>116</v>
      </c>
      <c r="D381" s="9" t="s">
        <v>139</v>
      </c>
      <c r="E381" s="360" t="s">
        <v>122</v>
      </c>
      <c r="F381" s="360" t="s">
        <v>308</v>
      </c>
      <c r="G381" s="10">
        <f>G380</f>
        <v>37.200000000000003</v>
      </c>
      <c r="H381" s="10">
        <f>H380</f>
        <v>37.200000000000003</v>
      </c>
    </row>
    <row r="382" spans="1:8" ht="31.5" x14ac:dyDescent="0.25">
      <c r="A382" s="364" t="s">
        <v>123</v>
      </c>
      <c r="B382" s="360" t="s">
        <v>419</v>
      </c>
      <c r="C382" s="360" t="s">
        <v>116</v>
      </c>
      <c r="D382" s="9" t="s">
        <v>139</v>
      </c>
      <c r="E382" s="360" t="s">
        <v>124</v>
      </c>
      <c r="F382" s="360"/>
      <c r="G382" s="10">
        <f>G383</f>
        <v>39.799999999999997</v>
      </c>
      <c r="H382" s="10">
        <f>H383</f>
        <v>39.799999999999997</v>
      </c>
    </row>
    <row r="383" spans="1:8" ht="31.5" x14ac:dyDescent="0.25">
      <c r="A383" s="364" t="s">
        <v>125</v>
      </c>
      <c r="B383" s="360" t="s">
        <v>419</v>
      </c>
      <c r="C383" s="360" t="s">
        <v>116</v>
      </c>
      <c r="D383" s="9" t="s">
        <v>139</v>
      </c>
      <c r="E383" s="360" t="s">
        <v>126</v>
      </c>
      <c r="F383" s="360"/>
      <c r="G383" s="10">
        <f>'Пр.4.1 ведом.23-24 '!G96</f>
        <v>39.799999999999997</v>
      </c>
      <c r="H383" s="10">
        <f>'Пр.4.1 ведом.23-24 '!H96</f>
        <v>39.799999999999997</v>
      </c>
    </row>
    <row r="384" spans="1:8" ht="22.7" customHeight="1" x14ac:dyDescent="0.25">
      <c r="A384" s="22" t="s">
        <v>137</v>
      </c>
      <c r="B384" s="360" t="s">
        <v>419</v>
      </c>
      <c r="C384" s="360" t="s">
        <v>116</v>
      </c>
      <c r="D384" s="9" t="s">
        <v>139</v>
      </c>
      <c r="E384" s="360" t="s">
        <v>126</v>
      </c>
      <c r="F384" s="360" t="s">
        <v>308</v>
      </c>
      <c r="G384" s="10">
        <f>G383</f>
        <v>39.799999999999997</v>
      </c>
      <c r="H384" s="10">
        <f>H383</f>
        <v>39.799999999999997</v>
      </c>
    </row>
    <row r="385" spans="1:8" ht="47.25" hidden="1" x14ac:dyDescent="0.25">
      <c r="A385" s="24" t="s">
        <v>334</v>
      </c>
      <c r="B385" s="360" t="s">
        <v>556</v>
      </c>
      <c r="C385" s="360" t="s">
        <v>116</v>
      </c>
      <c r="D385" s="9" t="s">
        <v>139</v>
      </c>
      <c r="E385" s="5"/>
      <c r="F385" s="360"/>
      <c r="G385" s="10">
        <f>G386</f>
        <v>0</v>
      </c>
      <c r="H385" s="10">
        <f>H386</f>
        <v>0</v>
      </c>
    </row>
    <row r="386" spans="1:8" ht="31.5" hidden="1" x14ac:dyDescent="0.25">
      <c r="A386" s="364" t="s">
        <v>123</v>
      </c>
      <c r="B386" s="360" t="s">
        <v>556</v>
      </c>
      <c r="C386" s="360" t="s">
        <v>116</v>
      </c>
      <c r="D386" s="9" t="s">
        <v>139</v>
      </c>
      <c r="E386" s="5">
        <v>200</v>
      </c>
      <c r="F386" s="360"/>
      <c r="G386" s="10">
        <f>G387</f>
        <v>0</v>
      </c>
      <c r="H386" s="10">
        <f>H387</f>
        <v>0</v>
      </c>
    </row>
    <row r="387" spans="1:8" ht="31.5" hidden="1" x14ac:dyDescent="0.25">
      <c r="A387" s="364" t="s">
        <v>125</v>
      </c>
      <c r="B387" s="360" t="s">
        <v>556</v>
      </c>
      <c r="C387" s="360" t="s">
        <v>116</v>
      </c>
      <c r="D387" s="9" t="s">
        <v>139</v>
      </c>
      <c r="E387" s="5">
        <v>240</v>
      </c>
      <c r="F387" s="360"/>
      <c r="G387" s="10">
        <f>'Пр.4 ведом.22'!G98</f>
        <v>0</v>
      </c>
      <c r="H387" s="10">
        <f>'Пр.4 ведом.22'!H98</f>
        <v>0</v>
      </c>
    </row>
    <row r="388" spans="1:8" ht="21.2" hidden="1" customHeight="1" x14ac:dyDescent="0.25">
      <c r="A388" s="22" t="s">
        <v>137</v>
      </c>
      <c r="B388" s="360" t="s">
        <v>556</v>
      </c>
      <c r="C388" s="360" t="s">
        <v>116</v>
      </c>
      <c r="D388" s="9" t="s">
        <v>139</v>
      </c>
      <c r="E388" s="5">
        <v>240</v>
      </c>
      <c r="F388" s="360" t="s">
        <v>308</v>
      </c>
      <c r="G388" s="10">
        <f>G387</f>
        <v>0</v>
      </c>
      <c r="H388" s="10">
        <f>H387</f>
        <v>0</v>
      </c>
    </row>
    <row r="389" spans="1:8" ht="63" x14ac:dyDescent="0.25">
      <c r="A389" s="147" t="s">
        <v>566</v>
      </c>
      <c r="B389" s="7" t="s">
        <v>427</v>
      </c>
      <c r="C389" s="7"/>
      <c r="D389" s="8"/>
      <c r="E389" s="7"/>
      <c r="F389" s="7"/>
      <c r="G389" s="38">
        <f t="shared" ref="G389:H393" si="55">G390</f>
        <v>0.5</v>
      </c>
      <c r="H389" s="38">
        <f t="shared" si="55"/>
        <v>0.5</v>
      </c>
    </row>
    <row r="390" spans="1:8" ht="15.75" x14ac:dyDescent="0.25">
      <c r="A390" s="31" t="s">
        <v>115</v>
      </c>
      <c r="B390" s="360" t="s">
        <v>427</v>
      </c>
      <c r="C390" s="360" t="s">
        <v>116</v>
      </c>
      <c r="D390" s="9"/>
      <c r="E390" s="7"/>
      <c r="F390" s="7"/>
      <c r="G390" s="10">
        <f t="shared" si="55"/>
        <v>0.5</v>
      </c>
      <c r="H390" s="10">
        <f t="shared" si="55"/>
        <v>0.5</v>
      </c>
    </row>
    <row r="391" spans="1:8" ht="63" x14ac:dyDescent="0.25">
      <c r="A391" s="22" t="s">
        <v>138</v>
      </c>
      <c r="B391" s="360" t="s">
        <v>427</v>
      </c>
      <c r="C391" s="360" t="s">
        <v>116</v>
      </c>
      <c r="D391" s="9" t="s">
        <v>139</v>
      </c>
      <c r="E391" s="7"/>
      <c r="F391" s="7"/>
      <c r="G391" s="10">
        <f t="shared" si="55"/>
        <v>0.5</v>
      </c>
      <c r="H391" s="10">
        <f t="shared" si="55"/>
        <v>0.5</v>
      </c>
    </row>
    <row r="392" spans="1:8" ht="47.25" x14ac:dyDescent="0.25">
      <c r="A392" s="25" t="s">
        <v>151</v>
      </c>
      <c r="B392" s="360" t="s">
        <v>421</v>
      </c>
      <c r="C392" s="360" t="s">
        <v>116</v>
      </c>
      <c r="D392" s="9" t="s">
        <v>139</v>
      </c>
      <c r="E392" s="360"/>
      <c r="F392" s="360"/>
      <c r="G392" s="10">
        <f t="shared" si="55"/>
        <v>0.5</v>
      </c>
      <c r="H392" s="10">
        <f t="shared" si="55"/>
        <v>0.5</v>
      </c>
    </row>
    <row r="393" spans="1:8" ht="31.5" x14ac:dyDescent="0.25">
      <c r="A393" s="364" t="s">
        <v>123</v>
      </c>
      <c r="B393" s="360" t="s">
        <v>421</v>
      </c>
      <c r="C393" s="360" t="s">
        <v>116</v>
      </c>
      <c r="D393" s="9" t="s">
        <v>139</v>
      </c>
      <c r="E393" s="360" t="s">
        <v>124</v>
      </c>
      <c r="F393" s="360"/>
      <c r="G393" s="10">
        <f t="shared" si="55"/>
        <v>0.5</v>
      </c>
      <c r="H393" s="10">
        <f t="shared" si="55"/>
        <v>0.5</v>
      </c>
    </row>
    <row r="394" spans="1:8" ht="31.5" x14ac:dyDescent="0.25">
      <c r="A394" s="364" t="s">
        <v>125</v>
      </c>
      <c r="B394" s="360" t="s">
        <v>421</v>
      </c>
      <c r="C394" s="360" t="s">
        <v>116</v>
      </c>
      <c r="D394" s="9" t="s">
        <v>139</v>
      </c>
      <c r="E394" s="360" t="s">
        <v>126</v>
      </c>
      <c r="F394" s="360"/>
      <c r="G394" s="10">
        <f>'Пр.4.1 ведом.23-24 '!G103</f>
        <v>0.5</v>
      </c>
      <c r="H394" s="10">
        <f>'Пр.4.1 ведом.23-24 '!H103</f>
        <v>0.5</v>
      </c>
    </row>
    <row r="395" spans="1:8" ht="21.75" customHeight="1" x14ac:dyDescent="0.25">
      <c r="A395" s="22" t="s">
        <v>137</v>
      </c>
      <c r="B395" s="360" t="s">
        <v>421</v>
      </c>
      <c r="C395" s="360" t="s">
        <v>116</v>
      </c>
      <c r="D395" s="9" t="s">
        <v>139</v>
      </c>
      <c r="E395" s="360" t="s">
        <v>126</v>
      </c>
      <c r="F395" s="360" t="s">
        <v>308</v>
      </c>
      <c r="G395" s="10">
        <f>G394</f>
        <v>0.5</v>
      </c>
      <c r="H395" s="10">
        <f>H394</f>
        <v>0.5</v>
      </c>
    </row>
    <row r="396" spans="1:8" ht="70.5" customHeight="1" x14ac:dyDescent="0.25">
      <c r="A396" s="359" t="s">
        <v>849</v>
      </c>
      <c r="B396" s="122" t="s">
        <v>182</v>
      </c>
      <c r="C396" s="360"/>
      <c r="D396" s="360"/>
      <c r="E396" s="360"/>
      <c r="F396" s="360"/>
      <c r="G396" s="38">
        <f t="shared" ref="G396:H396" si="56">G398</f>
        <v>10</v>
      </c>
      <c r="H396" s="38">
        <f t="shared" si="56"/>
        <v>10</v>
      </c>
    </row>
    <row r="397" spans="1:8" ht="54" customHeight="1" x14ac:dyDescent="0.25">
      <c r="A397" s="315" t="s">
        <v>459</v>
      </c>
      <c r="B397" s="316" t="s">
        <v>457</v>
      </c>
      <c r="C397" s="360"/>
      <c r="D397" s="360"/>
      <c r="E397" s="360"/>
      <c r="F397" s="360"/>
      <c r="G397" s="38">
        <f t="shared" ref="G397:H399" si="57">G398</f>
        <v>10</v>
      </c>
      <c r="H397" s="38">
        <f t="shared" si="57"/>
        <v>10</v>
      </c>
    </row>
    <row r="398" spans="1:8" ht="15.75" x14ac:dyDescent="0.25">
      <c r="A398" s="22" t="s">
        <v>173</v>
      </c>
      <c r="B398" s="5" t="s">
        <v>457</v>
      </c>
      <c r="C398" s="360" t="s">
        <v>174</v>
      </c>
      <c r="D398" s="360"/>
      <c r="E398" s="360"/>
      <c r="F398" s="360"/>
      <c r="G398" s="10">
        <f t="shared" si="57"/>
        <v>10</v>
      </c>
      <c r="H398" s="10">
        <f t="shared" si="57"/>
        <v>10</v>
      </c>
    </row>
    <row r="399" spans="1:8" ht="22.7" customHeight="1" x14ac:dyDescent="0.25">
      <c r="A399" s="22" t="s">
        <v>181</v>
      </c>
      <c r="B399" s="5" t="s">
        <v>457</v>
      </c>
      <c r="C399" s="360" t="s">
        <v>174</v>
      </c>
      <c r="D399" s="360" t="s">
        <v>159</v>
      </c>
      <c r="E399" s="360"/>
      <c r="F399" s="360"/>
      <c r="G399" s="10">
        <f t="shared" si="57"/>
        <v>10</v>
      </c>
      <c r="H399" s="10">
        <f t="shared" si="57"/>
        <v>10</v>
      </c>
    </row>
    <row r="400" spans="1:8" ht="31.5" x14ac:dyDescent="0.25">
      <c r="A400" s="364" t="s">
        <v>458</v>
      </c>
      <c r="B400" s="365" t="s">
        <v>728</v>
      </c>
      <c r="C400" s="360" t="s">
        <v>174</v>
      </c>
      <c r="D400" s="360" t="s">
        <v>159</v>
      </c>
      <c r="E400" s="360"/>
      <c r="F400" s="360"/>
      <c r="G400" s="10">
        <f t="shared" ref="G400:H401" si="58">G401</f>
        <v>10</v>
      </c>
      <c r="H400" s="10">
        <f t="shared" si="58"/>
        <v>10</v>
      </c>
    </row>
    <row r="401" spans="1:8" ht="21.75" customHeight="1" x14ac:dyDescent="0.25">
      <c r="A401" s="364" t="s">
        <v>177</v>
      </c>
      <c r="B401" s="365" t="s">
        <v>728</v>
      </c>
      <c r="C401" s="360" t="s">
        <v>174</v>
      </c>
      <c r="D401" s="360" t="s">
        <v>159</v>
      </c>
      <c r="E401" s="360" t="s">
        <v>178</v>
      </c>
      <c r="F401" s="360"/>
      <c r="G401" s="10">
        <f t="shared" si="58"/>
        <v>10</v>
      </c>
      <c r="H401" s="10">
        <f t="shared" si="58"/>
        <v>10</v>
      </c>
    </row>
    <row r="402" spans="1:8" ht="31.7" customHeight="1" x14ac:dyDescent="0.25">
      <c r="A402" s="364" t="s">
        <v>179</v>
      </c>
      <c r="B402" s="365" t="s">
        <v>728</v>
      </c>
      <c r="C402" s="360" t="s">
        <v>174</v>
      </c>
      <c r="D402" s="360" t="s">
        <v>159</v>
      </c>
      <c r="E402" s="360" t="s">
        <v>180</v>
      </c>
      <c r="F402" s="360"/>
      <c r="G402" s="10">
        <f>'Пр.4.1 ведом.23-24 '!G237</f>
        <v>10</v>
      </c>
      <c r="H402" s="10">
        <f>'Пр.4.1 ведом.23-24 '!H237</f>
        <v>10</v>
      </c>
    </row>
    <row r="403" spans="1:8" ht="22.7" customHeight="1" x14ac:dyDescent="0.25">
      <c r="A403" s="22" t="s">
        <v>137</v>
      </c>
      <c r="B403" s="365" t="s">
        <v>728</v>
      </c>
      <c r="C403" s="360" t="s">
        <v>174</v>
      </c>
      <c r="D403" s="360" t="s">
        <v>159</v>
      </c>
      <c r="E403" s="360" t="s">
        <v>180</v>
      </c>
      <c r="F403" s="360" t="s">
        <v>308</v>
      </c>
      <c r="G403" s="10">
        <f>G402</f>
        <v>10</v>
      </c>
      <c r="H403" s="10">
        <f>H402</f>
        <v>10</v>
      </c>
    </row>
    <row r="404" spans="1:8" ht="53.45" customHeight="1" x14ac:dyDescent="0.25">
      <c r="A404" s="359" t="s">
        <v>869</v>
      </c>
      <c r="B404" s="3" t="s">
        <v>249</v>
      </c>
      <c r="C404" s="45"/>
      <c r="D404" s="45"/>
      <c r="E404" s="45"/>
      <c r="F404" s="45"/>
      <c r="G404" s="310">
        <f>G405+G412+G431+G442+G449+G459+G473</f>
        <v>58776.1</v>
      </c>
      <c r="H404" s="310">
        <f>H405+H412+H431+H442+H449+H459+H473</f>
        <v>58776.1</v>
      </c>
    </row>
    <row r="405" spans="1:8" ht="31.5" x14ac:dyDescent="0.25">
      <c r="A405" s="315" t="s">
        <v>507</v>
      </c>
      <c r="B405" s="316" t="s">
        <v>790</v>
      </c>
      <c r="C405" s="7"/>
      <c r="D405" s="7"/>
      <c r="E405" s="148"/>
      <c r="F405" s="122"/>
      <c r="G405" s="38">
        <f>G406</f>
        <v>53866.2</v>
      </c>
      <c r="H405" s="38">
        <f>H406</f>
        <v>53866.2</v>
      </c>
    </row>
    <row r="406" spans="1:8" ht="17.45" customHeight="1" x14ac:dyDescent="0.25">
      <c r="A406" s="22" t="s">
        <v>250</v>
      </c>
      <c r="B406" s="360" t="s">
        <v>790</v>
      </c>
      <c r="C406" s="2">
        <v>11</v>
      </c>
      <c r="D406" s="45"/>
      <c r="E406" s="45"/>
      <c r="F406" s="45"/>
      <c r="G406" s="10">
        <f t="shared" ref="G406:H406" si="59">G407</f>
        <v>53866.2</v>
      </c>
      <c r="H406" s="10">
        <f t="shared" si="59"/>
        <v>53866.2</v>
      </c>
    </row>
    <row r="407" spans="1:8" ht="19.5" customHeight="1" x14ac:dyDescent="0.25">
      <c r="A407" s="22" t="s">
        <v>252</v>
      </c>
      <c r="B407" s="360" t="s">
        <v>790</v>
      </c>
      <c r="C407" s="360" t="s">
        <v>251</v>
      </c>
      <c r="D407" s="360" t="s">
        <v>116</v>
      </c>
      <c r="E407" s="46"/>
      <c r="F407" s="5"/>
      <c r="G407" s="10">
        <f t="shared" ref="G407:H409" si="60">G408</f>
        <v>53866.2</v>
      </c>
      <c r="H407" s="10">
        <f t="shared" si="60"/>
        <v>53866.2</v>
      </c>
    </row>
    <row r="408" spans="1:8" ht="31.5" x14ac:dyDescent="0.25">
      <c r="A408" s="364" t="s">
        <v>810</v>
      </c>
      <c r="B408" s="365" t="s">
        <v>791</v>
      </c>
      <c r="C408" s="360" t="s">
        <v>251</v>
      </c>
      <c r="D408" s="360" t="s">
        <v>116</v>
      </c>
      <c r="E408" s="46"/>
      <c r="F408" s="5"/>
      <c r="G408" s="10">
        <f t="shared" si="60"/>
        <v>53866.2</v>
      </c>
      <c r="H408" s="10">
        <f t="shared" si="60"/>
        <v>53866.2</v>
      </c>
    </row>
    <row r="409" spans="1:8" ht="31.5" x14ac:dyDescent="0.25">
      <c r="A409" s="22" t="s">
        <v>191</v>
      </c>
      <c r="B409" s="365" t="s">
        <v>791</v>
      </c>
      <c r="C409" s="360" t="s">
        <v>251</v>
      </c>
      <c r="D409" s="360" t="s">
        <v>116</v>
      </c>
      <c r="E409" s="360" t="s">
        <v>192</v>
      </c>
      <c r="F409" s="5"/>
      <c r="G409" s="10">
        <f t="shared" si="60"/>
        <v>53866.2</v>
      </c>
      <c r="H409" s="10">
        <f t="shared" si="60"/>
        <v>53866.2</v>
      </c>
    </row>
    <row r="410" spans="1:8" ht="15.75" x14ac:dyDescent="0.25">
      <c r="A410" s="22" t="s">
        <v>193</v>
      </c>
      <c r="B410" s="365" t="s">
        <v>791</v>
      </c>
      <c r="C410" s="360" t="s">
        <v>251</v>
      </c>
      <c r="D410" s="360" t="s">
        <v>116</v>
      </c>
      <c r="E410" s="360" t="s">
        <v>194</v>
      </c>
      <c r="F410" s="5"/>
      <c r="G410" s="10">
        <f>'Пр.4.1 ведом.23-24 '!G857</f>
        <v>53866.2</v>
      </c>
      <c r="H410" s="10">
        <f>'Пр.4.1 ведом.23-24 '!H857</f>
        <v>53866.2</v>
      </c>
    </row>
    <row r="411" spans="1:8" ht="31.5" x14ac:dyDescent="0.25">
      <c r="A411" s="31" t="s">
        <v>248</v>
      </c>
      <c r="B411" s="365" t="s">
        <v>791</v>
      </c>
      <c r="C411" s="360" t="s">
        <v>251</v>
      </c>
      <c r="D411" s="360" t="s">
        <v>116</v>
      </c>
      <c r="E411" s="360" t="s">
        <v>194</v>
      </c>
      <c r="F411" s="5">
        <v>907</v>
      </c>
      <c r="G411" s="400">
        <f>G410</f>
        <v>53866.2</v>
      </c>
      <c r="H411" s="400">
        <f>H410</f>
        <v>53866.2</v>
      </c>
    </row>
    <row r="412" spans="1:8" ht="31.5" x14ac:dyDescent="0.25">
      <c r="A412" s="315" t="s">
        <v>513</v>
      </c>
      <c r="B412" s="316" t="s">
        <v>792</v>
      </c>
      <c r="C412" s="7"/>
      <c r="D412" s="7"/>
      <c r="E412" s="7"/>
      <c r="F412" s="122"/>
      <c r="G412" s="38">
        <f>G413</f>
        <v>36</v>
      </c>
      <c r="H412" s="38">
        <f>H413</f>
        <v>36</v>
      </c>
    </row>
    <row r="413" spans="1:8" ht="15.75" x14ac:dyDescent="0.25">
      <c r="A413" s="22" t="s">
        <v>250</v>
      </c>
      <c r="B413" s="365" t="s">
        <v>792</v>
      </c>
      <c r="C413" s="2">
        <v>11</v>
      </c>
      <c r="D413" s="45"/>
      <c r="E413" s="45"/>
      <c r="F413" s="45"/>
      <c r="G413" s="10">
        <f>G414</f>
        <v>36</v>
      </c>
      <c r="H413" s="10">
        <f>H414</f>
        <v>36</v>
      </c>
    </row>
    <row r="414" spans="1:8" ht="16.5" x14ac:dyDescent="0.25">
      <c r="A414" s="22" t="s">
        <v>252</v>
      </c>
      <c r="B414" s="365" t="s">
        <v>792</v>
      </c>
      <c r="C414" s="360" t="s">
        <v>251</v>
      </c>
      <c r="D414" s="360" t="s">
        <v>116</v>
      </c>
      <c r="E414" s="46"/>
      <c r="F414" s="5"/>
      <c r="G414" s="10">
        <f>G415+G419+G423+G427</f>
        <v>36</v>
      </c>
      <c r="H414" s="10">
        <f>H415+H419+H423+H427</f>
        <v>36</v>
      </c>
    </row>
    <row r="415" spans="1:8" ht="31.7" hidden="1" customHeight="1" x14ac:dyDescent="0.25">
      <c r="A415" s="22" t="s">
        <v>195</v>
      </c>
      <c r="B415" s="365" t="s">
        <v>831</v>
      </c>
      <c r="C415" s="360" t="s">
        <v>251</v>
      </c>
      <c r="D415" s="360" t="s">
        <v>116</v>
      </c>
      <c r="E415" s="360"/>
      <c r="F415" s="5"/>
      <c r="G415" s="10">
        <f t="shared" ref="G415:H416" si="61">G416</f>
        <v>0</v>
      </c>
      <c r="H415" s="10">
        <f t="shared" si="61"/>
        <v>0</v>
      </c>
    </row>
    <row r="416" spans="1:8" ht="31.7" hidden="1" customHeight="1" x14ac:dyDescent="0.25">
      <c r="A416" s="22" t="s">
        <v>191</v>
      </c>
      <c r="B416" s="365" t="s">
        <v>831</v>
      </c>
      <c r="C416" s="360" t="s">
        <v>251</v>
      </c>
      <c r="D416" s="360" t="s">
        <v>116</v>
      </c>
      <c r="E416" s="360" t="s">
        <v>192</v>
      </c>
      <c r="F416" s="5"/>
      <c r="G416" s="10">
        <f t="shared" si="61"/>
        <v>0</v>
      </c>
      <c r="H416" s="10">
        <f t="shared" si="61"/>
        <v>0</v>
      </c>
    </row>
    <row r="417" spans="1:8" ht="15.75" hidden="1" customHeight="1" x14ac:dyDescent="0.25">
      <c r="A417" s="22" t="s">
        <v>193</v>
      </c>
      <c r="B417" s="365" t="s">
        <v>831</v>
      </c>
      <c r="C417" s="360" t="s">
        <v>251</v>
      </c>
      <c r="D417" s="360" t="s">
        <v>116</v>
      </c>
      <c r="E417" s="360" t="s">
        <v>194</v>
      </c>
      <c r="F417" s="5"/>
      <c r="G417" s="10">
        <f>'Пр.4 ведом.22'!G861</f>
        <v>0</v>
      </c>
      <c r="H417" s="10">
        <f>'Пр.4 ведом.22'!H861</f>
        <v>0</v>
      </c>
    </row>
    <row r="418" spans="1:8" ht="34.5" hidden="1" customHeight="1" x14ac:dyDescent="0.25">
      <c r="A418" s="31" t="s">
        <v>248</v>
      </c>
      <c r="B418" s="365" t="s">
        <v>831</v>
      </c>
      <c r="C418" s="360" t="s">
        <v>251</v>
      </c>
      <c r="D418" s="360" t="s">
        <v>116</v>
      </c>
      <c r="E418" s="360" t="s">
        <v>194</v>
      </c>
      <c r="F418" s="5">
        <v>907</v>
      </c>
      <c r="G418" s="10">
        <f>G417</f>
        <v>0</v>
      </c>
      <c r="H418" s="10">
        <f>H417</f>
        <v>0</v>
      </c>
    </row>
    <row r="419" spans="1:8" ht="31.7" hidden="1" customHeight="1" x14ac:dyDescent="0.25">
      <c r="A419" s="22" t="s">
        <v>196</v>
      </c>
      <c r="B419" s="365" t="s">
        <v>832</v>
      </c>
      <c r="C419" s="360" t="s">
        <v>251</v>
      </c>
      <c r="D419" s="360" t="s">
        <v>116</v>
      </c>
      <c r="E419" s="360"/>
      <c r="F419" s="5"/>
      <c r="G419" s="10">
        <f t="shared" ref="G419:H420" si="62">G420</f>
        <v>0</v>
      </c>
      <c r="H419" s="10">
        <f t="shared" si="62"/>
        <v>0</v>
      </c>
    </row>
    <row r="420" spans="1:8" ht="31.7" hidden="1" customHeight="1" x14ac:dyDescent="0.25">
      <c r="A420" s="22" t="s">
        <v>191</v>
      </c>
      <c r="B420" s="365" t="s">
        <v>832</v>
      </c>
      <c r="C420" s="360" t="s">
        <v>251</v>
      </c>
      <c r="D420" s="360" t="s">
        <v>116</v>
      </c>
      <c r="E420" s="360" t="s">
        <v>192</v>
      </c>
      <c r="F420" s="5"/>
      <c r="G420" s="10">
        <f t="shared" si="62"/>
        <v>0</v>
      </c>
      <c r="H420" s="10">
        <f t="shared" si="62"/>
        <v>0</v>
      </c>
    </row>
    <row r="421" spans="1:8" ht="15.75" hidden="1" customHeight="1" x14ac:dyDescent="0.25">
      <c r="A421" s="22" t="s">
        <v>193</v>
      </c>
      <c r="B421" s="365" t="s">
        <v>832</v>
      </c>
      <c r="C421" s="360" t="s">
        <v>251</v>
      </c>
      <c r="D421" s="360" t="s">
        <v>116</v>
      </c>
      <c r="E421" s="360" t="s">
        <v>194</v>
      </c>
      <c r="F421" s="5"/>
      <c r="G421" s="10">
        <f>'Пр.4 ведом.22'!G864</f>
        <v>0</v>
      </c>
      <c r="H421" s="10">
        <f>'Пр.4 ведом.22'!H864</f>
        <v>0</v>
      </c>
    </row>
    <row r="422" spans="1:8" ht="36" hidden="1" customHeight="1" x14ac:dyDescent="0.25">
      <c r="A422" s="31" t="s">
        <v>248</v>
      </c>
      <c r="B422" s="365" t="s">
        <v>832</v>
      </c>
      <c r="C422" s="360" t="s">
        <v>251</v>
      </c>
      <c r="D422" s="360" t="s">
        <v>116</v>
      </c>
      <c r="E422" s="360" t="s">
        <v>194</v>
      </c>
      <c r="F422" s="5">
        <v>907</v>
      </c>
      <c r="G422" s="10">
        <f>G421</f>
        <v>0</v>
      </c>
      <c r="H422" s="10">
        <f>H421</f>
        <v>0</v>
      </c>
    </row>
    <row r="423" spans="1:8" ht="15.75" customHeight="1" x14ac:dyDescent="0.25">
      <c r="A423" s="364" t="s">
        <v>407</v>
      </c>
      <c r="B423" s="365" t="s">
        <v>793</v>
      </c>
      <c r="C423" s="360" t="s">
        <v>251</v>
      </c>
      <c r="D423" s="360" t="s">
        <v>116</v>
      </c>
      <c r="E423" s="360"/>
      <c r="F423" s="5"/>
      <c r="G423" s="10">
        <f>G424</f>
        <v>36</v>
      </c>
      <c r="H423" s="10">
        <f>H424</f>
        <v>36</v>
      </c>
    </row>
    <row r="424" spans="1:8" ht="31.5" x14ac:dyDescent="0.25">
      <c r="A424" s="364" t="s">
        <v>191</v>
      </c>
      <c r="B424" s="365" t="s">
        <v>793</v>
      </c>
      <c r="C424" s="360" t="s">
        <v>251</v>
      </c>
      <c r="D424" s="360" t="s">
        <v>116</v>
      </c>
      <c r="E424" s="360" t="s">
        <v>192</v>
      </c>
      <c r="F424" s="5"/>
      <c r="G424" s="10">
        <f>G425</f>
        <v>36</v>
      </c>
      <c r="H424" s="10">
        <f>H425</f>
        <v>36</v>
      </c>
    </row>
    <row r="425" spans="1:8" ht="15.75" customHeight="1" x14ac:dyDescent="0.25">
      <c r="A425" s="364" t="s">
        <v>193</v>
      </c>
      <c r="B425" s="365" t="s">
        <v>793</v>
      </c>
      <c r="C425" s="360" t="s">
        <v>251</v>
      </c>
      <c r="D425" s="360" t="s">
        <v>116</v>
      </c>
      <c r="E425" s="360" t="s">
        <v>194</v>
      </c>
      <c r="F425" s="5"/>
      <c r="G425" s="10">
        <f>'Пр.4.1 ведом.23-24 '!G867</f>
        <v>36</v>
      </c>
      <c r="H425" s="10">
        <f>'Пр.4.1 ведом.23-24 '!H867</f>
        <v>36</v>
      </c>
    </row>
    <row r="426" spans="1:8" ht="33" customHeight="1" x14ac:dyDescent="0.25">
      <c r="A426" s="31" t="s">
        <v>248</v>
      </c>
      <c r="B426" s="365" t="s">
        <v>793</v>
      </c>
      <c r="C426" s="360" t="s">
        <v>251</v>
      </c>
      <c r="D426" s="360" t="s">
        <v>116</v>
      </c>
      <c r="E426" s="360" t="s">
        <v>194</v>
      </c>
      <c r="F426" s="5">
        <v>907</v>
      </c>
      <c r="G426" s="10">
        <f>G425</f>
        <v>36</v>
      </c>
      <c r="H426" s="10">
        <f>H425</f>
        <v>36</v>
      </c>
    </row>
    <row r="427" spans="1:8" s="405" customFormat="1" ht="33" hidden="1" customHeight="1" x14ac:dyDescent="0.25">
      <c r="A427" s="399" t="s">
        <v>199</v>
      </c>
      <c r="B427" s="402" t="s">
        <v>1079</v>
      </c>
      <c r="C427" s="403" t="s">
        <v>251</v>
      </c>
      <c r="D427" s="403" t="s">
        <v>116</v>
      </c>
      <c r="E427" s="403"/>
      <c r="F427" s="404"/>
      <c r="G427" s="400">
        <f>G428</f>
        <v>0</v>
      </c>
      <c r="H427" s="400">
        <f>H428</f>
        <v>0</v>
      </c>
    </row>
    <row r="428" spans="1:8" s="405" customFormat="1" ht="33" hidden="1" customHeight="1" x14ac:dyDescent="0.25">
      <c r="A428" s="399" t="s">
        <v>191</v>
      </c>
      <c r="B428" s="402" t="s">
        <v>1079</v>
      </c>
      <c r="C428" s="403" t="s">
        <v>251</v>
      </c>
      <c r="D428" s="403" t="s">
        <v>116</v>
      </c>
      <c r="E428" s="403" t="s">
        <v>192</v>
      </c>
      <c r="F428" s="404"/>
      <c r="G428" s="400">
        <f>G429</f>
        <v>0</v>
      </c>
      <c r="H428" s="400">
        <f>H429</f>
        <v>0</v>
      </c>
    </row>
    <row r="429" spans="1:8" s="405" customFormat="1" ht="21.75" hidden="1" customHeight="1" x14ac:dyDescent="0.25">
      <c r="A429" s="399" t="s">
        <v>193</v>
      </c>
      <c r="B429" s="402" t="s">
        <v>1079</v>
      </c>
      <c r="C429" s="403" t="s">
        <v>251</v>
      </c>
      <c r="D429" s="403" t="s">
        <v>116</v>
      </c>
      <c r="E429" s="403" t="s">
        <v>194</v>
      </c>
      <c r="F429" s="404"/>
      <c r="G429" s="400">
        <f>'Пр.4 ведом.22'!G870</f>
        <v>0</v>
      </c>
      <c r="H429" s="400">
        <f>'Пр.4 ведом.22'!H870</f>
        <v>0</v>
      </c>
    </row>
    <row r="430" spans="1:8" s="405" customFormat="1" ht="33" hidden="1" customHeight="1" x14ac:dyDescent="0.25">
      <c r="A430" s="406" t="s">
        <v>248</v>
      </c>
      <c r="B430" s="402" t="s">
        <v>1079</v>
      </c>
      <c r="C430" s="403" t="s">
        <v>251</v>
      </c>
      <c r="D430" s="403" t="s">
        <v>116</v>
      </c>
      <c r="E430" s="403" t="s">
        <v>194</v>
      </c>
      <c r="F430" s="404">
        <v>907</v>
      </c>
      <c r="G430" s="400">
        <f>G429</f>
        <v>0</v>
      </c>
      <c r="H430" s="400">
        <f>H429</f>
        <v>0</v>
      </c>
    </row>
    <row r="431" spans="1:8" ht="36" customHeight="1" x14ac:dyDescent="0.25">
      <c r="A431" s="315" t="s">
        <v>514</v>
      </c>
      <c r="B431" s="316" t="s">
        <v>794</v>
      </c>
      <c r="C431" s="7"/>
      <c r="D431" s="7"/>
      <c r="E431" s="7"/>
      <c r="F431" s="122"/>
      <c r="G431" s="38">
        <f>G432</f>
        <v>1290</v>
      </c>
      <c r="H431" s="38">
        <f>H432</f>
        <v>1290</v>
      </c>
    </row>
    <row r="432" spans="1:8" ht="18" customHeight="1" x14ac:dyDescent="0.25">
      <c r="A432" s="22" t="s">
        <v>250</v>
      </c>
      <c r="B432" s="365" t="s">
        <v>794</v>
      </c>
      <c r="C432" s="2">
        <v>11</v>
      </c>
      <c r="D432" s="45"/>
      <c r="E432" s="45"/>
      <c r="F432" s="45"/>
      <c r="G432" s="10">
        <f t="shared" ref="G432:H432" si="63">G433</f>
        <v>1290</v>
      </c>
      <c r="H432" s="10">
        <f t="shared" si="63"/>
        <v>1290</v>
      </c>
    </row>
    <row r="433" spans="1:8" ht="18" customHeight="1" x14ac:dyDescent="0.25">
      <c r="A433" s="22" t="s">
        <v>252</v>
      </c>
      <c r="B433" s="365" t="s">
        <v>794</v>
      </c>
      <c r="C433" s="360" t="s">
        <v>251</v>
      </c>
      <c r="D433" s="360" t="s">
        <v>116</v>
      </c>
      <c r="E433" s="46"/>
      <c r="F433" s="5"/>
      <c r="G433" s="10">
        <f>G434+G438</f>
        <v>1290</v>
      </c>
      <c r="H433" s="10">
        <f>H434+H438</f>
        <v>1290</v>
      </c>
    </row>
    <row r="434" spans="1:8" ht="31.7" hidden="1" customHeight="1" x14ac:dyDescent="0.25">
      <c r="A434" s="22" t="s">
        <v>198</v>
      </c>
      <c r="B434" s="365" t="s">
        <v>819</v>
      </c>
      <c r="C434" s="360" t="s">
        <v>251</v>
      </c>
      <c r="D434" s="360" t="s">
        <v>116</v>
      </c>
      <c r="E434" s="360"/>
      <c r="F434" s="5"/>
      <c r="G434" s="10">
        <f t="shared" ref="G434:H435" si="64">G435</f>
        <v>0</v>
      </c>
      <c r="H434" s="10">
        <f t="shared" si="64"/>
        <v>0</v>
      </c>
    </row>
    <row r="435" spans="1:8" ht="31.7" hidden="1" customHeight="1" x14ac:dyDescent="0.25">
      <c r="A435" s="22" t="s">
        <v>191</v>
      </c>
      <c r="B435" s="365" t="s">
        <v>819</v>
      </c>
      <c r="C435" s="360" t="s">
        <v>251</v>
      </c>
      <c r="D435" s="360" t="s">
        <v>116</v>
      </c>
      <c r="E435" s="360" t="s">
        <v>192</v>
      </c>
      <c r="F435" s="5"/>
      <c r="G435" s="10">
        <f t="shared" si="64"/>
        <v>0</v>
      </c>
      <c r="H435" s="10">
        <f t="shared" si="64"/>
        <v>0</v>
      </c>
    </row>
    <row r="436" spans="1:8" ht="15.75" hidden="1" customHeight="1" x14ac:dyDescent="0.25">
      <c r="A436" s="22" t="s">
        <v>193</v>
      </c>
      <c r="B436" s="365" t="s">
        <v>819</v>
      </c>
      <c r="C436" s="360" t="s">
        <v>251</v>
      </c>
      <c r="D436" s="360" t="s">
        <v>116</v>
      </c>
      <c r="E436" s="360" t="s">
        <v>194</v>
      </c>
      <c r="F436" s="5"/>
      <c r="G436" s="10">
        <f>'Пр.4 ведом.22'!G874</f>
        <v>0</v>
      </c>
      <c r="H436" s="10">
        <f>'Пр.4 ведом.22'!H874</f>
        <v>0</v>
      </c>
    </row>
    <row r="437" spans="1:8" ht="39.75" hidden="1" customHeight="1" x14ac:dyDescent="0.25">
      <c r="A437" s="31" t="s">
        <v>248</v>
      </c>
      <c r="B437" s="365" t="s">
        <v>819</v>
      </c>
      <c r="C437" s="360" t="s">
        <v>251</v>
      </c>
      <c r="D437" s="360" t="s">
        <v>116</v>
      </c>
      <c r="E437" s="360" t="s">
        <v>194</v>
      </c>
      <c r="F437" s="5">
        <v>907</v>
      </c>
      <c r="G437" s="10">
        <f>G436</f>
        <v>0</v>
      </c>
      <c r="H437" s="10">
        <f>H436</f>
        <v>0</v>
      </c>
    </row>
    <row r="438" spans="1:8" ht="31.5" x14ac:dyDescent="0.25">
      <c r="A438" s="31" t="s">
        <v>344</v>
      </c>
      <c r="B438" s="365" t="s">
        <v>795</v>
      </c>
      <c r="C438" s="360" t="s">
        <v>251</v>
      </c>
      <c r="D438" s="360" t="s">
        <v>116</v>
      </c>
      <c r="E438" s="360"/>
      <c r="F438" s="5"/>
      <c r="G438" s="10">
        <f t="shared" ref="G438:H439" si="65">G439</f>
        <v>1290</v>
      </c>
      <c r="H438" s="10">
        <f t="shared" si="65"/>
        <v>1290</v>
      </c>
    </row>
    <row r="439" spans="1:8" ht="31.5" x14ac:dyDescent="0.25">
      <c r="A439" s="24" t="s">
        <v>191</v>
      </c>
      <c r="B439" s="365" t="s">
        <v>795</v>
      </c>
      <c r="C439" s="360" t="s">
        <v>251</v>
      </c>
      <c r="D439" s="360" t="s">
        <v>116</v>
      </c>
      <c r="E439" s="360" t="s">
        <v>192</v>
      </c>
      <c r="F439" s="5"/>
      <c r="G439" s="10">
        <f t="shared" si="65"/>
        <v>1290</v>
      </c>
      <c r="H439" s="10">
        <f t="shared" si="65"/>
        <v>1290</v>
      </c>
    </row>
    <row r="440" spans="1:8" ht="15.75" x14ac:dyDescent="0.25">
      <c r="A440" s="24" t="s">
        <v>193</v>
      </c>
      <c r="B440" s="365" t="s">
        <v>795</v>
      </c>
      <c r="C440" s="360" t="s">
        <v>251</v>
      </c>
      <c r="D440" s="360" t="s">
        <v>116</v>
      </c>
      <c r="E440" s="360" t="s">
        <v>194</v>
      </c>
      <c r="F440" s="5"/>
      <c r="G440" s="10">
        <f>'Пр.4.1 ведом.23-24 '!G877</f>
        <v>1290</v>
      </c>
      <c r="H440" s="10">
        <f>'Пр.4.1 ведом.23-24 '!H877</f>
        <v>1290</v>
      </c>
    </row>
    <row r="441" spans="1:8" ht="31.5" x14ac:dyDescent="0.25">
      <c r="A441" s="31" t="s">
        <v>248</v>
      </c>
      <c r="B441" s="365" t="s">
        <v>795</v>
      </c>
      <c r="C441" s="360" t="s">
        <v>251</v>
      </c>
      <c r="D441" s="360" t="s">
        <v>116</v>
      </c>
      <c r="E441" s="360" t="s">
        <v>194</v>
      </c>
      <c r="F441" s="5">
        <v>907</v>
      </c>
      <c r="G441" s="10">
        <f>G440</f>
        <v>1290</v>
      </c>
      <c r="H441" s="10">
        <f>H440</f>
        <v>1290</v>
      </c>
    </row>
    <row r="442" spans="1:8" ht="47.25" x14ac:dyDescent="0.25">
      <c r="A442" s="315" t="s">
        <v>471</v>
      </c>
      <c r="B442" s="316" t="s">
        <v>796</v>
      </c>
      <c r="C442" s="7"/>
      <c r="D442" s="7"/>
      <c r="E442" s="7"/>
      <c r="F442" s="122"/>
      <c r="G442" s="38">
        <f>G443</f>
        <v>883.9</v>
      </c>
      <c r="H442" s="38">
        <f>H443</f>
        <v>883.9</v>
      </c>
    </row>
    <row r="443" spans="1:8" ht="15.75" x14ac:dyDescent="0.25">
      <c r="A443" s="22" t="s">
        <v>250</v>
      </c>
      <c r="B443" s="365" t="s">
        <v>796</v>
      </c>
      <c r="C443" s="2">
        <v>11</v>
      </c>
      <c r="D443" s="45"/>
      <c r="E443" s="45"/>
      <c r="F443" s="45"/>
      <c r="G443" s="10">
        <f t="shared" ref="G443:H443" si="66">G444</f>
        <v>883.9</v>
      </c>
      <c r="H443" s="10">
        <f t="shared" si="66"/>
        <v>883.9</v>
      </c>
    </row>
    <row r="444" spans="1:8" ht="16.5" x14ac:dyDescent="0.25">
      <c r="A444" s="22" t="s">
        <v>252</v>
      </c>
      <c r="B444" s="365" t="s">
        <v>796</v>
      </c>
      <c r="C444" s="360" t="s">
        <v>251</v>
      </c>
      <c r="D444" s="360" t="s">
        <v>116</v>
      </c>
      <c r="E444" s="46"/>
      <c r="F444" s="5"/>
      <c r="G444" s="10">
        <f t="shared" ref="G444:H446" si="67">G445</f>
        <v>883.9</v>
      </c>
      <c r="H444" s="10">
        <f t="shared" si="67"/>
        <v>883.9</v>
      </c>
    </row>
    <row r="445" spans="1:8" ht="94.5" x14ac:dyDescent="0.25">
      <c r="A445" s="24" t="s">
        <v>245</v>
      </c>
      <c r="B445" s="365" t="s">
        <v>896</v>
      </c>
      <c r="C445" s="360" t="s">
        <v>251</v>
      </c>
      <c r="D445" s="360" t="s">
        <v>116</v>
      </c>
      <c r="E445" s="360"/>
      <c r="F445" s="5"/>
      <c r="G445" s="10">
        <f t="shared" si="67"/>
        <v>883.9</v>
      </c>
      <c r="H445" s="10">
        <f t="shared" si="67"/>
        <v>883.9</v>
      </c>
    </row>
    <row r="446" spans="1:8" ht="31.5" x14ac:dyDescent="0.25">
      <c r="A446" s="364" t="s">
        <v>191</v>
      </c>
      <c r="B446" s="365" t="s">
        <v>896</v>
      </c>
      <c r="C446" s="360" t="s">
        <v>251</v>
      </c>
      <c r="D446" s="360" t="s">
        <v>116</v>
      </c>
      <c r="E446" s="360" t="s">
        <v>192</v>
      </c>
      <c r="F446" s="5"/>
      <c r="G446" s="10">
        <f t="shared" si="67"/>
        <v>883.9</v>
      </c>
      <c r="H446" s="10">
        <f t="shared" si="67"/>
        <v>883.9</v>
      </c>
    </row>
    <row r="447" spans="1:8" ht="15.75" x14ac:dyDescent="0.25">
      <c r="A447" s="364" t="s">
        <v>193</v>
      </c>
      <c r="B447" s="365" t="s">
        <v>896</v>
      </c>
      <c r="C447" s="360" t="s">
        <v>251</v>
      </c>
      <c r="D447" s="360" t="s">
        <v>116</v>
      </c>
      <c r="E447" s="360" t="s">
        <v>194</v>
      </c>
      <c r="F447" s="5"/>
      <c r="G447" s="10">
        <f>'Пр.4.1 ведом.23-24 '!G881</f>
        <v>883.9</v>
      </c>
      <c r="H447" s="10">
        <f>'Пр.4.1 ведом.23-24 '!H881</f>
        <v>883.9</v>
      </c>
    </row>
    <row r="448" spans="1:8" ht="31.5" x14ac:dyDescent="0.25">
      <c r="A448" s="31" t="s">
        <v>248</v>
      </c>
      <c r="B448" s="365" t="s">
        <v>896</v>
      </c>
      <c r="C448" s="360" t="s">
        <v>251</v>
      </c>
      <c r="D448" s="360" t="s">
        <v>116</v>
      </c>
      <c r="E448" s="360" t="s">
        <v>194</v>
      </c>
      <c r="F448" s="5">
        <v>907</v>
      </c>
      <c r="G448" s="10">
        <f>G447</f>
        <v>883.9</v>
      </c>
      <c r="H448" s="10">
        <f>H447</f>
        <v>883.9</v>
      </c>
    </row>
    <row r="449" spans="1:8" ht="31.5" x14ac:dyDescent="0.25">
      <c r="A449" s="37" t="s">
        <v>516</v>
      </c>
      <c r="B449" s="7" t="s">
        <v>798</v>
      </c>
      <c r="C449" s="7"/>
      <c r="D449" s="7"/>
      <c r="E449" s="7"/>
      <c r="F449" s="122"/>
      <c r="G449" s="310">
        <f t="shared" ref="G449:H451" si="68">G450</f>
        <v>2700</v>
      </c>
      <c r="H449" s="310">
        <f t="shared" si="68"/>
        <v>2700</v>
      </c>
    </row>
    <row r="450" spans="1:8" ht="15.75" x14ac:dyDescent="0.25">
      <c r="A450" s="22" t="s">
        <v>250</v>
      </c>
      <c r="B450" s="360" t="s">
        <v>798</v>
      </c>
      <c r="C450" s="360" t="s">
        <v>251</v>
      </c>
      <c r="D450" s="360"/>
      <c r="E450" s="360"/>
      <c r="F450" s="5"/>
      <c r="G450" s="311">
        <f t="shared" si="68"/>
        <v>2700</v>
      </c>
      <c r="H450" s="311">
        <f t="shared" si="68"/>
        <v>2700</v>
      </c>
    </row>
    <row r="451" spans="1:8" ht="31.5" x14ac:dyDescent="0.25">
      <c r="A451" s="364" t="s">
        <v>254</v>
      </c>
      <c r="B451" s="360" t="s">
        <v>798</v>
      </c>
      <c r="C451" s="360" t="s">
        <v>251</v>
      </c>
      <c r="D451" s="360" t="s">
        <v>168</v>
      </c>
      <c r="E451" s="360"/>
      <c r="F451" s="5"/>
      <c r="G451" s="311">
        <f t="shared" si="68"/>
        <v>2700</v>
      </c>
      <c r="H451" s="311">
        <f t="shared" si="68"/>
        <v>2700</v>
      </c>
    </row>
    <row r="452" spans="1:8" ht="15.75" x14ac:dyDescent="0.25">
      <c r="A452" s="22" t="s">
        <v>517</v>
      </c>
      <c r="B452" s="360" t="s">
        <v>799</v>
      </c>
      <c r="C452" s="360" t="s">
        <v>251</v>
      </c>
      <c r="D452" s="360" t="s">
        <v>168</v>
      </c>
      <c r="E452" s="360"/>
      <c r="F452" s="5"/>
      <c r="G452" s="311">
        <f>G453+G456</f>
        <v>2700</v>
      </c>
      <c r="H452" s="311">
        <f>H453+H456</f>
        <v>2700</v>
      </c>
    </row>
    <row r="453" spans="1:8" ht="78.75" x14ac:dyDescent="0.25">
      <c r="A453" s="364" t="s">
        <v>119</v>
      </c>
      <c r="B453" s="360" t="s">
        <v>799</v>
      </c>
      <c r="C453" s="360" t="s">
        <v>251</v>
      </c>
      <c r="D453" s="360" t="s">
        <v>168</v>
      </c>
      <c r="E453" s="360" t="s">
        <v>120</v>
      </c>
      <c r="F453" s="5"/>
      <c r="G453" s="311">
        <f t="shared" ref="G453:H453" si="69">G454</f>
        <v>2200</v>
      </c>
      <c r="H453" s="311">
        <f t="shared" si="69"/>
        <v>2200</v>
      </c>
    </row>
    <row r="454" spans="1:8" ht="24" customHeight="1" x14ac:dyDescent="0.25">
      <c r="A454" s="364" t="s">
        <v>212</v>
      </c>
      <c r="B454" s="360" t="s">
        <v>799</v>
      </c>
      <c r="C454" s="360" t="s">
        <v>251</v>
      </c>
      <c r="D454" s="360" t="s">
        <v>168</v>
      </c>
      <c r="E454" s="360" t="s">
        <v>156</v>
      </c>
      <c r="F454" s="5"/>
      <c r="G454" s="311">
        <f>'Пр.4.1 ведом.23-24 '!G931</f>
        <v>2200</v>
      </c>
      <c r="H454" s="311">
        <f>'Пр.4.1 ведом.23-24 '!H931</f>
        <v>2200</v>
      </c>
    </row>
    <row r="455" spans="1:8" ht="33" customHeight="1" x14ac:dyDescent="0.25">
      <c r="A455" s="31" t="s">
        <v>248</v>
      </c>
      <c r="B455" s="360" t="s">
        <v>799</v>
      </c>
      <c r="C455" s="360" t="s">
        <v>251</v>
      </c>
      <c r="D455" s="360" t="s">
        <v>168</v>
      </c>
      <c r="E455" s="360" t="s">
        <v>156</v>
      </c>
      <c r="F455" s="5">
        <v>907</v>
      </c>
      <c r="G455" s="10">
        <f>G454</f>
        <v>2200</v>
      </c>
      <c r="H455" s="10">
        <f>H454</f>
        <v>2200</v>
      </c>
    </row>
    <row r="456" spans="1:8" ht="31.5" x14ac:dyDescent="0.25">
      <c r="A456" s="22" t="s">
        <v>123</v>
      </c>
      <c r="B456" s="360" t="s">
        <v>799</v>
      </c>
      <c r="C456" s="360" t="s">
        <v>251</v>
      </c>
      <c r="D456" s="360" t="s">
        <v>168</v>
      </c>
      <c r="E456" s="360" t="s">
        <v>124</v>
      </c>
      <c r="F456" s="5"/>
      <c r="G456" s="311">
        <f t="shared" ref="G456:H456" si="70">G457</f>
        <v>500</v>
      </c>
      <c r="H456" s="311">
        <f t="shared" si="70"/>
        <v>500</v>
      </c>
    </row>
    <row r="457" spans="1:8" ht="31.5" x14ac:dyDescent="0.25">
      <c r="A457" s="22" t="s">
        <v>125</v>
      </c>
      <c r="B457" s="360" t="s">
        <v>799</v>
      </c>
      <c r="C457" s="360" t="s">
        <v>251</v>
      </c>
      <c r="D457" s="360" t="s">
        <v>168</v>
      </c>
      <c r="E457" s="360" t="s">
        <v>126</v>
      </c>
      <c r="F457" s="5"/>
      <c r="G457" s="311">
        <f>'Пр.4.1 ведом.23-24 '!G933</f>
        <v>500</v>
      </c>
      <c r="H457" s="311">
        <f>'Пр.4.1 ведом.23-24 '!H933</f>
        <v>500</v>
      </c>
    </row>
    <row r="458" spans="1:8" ht="31.5" x14ac:dyDescent="0.25">
      <c r="A458" s="31" t="s">
        <v>248</v>
      </c>
      <c r="B458" s="360" t="s">
        <v>799</v>
      </c>
      <c r="C458" s="360" t="s">
        <v>251</v>
      </c>
      <c r="D458" s="360" t="s">
        <v>168</v>
      </c>
      <c r="E458" s="360" t="s">
        <v>126</v>
      </c>
      <c r="F458" s="5">
        <v>907</v>
      </c>
      <c r="G458" s="10">
        <f>G457</f>
        <v>500</v>
      </c>
      <c r="H458" s="10">
        <f>H457</f>
        <v>500</v>
      </c>
    </row>
    <row r="459" spans="1:8" ht="47.25" hidden="1" x14ac:dyDescent="0.25">
      <c r="A459" s="315" t="s">
        <v>1060</v>
      </c>
      <c r="B459" s="316" t="s">
        <v>1058</v>
      </c>
      <c r="C459" s="360"/>
      <c r="D459" s="360"/>
      <c r="E459" s="360"/>
      <c r="F459" s="5"/>
      <c r="G459" s="38">
        <f t="shared" ref="G459:H463" si="71">G460</f>
        <v>0</v>
      </c>
      <c r="H459" s="38">
        <f t="shared" si="71"/>
        <v>0</v>
      </c>
    </row>
    <row r="460" spans="1:8" ht="15.75" hidden="1" x14ac:dyDescent="0.25">
      <c r="A460" s="22" t="s">
        <v>250</v>
      </c>
      <c r="B460" s="365" t="s">
        <v>1059</v>
      </c>
      <c r="C460" s="360" t="s">
        <v>251</v>
      </c>
      <c r="D460" s="360"/>
      <c r="E460" s="360"/>
      <c r="F460" s="5"/>
      <c r="G460" s="10">
        <f t="shared" si="71"/>
        <v>0</v>
      </c>
      <c r="H460" s="10">
        <f t="shared" si="71"/>
        <v>0</v>
      </c>
    </row>
    <row r="461" spans="1:8" ht="15.75" hidden="1" x14ac:dyDescent="0.25">
      <c r="A461" s="22" t="s">
        <v>252</v>
      </c>
      <c r="B461" s="365" t="s">
        <v>1059</v>
      </c>
      <c r="C461" s="360" t="s">
        <v>251</v>
      </c>
      <c r="D461" s="360" t="s">
        <v>116</v>
      </c>
      <c r="E461" s="360"/>
      <c r="F461" s="5"/>
      <c r="G461" s="10">
        <f t="shared" si="71"/>
        <v>0</v>
      </c>
      <c r="H461" s="10">
        <f t="shared" si="71"/>
        <v>0</v>
      </c>
    </row>
    <row r="462" spans="1:8" ht="47.25" hidden="1" x14ac:dyDescent="0.25">
      <c r="A462" s="24" t="s">
        <v>1061</v>
      </c>
      <c r="B462" s="365" t="s">
        <v>1059</v>
      </c>
      <c r="C462" s="360" t="s">
        <v>251</v>
      </c>
      <c r="D462" s="360" t="s">
        <v>116</v>
      </c>
      <c r="E462" s="360"/>
      <c r="F462" s="5"/>
      <c r="G462" s="10">
        <f t="shared" si="71"/>
        <v>0</v>
      </c>
      <c r="H462" s="10">
        <f t="shared" si="71"/>
        <v>0</v>
      </c>
    </row>
    <row r="463" spans="1:8" ht="31.5" hidden="1" x14ac:dyDescent="0.25">
      <c r="A463" s="364" t="s">
        <v>191</v>
      </c>
      <c r="B463" s="365" t="s">
        <v>1059</v>
      </c>
      <c r="C463" s="360" t="s">
        <v>251</v>
      </c>
      <c r="D463" s="360" t="s">
        <v>116</v>
      </c>
      <c r="E463" s="360" t="s">
        <v>192</v>
      </c>
      <c r="F463" s="5"/>
      <c r="G463" s="10">
        <f t="shared" si="71"/>
        <v>0</v>
      </c>
      <c r="H463" s="10">
        <f t="shared" si="71"/>
        <v>0</v>
      </c>
    </row>
    <row r="464" spans="1:8" ht="15.75" hidden="1" x14ac:dyDescent="0.25">
      <c r="A464" s="364" t="s">
        <v>193</v>
      </c>
      <c r="B464" s="365" t="s">
        <v>1059</v>
      </c>
      <c r="C464" s="360" t="s">
        <v>251</v>
      </c>
      <c r="D464" s="360" t="s">
        <v>116</v>
      </c>
      <c r="E464" s="360" t="s">
        <v>194</v>
      </c>
      <c r="F464" s="5"/>
      <c r="G464" s="10">
        <v>0</v>
      </c>
      <c r="H464" s="10">
        <f>'Пр.4 ведом.22'!H884</f>
        <v>0</v>
      </c>
    </row>
    <row r="465" spans="1:11" ht="31.5" hidden="1" x14ac:dyDescent="0.25">
      <c r="A465" s="31" t="s">
        <v>248</v>
      </c>
      <c r="B465" s="365" t="s">
        <v>1059</v>
      </c>
      <c r="C465" s="360" t="s">
        <v>251</v>
      </c>
      <c r="D465" s="360" t="s">
        <v>116</v>
      </c>
      <c r="E465" s="360" t="s">
        <v>194</v>
      </c>
      <c r="F465" s="5">
        <v>907</v>
      </c>
      <c r="G465" s="10">
        <f>G464</f>
        <v>0</v>
      </c>
      <c r="H465" s="10">
        <f>H464</f>
        <v>0</v>
      </c>
    </row>
    <row r="466" spans="1:11" ht="63" hidden="1" x14ac:dyDescent="0.25">
      <c r="A466" s="315" t="s">
        <v>837</v>
      </c>
      <c r="B466" s="316" t="s">
        <v>797</v>
      </c>
      <c r="C466" s="7"/>
      <c r="D466" s="7"/>
      <c r="E466" s="7"/>
      <c r="F466" s="122"/>
      <c r="G466" s="38">
        <f t="shared" ref="G466:H470" si="72">G467</f>
        <v>0</v>
      </c>
      <c r="H466" s="38">
        <f t="shared" si="72"/>
        <v>0</v>
      </c>
    </row>
    <row r="467" spans="1:11" ht="15.75" hidden="1" x14ac:dyDescent="0.25">
      <c r="A467" s="22" t="s">
        <v>250</v>
      </c>
      <c r="B467" s="365" t="s">
        <v>797</v>
      </c>
      <c r="C467" s="360" t="s">
        <v>251</v>
      </c>
      <c r="D467" s="360"/>
      <c r="E467" s="360"/>
      <c r="F467" s="5"/>
      <c r="G467" s="10">
        <f t="shared" si="72"/>
        <v>0</v>
      </c>
      <c r="H467" s="10">
        <f t="shared" si="72"/>
        <v>0</v>
      </c>
    </row>
    <row r="468" spans="1:11" ht="15.75" hidden="1" x14ac:dyDescent="0.25">
      <c r="A468" s="22" t="s">
        <v>252</v>
      </c>
      <c r="B468" s="365" t="s">
        <v>797</v>
      </c>
      <c r="C468" s="360" t="s">
        <v>251</v>
      </c>
      <c r="D468" s="360" t="s">
        <v>116</v>
      </c>
      <c r="E468" s="360"/>
      <c r="F468" s="5"/>
      <c r="G468" s="10">
        <f t="shared" si="72"/>
        <v>0</v>
      </c>
      <c r="H468" s="10">
        <f t="shared" si="72"/>
        <v>0</v>
      </c>
    </row>
    <row r="469" spans="1:11" ht="47.25" hidden="1" x14ac:dyDescent="0.25">
      <c r="A469" s="364" t="s">
        <v>733</v>
      </c>
      <c r="B469" s="365" t="s">
        <v>833</v>
      </c>
      <c r="C469" s="360" t="s">
        <v>251</v>
      </c>
      <c r="D469" s="360" t="s">
        <v>116</v>
      </c>
      <c r="E469" s="360"/>
      <c r="F469" s="5"/>
      <c r="G469" s="10">
        <f t="shared" si="72"/>
        <v>0</v>
      </c>
      <c r="H469" s="10">
        <f t="shared" si="72"/>
        <v>0</v>
      </c>
    </row>
    <row r="470" spans="1:11" ht="31.5" hidden="1" x14ac:dyDescent="0.25">
      <c r="A470" s="364" t="s">
        <v>191</v>
      </c>
      <c r="B470" s="365" t="s">
        <v>833</v>
      </c>
      <c r="C470" s="360" t="s">
        <v>251</v>
      </c>
      <c r="D470" s="360" t="s">
        <v>116</v>
      </c>
      <c r="E470" s="360" t="s">
        <v>192</v>
      </c>
      <c r="F470" s="5"/>
      <c r="G470" s="10">
        <f t="shared" si="72"/>
        <v>0</v>
      </c>
      <c r="H470" s="10">
        <f t="shared" si="72"/>
        <v>0</v>
      </c>
    </row>
    <row r="471" spans="1:11" ht="15.75" hidden="1" x14ac:dyDescent="0.25">
      <c r="A471" s="364" t="s">
        <v>193</v>
      </c>
      <c r="B471" s="365" t="s">
        <v>833</v>
      </c>
      <c r="C471" s="360" t="s">
        <v>251</v>
      </c>
      <c r="D471" s="360" t="s">
        <v>116</v>
      </c>
      <c r="E471" s="360" t="s">
        <v>194</v>
      </c>
      <c r="F471" s="5"/>
      <c r="G471" s="10">
        <f>'Пр.4 ведом.22'!G893</f>
        <v>0</v>
      </c>
      <c r="H471" s="10">
        <f>'Пр.4 ведом.22'!H893</f>
        <v>0</v>
      </c>
    </row>
    <row r="472" spans="1:11" ht="31.5" hidden="1" x14ac:dyDescent="0.25">
      <c r="A472" s="31" t="s">
        <v>248</v>
      </c>
      <c r="B472" s="365" t="s">
        <v>833</v>
      </c>
      <c r="C472" s="360" t="s">
        <v>251</v>
      </c>
      <c r="D472" s="360" t="s">
        <v>116</v>
      </c>
      <c r="E472" s="360" t="s">
        <v>194</v>
      </c>
      <c r="F472" s="5">
        <v>907</v>
      </c>
      <c r="G472" s="10">
        <f>G466</f>
        <v>0</v>
      </c>
      <c r="H472" s="10">
        <f>H466</f>
        <v>0</v>
      </c>
    </row>
    <row r="473" spans="1:11" ht="31.5" hidden="1" x14ac:dyDescent="0.25">
      <c r="A473" s="359" t="s">
        <v>1122</v>
      </c>
      <c r="B473" s="316" t="s">
        <v>1123</v>
      </c>
      <c r="C473" s="360"/>
      <c r="D473" s="360"/>
      <c r="E473" s="360"/>
      <c r="F473" s="5"/>
      <c r="G473" s="38">
        <f t="shared" ref="G473:H477" si="73">G474</f>
        <v>0</v>
      </c>
      <c r="H473" s="38">
        <f t="shared" si="73"/>
        <v>0</v>
      </c>
    </row>
    <row r="474" spans="1:11" ht="15.75" hidden="1" x14ac:dyDescent="0.25">
      <c r="A474" s="22" t="s">
        <v>250</v>
      </c>
      <c r="B474" s="365" t="s">
        <v>1124</v>
      </c>
      <c r="C474" s="360" t="s">
        <v>251</v>
      </c>
      <c r="D474" s="360"/>
      <c r="E474" s="360"/>
      <c r="F474" s="5"/>
      <c r="G474" s="10">
        <f t="shared" si="73"/>
        <v>0</v>
      </c>
      <c r="H474" s="10">
        <f t="shared" si="73"/>
        <v>0</v>
      </c>
    </row>
    <row r="475" spans="1:11" ht="15.75" hidden="1" x14ac:dyDescent="0.25">
      <c r="A475" s="22" t="s">
        <v>252</v>
      </c>
      <c r="B475" s="365" t="s">
        <v>1124</v>
      </c>
      <c r="C475" s="360" t="s">
        <v>251</v>
      </c>
      <c r="D475" s="360" t="s">
        <v>116</v>
      </c>
      <c r="E475" s="360"/>
      <c r="F475" s="5"/>
      <c r="G475" s="10">
        <f t="shared" si="73"/>
        <v>0</v>
      </c>
      <c r="H475" s="10">
        <f t="shared" si="73"/>
        <v>0</v>
      </c>
    </row>
    <row r="476" spans="1:11" ht="31.5" hidden="1" x14ac:dyDescent="0.25">
      <c r="A476" s="22" t="s">
        <v>1125</v>
      </c>
      <c r="B476" s="365" t="s">
        <v>1124</v>
      </c>
      <c r="C476" s="360" t="s">
        <v>251</v>
      </c>
      <c r="D476" s="360" t="s">
        <v>116</v>
      </c>
      <c r="E476" s="360"/>
      <c r="F476" s="5"/>
      <c r="G476" s="10">
        <f t="shared" si="73"/>
        <v>0</v>
      </c>
      <c r="H476" s="10">
        <f t="shared" si="73"/>
        <v>0</v>
      </c>
    </row>
    <row r="477" spans="1:11" ht="31.5" hidden="1" x14ac:dyDescent="0.25">
      <c r="A477" s="364" t="s">
        <v>191</v>
      </c>
      <c r="B477" s="365" t="s">
        <v>1124</v>
      </c>
      <c r="C477" s="360" t="s">
        <v>251</v>
      </c>
      <c r="D477" s="360" t="s">
        <v>116</v>
      </c>
      <c r="E477" s="360" t="s">
        <v>192</v>
      </c>
      <c r="F477" s="5"/>
      <c r="G477" s="10">
        <f t="shared" si="73"/>
        <v>0</v>
      </c>
      <c r="H477" s="10">
        <f t="shared" si="73"/>
        <v>0</v>
      </c>
    </row>
    <row r="478" spans="1:11" ht="15.75" hidden="1" x14ac:dyDescent="0.25">
      <c r="A478" s="364" t="s">
        <v>193</v>
      </c>
      <c r="B478" s="365" t="s">
        <v>1124</v>
      </c>
      <c r="C478" s="360" t="s">
        <v>251</v>
      </c>
      <c r="D478" s="360" t="s">
        <v>116</v>
      </c>
      <c r="E478" s="360" t="s">
        <v>194</v>
      </c>
      <c r="F478" s="5"/>
      <c r="G478" s="10">
        <v>0</v>
      </c>
      <c r="H478" s="10">
        <v>0</v>
      </c>
    </row>
    <row r="479" spans="1:11" ht="31.5" hidden="1" x14ac:dyDescent="0.25">
      <c r="A479" s="31" t="s">
        <v>248</v>
      </c>
      <c r="B479" s="365"/>
      <c r="C479" s="360" t="s">
        <v>251</v>
      </c>
      <c r="D479" s="360" t="s">
        <v>116</v>
      </c>
      <c r="E479" s="360" t="s">
        <v>194</v>
      </c>
      <c r="F479" s="5">
        <v>907</v>
      </c>
      <c r="G479" s="10">
        <f>G478</f>
        <v>0</v>
      </c>
      <c r="H479" s="10">
        <f>H478</f>
        <v>0</v>
      </c>
    </row>
    <row r="480" spans="1:11" ht="31.5" x14ac:dyDescent="0.25">
      <c r="A480" s="359" t="s">
        <v>854</v>
      </c>
      <c r="B480" s="7" t="s">
        <v>189</v>
      </c>
      <c r="C480" s="47"/>
      <c r="D480" s="47"/>
      <c r="E480" s="47"/>
      <c r="F480" s="3"/>
      <c r="G480" s="38">
        <f>G481+G530+G557+G580+G603+G610+G621+G628</f>
        <v>85949.400000000009</v>
      </c>
      <c r="H480" s="38">
        <f>H481+H530+H557+H580+H603+H610+H621</f>
        <v>85949.400000000009</v>
      </c>
      <c r="I480" s="150">
        <f>H480-G480</f>
        <v>0</v>
      </c>
      <c r="J480" s="362">
        <v>90406.34</v>
      </c>
      <c r="K480" s="156">
        <f>J480-G480</f>
        <v>4456.9399999999878</v>
      </c>
    </row>
    <row r="481" spans="1:11" ht="38.25" customHeight="1" x14ac:dyDescent="0.25">
      <c r="A481" s="315" t="s">
        <v>814</v>
      </c>
      <c r="B481" s="316" t="s">
        <v>743</v>
      </c>
      <c r="C481" s="7"/>
      <c r="D481" s="7"/>
      <c r="E481" s="7"/>
      <c r="F481" s="3"/>
      <c r="G481" s="38">
        <f>G498+G482+G518</f>
        <v>80959.600000000006</v>
      </c>
      <c r="H481" s="38">
        <f>H498+H482+H518</f>
        <v>80959.600000000006</v>
      </c>
    </row>
    <row r="482" spans="1:11" ht="18.75" customHeight="1" x14ac:dyDescent="0.25">
      <c r="A482" s="364" t="s">
        <v>186</v>
      </c>
      <c r="B482" s="365" t="s">
        <v>743</v>
      </c>
      <c r="C482" s="360" t="s">
        <v>187</v>
      </c>
      <c r="D482" s="360"/>
      <c r="E482" s="360"/>
      <c r="F482" s="2"/>
      <c r="G482" s="10">
        <f>G483</f>
        <v>19489.8</v>
      </c>
      <c r="H482" s="10">
        <f>H483</f>
        <v>19489.8</v>
      </c>
      <c r="J482" s="16">
        <f>G482+G531+G558+G581</f>
        <v>20500.099999999999</v>
      </c>
      <c r="K482" s="16">
        <v>16998.7</v>
      </c>
    </row>
    <row r="483" spans="1:11" ht="19.5" customHeight="1" x14ac:dyDescent="0.25">
      <c r="A483" s="364" t="s">
        <v>188</v>
      </c>
      <c r="B483" s="365" t="s">
        <v>743</v>
      </c>
      <c r="C483" s="360" t="s">
        <v>187</v>
      </c>
      <c r="D483" s="360" t="s">
        <v>159</v>
      </c>
      <c r="E483" s="360"/>
      <c r="F483" s="2"/>
      <c r="G483" s="10">
        <f>G484+G494</f>
        <v>19489.8</v>
      </c>
      <c r="H483" s="10">
        <f>H484+H494</f>
        <v>19489.8</v>
      </c>
    </row>
    <row r="484" spans="1:11" ht="18" customHeight="1" x14ac:dyDescent="0.25">
      <c r="A484" s="364" t="s">
        <v>378</v>
      </c>
      <c r="B484" s="365" t="s">
        <v>744</v>
      </c>
      <c r="C484" s="360" t="s">
        <v>187</v>
      </c>
      <c r="D484" s="360" t="s">
        <v>159</v>
      </c>
      <c r="E484" s="360"/>
      <c r="F484" s="2"/>
      <c r="G484" s="10">
        <f>G485+G488+G491</f>
        <v>19489.8</v>
      </c>
      <c r="H484" s="10">
        <f>H485+H488+H491</f>
        <v>19489.8</v>
      </c>
    </row>
    <row r="485" spans="1:11" ht="81" customHeight="1" x14ac:dyDescent="0.25">
      <c r="A485" s="364" t="s">
        <v>119</v>
      </c>
      <c r="B485" s="365" t="s">
        <v>744</v>
      </c>
      <c r="C485" s="360" t="s">
        <v>187</v>
      </c>
      <c r="D485" s="360" t="s">
        <v>159</v>
      </c>
      <c r="E485" s="365" t="s">
        <v>120</v>
      </c>
      <c r="F485" s="2"/>
      <c r="G485" s="10">
        <f>G486</f>
        <v>17566.099999999999</v>
      </c>
      <c r="H485" s="10">
        <f>H486</f>
        <v>17566.099999999999</v>
      </c>
    </row>
    <row r="486" spans="1:11" ht="20.25" customHeight="1" x14ac:dyDescent="0.25">
      <c r="A486" s="32" t="s">
        <v>212</v>
      </c>
      <c r="B486" s="365" t="s">
        <v>744</v>
      </c>
      <c r="C486" s="360" t="s">
        <v>187</v>
      </c>
      <c r="D486" s="360" t="s">
        <v>159</v>
      </c>
      <c r="E486" s="365" t="s">
        <v>156</v>
      </c>
      <c r="F486" s="2"/>
      <c r="G486" s="10">
        <f>'Пр.4.1 ведом.23-24 '!G309</f>
        <v>17566.099999999999</v>
      </c>
      <c r="H486" s="10">
        <f>'Пр.4.1 ведом.23-24 '!H309</f>
        <v>17566.099999999999</v>
      </c>
    </row>
    <row r="487" spans="1:11" ht="51.75" customHeight="1" x14ac:dyDescent="0.25">
      <c r="A487" s="31" t="s">
        <v>185</v>
      </c>
      <c r="B487" s="365" t="s">
        <v>744</v>
      </c>
      <c r="C487" s="360" t="s">
        <v>187</v>
      </c>
      <c r="D487" s="360" t="s">
        <v>159</v>
      </c>
      <c r="E487" s="365" t="s">
        <v>156</v>
      </c>
      <c r="F487" s="2">
        <v>903</v>
      </c>
      <c r="G487" s="10">
        <f>G486</f>
        <v>17566.099999999999</v>
      </c>
      <c r="H487" s="10">
        <f>H486</f>
        <v>17566.099999999999</v>
      </c>
    </row>
    <row r="488" spans="1:11" ht="38.25" customHeight="1" x14ac:dyDescent="0.25">
      <c r="A488" s="364" t="s">
        <v>123</v>
      </c>
      <c r="B488" s="365" t="s">
        <v>744</v>
      </c>
      <c r="C488" s="360" t="s">
        <v>187</v>
      </c>
      <c r="D488" s="360" t="s">
        <v>159</v>
      </c>
      <c r="E488" s="365" t="s">
        <v>124</v>
      </c>
      <c r="F488" s="2"/>
      <c r="G488" s="10">
        <f>G489</f>
        <v>1850.7</v>
      </c>
      <c r="H488" s="10">
        <f>H489</f>
        <v>1850.7</v>
      </c>
    </row>
    <row r="489" spans="1:11" ht="33.75" customHeight="1" x14ac:dyDescent="0.25">
      <c r="A489" s="364" t="s">
        <v>125</v>
      </c>
      <c r="B489" s="365" t="s">
        <v>744</v>
      </c>
      <c r="C489" s="360" t="s">
        <v>187</v>
      </c>
      <c r="D489" s="360" t="s">
        <v>159</v>
      </c>
      <c r="E489" s="365" t="s">
        <v>126</v>
      </c>
      <c r="F489" s="2"/>
      <c r="G489" s="10">
        <f>'Пр.4.1 ведом.23-24 '!G311</f>
        <v>1850.7</v>
      </c>
      <c r="H489" s="10">
        <f>'Пр.4.1 ведом.23-24 '!H311</f>
        <v>1850.7</v>
      </c>
    </row>
    <row r="490" spans="1:11" ht="55.5" customHeight="1" x14ac:dyDescent="0.25">
      <c r="A490" s="31" t="s">
        <v>185</v>
      </c>
      <c r="B490" s="365" t="s">
        <v>744</v>
      </c>
      <c r="C490" s="360" t="s">
        <v>187</v>
      </c>
      <c r="D490" s="360" t="s">
        <v>159</v>
      </c>
      <c r="E490" s="365" t="s">
        <v>126</v>
      </c>
      <c r="F490" s="2">
        <v>903</v>
      </c>
      <c r="G490" s="10">
        <f>G489</f>
        <v>1850.7</v>
      </c>
      <c r="H490" s="10">
        <f>H489</f>
        <v>1850.7</v>
      </c>
    </row>
    <row r="491" spans="1:11" ht="19.5" customHeight="1" x14ac:dyDescent="0.25">
      <c r="A491" s="364" t="s">
        <v>127</v>
      </c>
      <c r="B491" s="365" t="s">
        <v>744</v>
      </c>
      <c r="C491" s="360" t="s">
        <v>187</v>
      </c>
      <c r="D491" s="360" t="s">
        <v>159</v>
      </c>
      <c r="E491" s="365" t="s">
        <v>134</v>
      </c>
      <c r="F491" s="2"/>
      <c r="G491" s="10">
        <f>G492</f>
        <v>73</v>
      </c>
      <c r="H491" s="10">
        <f>H492</f>
        <v>73</v>
      </c>
    </row>
    <row r="492" spans="1:11" ht="17.45" customHeight="1" x14ac:dyDescent="0.25">
      <c r="A492" s="364" t="s">
        <v>338</v>
      </c>
      <c r="B492" s="365" t="s">
        <v>744</v>
      </c>
      <c r="C492" s="360" t="s">
        <v>187</v>
      </c>
      <c r="D492" s="360" t="s">
        <v>159</v>
      </c>
      <c r="E492" s="365" t="s">
        <v>130</v>
      </c>
      <c r="F492" s="2"/>
      <c r="G492" s="10">
        <f>'Пр.4.1 ведом.23-24 '!G313</f>
        <v>73</v>
      </c>
      <c r="H492" s="10">
        <f>'Пр.4.1 ведом.23-24 '!H313</f>
        <v>73</v>
      </c>
    </row>
    <row r="493" spans="1:11" ht="56.25" customHeight="1" x14ac:dyDescent="0.25">
      <c r="A493" s="31" t="s">
        <v>185</v>
      </c>
      <c r="B493" s="365" t="s">
        <v>744</v>
      </c>
      <c r="C493" s="360" t="s">
        <v>187</v>
      </c>
      <c r="D493" s="360" t="s">
        <v>159</v>
      </c>
      <c r="E493" s="365" t="s">
        <v>130</v>
      </c>
      <c r="F493" s="2">
        <v>903</v>
      </c>
      <c r="G493" s="10">
        <f>G492</f>
        <v>73</v>
      </c>
      <c r="H493" s="10">
        <f>H492</f>
        <v>73</v>
      </c>
    </row>
    <row r="494" spans="1:11" ht="31.5" hidden="1" x14ac:dyDescent="0.25">
      <c r="A494" s="24" t="s">
        <v>968</v>
      </c>
      <c r="B494" s="365" t="s">
        <v>962</v>
      </c>
      <c r="C494" s="360" t="s">
        <v>187</v>
      </c>
      <c r="D494" s="360" t="s">
        <v>159</v>
      </c>
      <c r="E494" s="365"/>
      <c r="F494" s="2"/>
      <c r="G494" s="10">
        <f>G495</f>
        <v>0</v>
      </c>
      <c r="H494" s="10">
        <f>H495</f>
        <v>0</v>
      </c>
    </row>
    <row r="495" spans="1:11" ht="78.75" hidden="1" x14ac:dyDescent="0.25">
      <c r="A495" s="364" t="s">
        <v>119</v>
      </c>
      <c r="B495" s="365" t="s">
        <v>962</v>
      </c>
      <c r="C495" s="360" t="s">
        <v>187</v>
      </c>
      <c r="D495" s="360" t="s">
        <v>159</v>
      </c>
      <c r="E495" s="365" t="s">
        <v>120</v>
      </c>
      <c r="F495" s="2"/>
      <c r="G495" s="10">
        <f>G496</f>
        <v>0</v>
      </c>
      <c r="H495" s="10">
        <f>H496</f>
        <v>0</v>
      </c>
    </row>
    <row r="496" spans="1:11" ht="15.75" hidden="1" x14ac:dyDescent="0.25">
      <c r="A496" s="364" t="s">
        <v>155</v>
      </c>
      <c r="B496" s="365" t="s">
        <v>962</v>
      </c>
      <c r="C496" s="360" t="s">
        <v>187</v>
      </c>
      <c r="D496" s="360" t="s">
        <v>159</v>
      </c>
      <c r="E496" s="365" t="s">
        <v>156</v>
      </c>
      <c r="F496" s="2"/>
      <c r="G496" s="10">
        <f>'Пр.4 ведом.22'!G315</f>
        <v>0</v>
      </c>
      <c r="H496" s="10">
        <f>'Пр.4 ведом.22'!H315</f>
        <v>0</v>
      </c>
    </row>
    <row r="497" spans="1:11" ht="47.25" hidden="1" x14ac:dyDescent="0.25">
      <c r="A497" s="31" t="s">
        <v>185</v>
      </c>
      <c r="B497" s="365" t="s">
        <v>962</v>
      </c>
      <c r="C497" s="360" t="s">
        <v>187</v>
      </c>
      <c r="D497" s="360" t="s">
        <v>159</v>
      </c>
      <c r="E497" s="365" t="s">
        <v>156</v>
      </c>
      <c r="F497" s="2">
        <v>903</v>
      </c>
      <c r="G497" s="10">
        <f>G494</f>
        <v>0</v>
      </c>
      <c r="H497" s="10">
        <f>H494</f>
        <v>0</v>
      </c>
    </row>
    <row r="498" spans="1:11" ht="15.75" x14ac:dyDescent="0.25">
      <c r="A498" s="48" t="s">
        <v>202</v>
      </c>
      <c r="B498" s="365" t="s">
        <v>743</v>
      </c>
      <c r="C498" s="360" t="s">
        <v>203</v>
      </c>
      <c r="D498" s="48"/>
      <c r="E498" s="48"/>
      <c r="F498" s="2"/>
      <c r="G498" s="10">
        <f>G499</f>
        <v>55444.5</v>
      </c>
      <c r="H498" s="10">
        <f>H499</f>
        <v>55444.5</v>
      </c>
      <c r="J498" s="16" t="e">
        <f>G498+G544+G564+G591+G604+G611+G629+#REF!</f>
        <v>#REF!</v>
      </c>
      <c r="K498" s="362">
        <f>67542.4</f>
        <v>67542.399999999994</v>
      </c>
    </row>
    <row r="499" spans="1:11" ht="15.75" x14ac:dyDescent="0.25">
      <c r="A499" s="48" t="s">
        <v>204</v>
      </c>
      <c r="B499" s="365" t="s">
        <v>743</v>
      </c>
      <c r="C499" s="360" t="s">
        <v>203</v>
      </c>
      <c r="D499" s="360" t="s">
        <v>116</v>
      </c>
      <c r="E499" s="48"/>
      <c r="F499" s="2"/>
      <c r="G499" s="10">
        <f>G504+G514+G500</f>
        <v>55444.5</v>
      </c>
      <c r="H499" s="10">
        <f>H504+H514+H500</f>
        <v>55444.5</v>
      </c>
    </row>
    <row r="500" spans="1:11" ht="31.5" x14ac:dyDescent="0.25">
      <c r="A500" s="399" t="s">
        <v>205</v>
      </c>
      <c r="B500" s="402" t="s">
        <v>1192</v>
      </c>
      <c r="C500" s="360" t="s">
        <v>203</v>
      </c>
      <c r="D500" s="360" t="s">
        <v>116</v>
      </c>
      <c r="E500" s="48"/>
      <c r="F500" s="2"/>
      <c r="G500" s="10">
        <f>G501</f>
        <v>30184.6</v>
      </c>
      <c r="H500" s="10">
        <f>H501</f>
        <v>30184.6</v>
      </c>
    </row>
    <row r="501" spans="1:11" ht="31.5" x14ac:dyDescent="0.25">
      <c r="A501" s="399" t="s">
        <v>191</v>
      </c>
      <c r="B501" s="402" t="s">
        <v>1192</v>
      </c>
      <c r="C501" s="360" t="s">
        <v>203</v>
      </c>
      <c r="D501" s="360" t="s">
        <v>116</v>
      </c>
      <c r="E501" s="2">
        <v>600</v>
      </c>
      <c r="F501" s="2"/>
      <c r="G501" s="10">
        <f>G502</f>
        <v>30184.6</v>
      </c>
      <c r="H501" s="10">
        <f>H502</f>
        <v>30184.6</v>
      </c>
    </row>
    <row r="502" spans="1:11" ht="15.75" x14ac:dyDescent="0.25">
      <c r="A502" s="364" t="s">
        <v>193</v>
      </c>
      <c r="B502" s="402" t="s">
        <v>1192</v>
      </c>
      <c r="C502" s="360" t="s">
        <v>203</v>
      </c>
      <c r="D502" s="360" t="s">
        <v>116</v>
      </c>
      <c r="E502" s="2">
        <v>610</v>
      </c>
      <c r="F502" s="2"/>
      <c r="G502" s="10">
        <f>'Пр.4.1 ведом.23-24 '!G378</f>
        <v>30184.6</v>
      </c>
      <c r="H502" s="10">
        <f>'Пр.4.1 ведом.23-24 '!H378</f>
        <v>30184.6</v>
      </c>
    </row>
    <row r="503" spans="1:11" ht="47.25" x14ac:dyDescent="0.25">
      <c r="A503" s="31" t="s">
        <v>185</v>
      </c>
      <c r="B503" s="402" t="s">
        <v>1192</v>
      </c>
      <c r="C503" s="360" t="s">
        <v>203</v>
      </c>
      <c r="D503" s="360" t="s">
        <v>116</v>
      </c>
      <c r="E503" s="2">
        <v>610</v>
      </c>
      <c r="F503" s="2">
        <v>903</v>
      </c>
      <c r="G503" s="10">
        <f>G502</f>
        <v>30184.6</v>
      </c>
      <c r="H503" s="10">
        <f>H502</f>
        <v>30184.6</v>
      </c>
    </row>
    <row r="504" spans="1:11" ht="15.75" x14ac:dyDescent="0.25">
      <c r="A504" s="364" t="s">
        <v>378</v>
      </c>
      <c r="B504" s="365" t="s">
        <v>744</v>
      </c>
      <c r="C504" s="360" t="s">
        <v>203</v>
      </c>
      <c r="D504" s="360" t="s">
        <v>116</v>
      </c>
      <c r="E504" s="360"/>
      <c r="F504" s="2"/>
      <c r="G504" s="10">
        <f>G505+G508+G511</f>
        <v>25259.9</v>
      </c>
      <c r="H504" s="10">
        <f>H505+H508+H511</f>
        <v>25259.9</v>
      </c>
    </row>
    <row r="505" spans="1:11" ht="78.75" x14ac:dyDescent="0.25">
      <c r="A505" s="364" t="s">
        <v>119</v>
      </c>
      <c r="B505" s="365" t="s">
        <v>744</v>
      </c>
      <c r="C505" s="360" t="s">
        <v>203</v>
      </c>
      <c r="D505" s="360" t="s">
        <v>116</v>
      </c>
      <c r="E505" s="360" t="s">
        <v>120</v>
      </c>
      <c r="F505" s="2"/>
      <c r="G505" s="10">
        <f>G506</f>
        <v>21278</v>
      </c>
      <c r="H505" s="10">
        <f>H506</f>
        <v>21278</v>
      </c>
    </row>
    <row r="506" spans="1:11" ht="15.75" x14ac:dyDescent="0.25">
      <c r="A506" s="364" t="s">
        <v>155</v>
      </c>
      <c r="B506" s="365" t="s">
        <v>744</v>
      </c>
      <c r="C506" s="360" t="s">
        <v>203</v>
      </c>
      <c r="D506" s="360" t="s">
        <v>116</v>
      </c>
      <c r="E506" s="360" t="s">
        <v>156</v>
      </c>
      <c r="F506" s="2"/>
      <c r="G506" s="10">
        <f>'Пр.4.1 ведом.23-24 '!G381</f>
        <v>21278</v>
      </c>
      <c r="H506" s="10">
        <f>'Пр.4.1 ведом.23-24 '!H381</f>
        <v>21278</v>
      </c>
    </row>
    <row r="507" spans="1:11" ht="47.25" x14ac:dyDescent="0.25">
      <c r="A507" s="31" t="s">
        <v>185</v>
      </c>
      <c r="B507" s="365" t="s">
        <v>744</v>
      </c>
      <c r="C507" s="360" t="s">
        <v>203</v>
      </c>
      <c r="D507" s="360" t="s">
        <v>116</v>
      </c>
      <c r="E507" s="360" t="s">
        <v>156</v>
      </c>
      <c r="F507" s="2">
        <v>903</v>
      </c>
      <c r="G507" s="10">
        <f>G506</f>
        <v>21278</v>
      </c>
      <c r="H507" s="10">
        <f>H506</f>
        <v>21278</v>
      </c>
    </row>
    <row r="508" spans="1:11" ht="31.5" x14ac:dyDescent="0.25">
      <c r="A508" s="364" t="s">
        <v>123</v>
      </c>
      <c r="B508" s="365" t="s">
        <v>744</v>
      </c>
      <c r="C508" s="360" t="s">
        <v>203</v>
      </c>
      <c r="D508" s="360" t="s">
        <v>116</v>
      </c>
      <c r="E508" s="360" t="s">
        <v>124</v>
      </c>
      <c r="F508" s="2"/>
      <c r="G508" s="10">
        <f>G509</f>
        <v>3955.8999999999996</v>
      </c>
      <c r="H508" s="10">
        <f>H509</f>
        <v>3955.8999999999996</v>
      </c>
    </row>
    <row r="509" spans="1:11" ht="31.5" x14ac:dyDescent="0.25">
      <c r="A509" s="364" t="s">
        <v>125</v>
      </c>
      <c r="B509" s="365" t="s">
        <v>744</v>
      </c>
      <c r="C509" s="360" t="s">
        <v>203</v>
      </c>
      <c r="D509" s="360" t="s">
        <v>116</v>
      </c>
      <c r="E509" s="360" t="s">
        <v>126</v>
      </c>
      <c r="F509" s="2"/>
      <c r="G509" s="10">
        <f>'Пр.4.1 ведом.23-24 '!G383</f>
        <v>3955.8999999999996</v>
      </c>
      <c r="H509" s="10">
        <f>'Пр.4.1 ведом.23-24 '!H383</f>
        <v>3955.8999999999996</v>
      </c>
    </row>
    <row r="510" spans="1:11" ht="47.25" x14ac:dyDescent="0.25">
      <c r="A510" s="31" t="s">
        <v>185</v>
      </c>
      <c r="B510" s="365" t="s">
        <v>744</v>
      </c>
      <c r="C510" s="360" t="s">
        <v>203</v>
      </c>
      <c r="D510" s="360" t="s">
        <v>116</v>
      </c>
      <c r="E510" s="360" t="s">
        <v>126</v>
      </c>
      <c r="F510" s="2">
        <v>903</v>
      </c>
      <c r="G510" s="10">
        <f>G509</f>
        <v>3955.8999999999996</v>
      </c>
      <c r="H510" s="10">
        <f>H509</f>
        <v>3955.8999999999996</v>
      </c>
    </row>
    <row r="511" spans="1:11" ht="15.75" customHeight="1" x14ac:dyDescent="0.25">
      <c r="A511" s="364" t="s">
        <v>127</v>
      </c>
      <c r="B511" s="365" t="s">
        <v>744</v>
      </c>
      <c r="C511" s="360" t="s">
        <v>203</v>
      </c>
      <c r="D511" s="360" t="s">
        <v>116</v>
      </c>
      <c r="E511" s="360" t="s">
        <v>134</v>
      </c>
      <c r="F511" s="2"/>
      <c r="G511" s="10">
        <f>G512</f>
        <v>26</v>
      </c>
      <c r="H511" s="10">
        <f>H512</f>
        <v>26</v>
      </c>
    </row>
    <row r="512" spans="1:11" ht="15.75" customHeight="1" x14ac:dyDescent="0.25">
      <c r="A512" s="364" t="s">
        <v>129</v>
      </c>
      <c r="B512" s="365" t="s">
        <v>744</v>
      </c>
      <c r="C512" s="360" t="s">
        <v>203</v>
      </c>
      <c r="D512" s="360" t="s">
        <v>116</v>
      </c>
      <c r="E512" s="360" t="s">
        <v>130</v>
      </c>
      <c r="F512" s="2"/>
      <c r="G512" s="10">
        <f>'Пр.4.1 ведом.23-24 '!G385</f>
        <v>26</v>
      </c>
      <c r="H512" s="10">
        <f>'Пр.4.1 ведом.23-24 '!H385</f>
        <v>26</v>
      </c>
    </row>
    <row r="513" spans="1:8" ht="50.25" customHeight="1" x14ac:dyDescent="0.25">
      <c r="A513" s="31" t="s">
        <v>185</v>
      </c>
      <c r="B513" s="365" t="s">
        <v>744</v>
      </c>
      <c r="C513" s="360" t="s">
        <v>203</v>
      </c>
      <c r="D513" s="360" t="s">
        <v>116</v>
      </c>
      <c r="E513" s="360" t="s">
        <v>130</v>
      </c>
      <c r="F513" s="2">
        <v>903</v>
      </c>
      <c r="G513" s="10">
        <f>G512</f>
        <v>26</v>
      </c>
      <c r="H513" s="10">
        <f>H512</f>
        <v>26</v>
      </c>
    </row>
    <row r="514" spans="1:8" ht="31.5" hidden="1" x14ac:dyDescent="0.25">
      <c r="A514" s="24" t="s">
        <v>968</v>
      </c>
      <c r="B514" s="365" t="s">
        <v>962</v>
      </c>
      <c r="C514" s="360" t="s">
        <v>203</v>
      </c>
      <c r="D514" s="360" t="s">
        <v>116</v>
      </c>
      <c r="E514" s="365"/>
      <c r="F514" s="2"/>
      <c r="G514" s="10">
        <f>G515</f>
        <v>0</v>
      </c>
      <c r="H514" s="10">
        <f>H515</f>
        <v>0</v>
      </c>
    </row>
    <row r="515" spans="1:8" ht="78.75" hidden="1" x14ac:dyDescent="0.25">
      <c r="A515" s="364" t="s">
        <v>119</v>
      </c>
      <c r="B515" s="365" t="s">
        <v>962</v>
      </c>
      <c r="C515" s="360" t="s">
        <v>203</v>
      </c>
      <c r="D515" s="360" t="s">
        <v>116</v>
      </c>
      <c r="E515" s="365" t="s">
        <v>120</v>
      </c>
      <c r="F515" s="2"/>
      <c r="G515" s="10">
        <f>G516</f>
        <v>0</v>
      </c>
      <c r="H515" s="10">
        <f>H516</f>
        <v>0</v>
      </c>
    </row>
    <row r="516" spans="1:8" ht="15.75" hidden="1" x14ac:dyDescent="0.25">
      <c r="A516" s="364" t="s">
        <v>155</v>
      </c>
      <c r="B516" s="365" t="s">
        <v>962</v>
      </c>
      <c r="C516" s="360" t="s">
        <v>203</v>
      </c>
      <c r="D516" s="360" t="s">
        <v>116</v>
      </c>
      <c r="E516" s="365" t="s">
        <v>156</v>
      </c>
      <c r="F516" s="2"/>
      <c r="G516" s="10">
        <f>'Пр.4 ведом.22'!G387</f>
        <v>0</v>
      </c>
      <c r="H516" s="10">
        <f>'Пр.4 ведом.22'!H387</f>
        <v>0</v>
      </c>
    </row>
    <row r="517" spans="1:8" ht="47.25" hidden="1" x14ac:dyDescent="0.25">
      <c r="A517" s="31" t="s">
        <v>185</v>
      </c>
      <c r="B517" s="365" t="s">
        <v>962</v>
      </c>
      <c r="C517" s="360" t="s">
        <v>203</v>
      </c>
      <c r="D517" s="360" t="s">
        <v>116</v>
      </c>
      <c r="E517" s="365" t="s">
        <v>156</v>
      </c>
      <c r="F517" s="2">
        <v>903</v>
      </c>
      <c r="G517" s="10">
        <f>G514</f>
        <v>0</v>
      </c>
      <c r="H517" s="10">
        <f>H514</f>
        <v>0</v>
      </c>
    </row>
    <row r="518" spans="1:8" ht="19.5" customHeight="1" x14ac:dyDescent="0.25">
      <c r="A518" s="364" t="s">
        <v>288</v>
      </c>
      <c r="B518" s="365" t="s">
        <v>743</v>
      </c>
      <c r="C518" s="360" t="s">
        <v>171</v>
      </c>
      <c r="D518" s="48"/>
      <c r="E518" s="48"/>
      <c r="F518" s="2"/>
      <c r="G518" s="10">
        <f>G519</f>
        <v>6025.3</v>
      </c>
      <c r="H518" s="10">
        <f>H519</f>
        <v>6025.3</v>
      </c>
    </row>
    <row r="519" spans="1:8" ht="23.25" customHeight="1" x14ac:dyDescent="0.25">
      <c r="A519" s="364" t="s">
        <v>289</v>
      </c>
      <c r="B519" s="365" t="s">
        <v>743</v>
      </c>
      <c r="C519" s="360" t="s">
        <v>171</v>
      </c>
      <c r="D519" s="360" t="s">
        <v>158</v>
      </c>
      <c r="E519" s="48"/>
      <c r="F519" s="2"/>
      <c r="G519" s="10">
        <f>G520</f>
        <v>6025.3</v>
      </c>
      <c r="H519" s="10">
        <f>H520</f>
        <v>6025.3</v>
      </c>
    </row>
    <row r="520" spans="1:8" ht="20.25" customHeight="1" x14ac:dyDescent="0.25">
      <c r="A520" s="364" t="s">
        <v>378</v>
      </c>
      <c r="B520" s="365" t="s">
        <v>744</v>
      </c>
      <c r="C520" s="360" t="s">
        <v>171</v>
      </c>
      <c r="D520" s="360" t="s">
        <v>158</v>
      </c>
      <c r="E520" s="360"/>
      <c r="F520" s="2"/>
      <c r="G520" s="10">
        <f>G521+G524+G527</f>
        <v>6025.3</v>
      </c>
      <c r="H520" s="10">
        <f>H521+H524+H527</f>
        <v>6025.3</v>
      </c>
    </row>
    <row r="521" spans="1:8" ht="79.5" customHeight="1" x14ac:dyDescent="0.25">
      <c r="A521" s="364" t="s">
        <v>119</v>
      </c>
      <c r="B521" s="365" t="s">
        <v>744</v>
      </c>
      <c r="C521" s="360" t="s">
        <v>171</v>
      </c>
      <c r="D521" s="360" t="s">
        <v>158</v>
      </c>
      <c r="E521" s="360" t="s">
        <v>120</v>
      </c>
      <c r="F521" s="2"/>
      <c r="G521" s="10">
        <f>G522</f>
        <v>5124.5</v>
      </c>
      <c r="H521" s="10">
        <f>H522</f>
        <v>5124.5</v>
      </c>
    </row>
    <row r="522" spans="1:8" ht="20.25" customHeight="1" x14ac:dyDescent="0.25">
      <c r="A522" s="364" t="s">
        <v>155</v>
      </c>
      <c r="B522" s="365" t="s">
        <v>744</v>
      </c>
      <c r="C522" s="360" t="s">
        <v>171</v>
      </c>
      <c r="D522" s="360" t="s">
        <v>158</v>
      </c>
      <c r="E522" s="360" t="s">
        <v>156</v>
      </c>
      <c r="F522" s="2"/>
      <c r="G522" s="10">
        <f>'Пр.4.1 ведом.23-24 '!G527</f>
        <v>5124.5</v>
      </c>
      <c r="H522" s="10">
        <f>'Пр.4.1 ведом.23-24 '!H527</f>
        <v>5124.5</v>
      </c>
    </row>
    <row r="523" spans="1:8" ht="50.25" customHeight="1" x14ac:dyDescent="0.25">
      <c r="A523" s="31" t="s">
        <v>185</v>
      </c>
      <c r="B523" s="365" t="s">
        <v>744</v>
      </c>
      <c r="C523" s="360" t="s">
        <v>171</v>
      </c>
      <c r="D523" s="360" t="s">
        <v>158</v>
      </c>
      <c r="E523" s="360" t="s">
        <v>156</v>
      </c>
      <c r="F523" s="2">
        <v>903</v>
      </c>
      <c r="G523" s="10">
        <f>G522</f>
        <v>5124.5</v>
      </c>
      <c r="H523" s="10">
        <f>H522</f>
        <v>5124.5</v>
      </c>
    </row>
    <row r="524" spans="1:8" ht="42.75" customHeight="1" x14ac:dyDescent="0.25">
      <c r="A524" s="364" t="s">
        <v>123</v>
      </c>
      <c r="B524" s="365" t="s">
        <v>744</v>
      </c>
      <c r="C524" s="360" t="s">
        <v>171</v>
      </c>
      <c r="D524" s="360" t="s">
        <v>158</v>
      </c>
      <c r="E524" s="360" t="s">
        <v>124</v>
      </c>
      <c r="F524" s="2"/>
      <c r="G524" s="10">
        <f>G525</f>
        <v>890.3</v>
      </c>
      <c r="H524" s="10">
        <f>H525</f>
        <v>890.3</v>
      </c>
    </row>
    <row r="525" spans="1:8" ht="36" customHeight="1" x14ac:dyDescent="0.25">
      <c r="A525" s="364" t="s">
        <v>125</v>
      </c>
      <c r="B525" s="365" t="s">
        <v>744</v>
      </c>
      <c r="C525" s="360" t="s">
        <v>171</v>
      </c>
      <c r="D525" s="360" t="s">
        <v>158</v>
      </c>
      <c r="E525" s="360" t="s">
        <v>126</v>
      </c>
      <c r="F525" s="2"/>
      <c r="G525" s="10">
        <f>'Пр.4.1 ведом.23-24 '!G529</f>
        <v>890.3</v>
      </c>
      <c r="H525" s="10">
        <f>'Пр.4.1 ведом.23-24 '!H529</f>
        <v>890.3</v>
      </c>
    </row>
    <row r="526" spans="1:8" ht="50.25" customHeight="1" x14ac:dyDescent="0.25">
      <c r="A526" s="31" t="s">
        <v>185</v>
      </c>
      <c r="B526" s="365" t="s">
        <v>744</v>
      </c>
      <c r="C526" s="360" t="s">
        <v>171</v>
      </c>
      <c r="D526" s="360" t="s">
        <v>158</v>
      </c>
      <c r="E526" s="360" t="s">
        <v>126</v>
      </c>
      <c r="F526" s="2">
        <v>903</v>
      </c>
      <c r="G526" s="10">
        <f>G525</f>
        <v>890.3</v>
      </c>
      <c r="H526" s="10">
        <f>H525</f>
        <v>890.3</v>
      </c>
    </row>
    <row r="527" spans="1:8" ht="19.5" customHeight="1" x14ac:dyDescent="0.25">
      <c r="A527" s="364" t="s">
        <v>127</v>
      </c>
      <c r="B527" s="365" t="s">
        <v>744</v>
      </c>
      <c r="C527" s="360" t="s">
        <v>171</v>
      </c>
      <c r="D527" s="360" t="s">
        <v>158</v>
      </c>
      <c r="E527" s="360" t="s">
        <v>134</v>
      </c>
      <c r="F527" s="2"/>
      <c r="G527" s="10">
        <f>G528</f>
        <v>10.5</v>
      </c>
      <c r="H527" s="10">
        <f>H528</f>
        <v>10.5</v>
      </c>
    </row>
    <row r="528" spans="1:8" ht="23.25" customHeight="1" x14ac:dyDescent="0.25">
      <c r="A528" s="364" t="s">
        <v>129</v>
      </c>
      <c r="B528" s="365" t="s">
        <v>744</v>
      </c>
      <c r="C528" s="360" t="s">
        <v>171</v>
      </c>
      <c r="D528" s="360" t="s">
        <v>158</v>
      </c>
      <c r="E528" s="360" t="s">
        <v>130</v>
      </c>
      <c r="F528" s="2"/>
      <c r="G528" s="10">
        <f>'Пр.4.1 ведом.23-24 '!G531</f>
        <v>10.5</v>
      </c>
      <c r="H528" s="10">
        <f>'Пр.4.1 ведом.23-24 '!H531</f>
        <v>10.5</v>
      </c>
    </row>
    <row r="529" spans="1:8" ht="50.25" customHeight="1" x14ac:dyDescent="0.25">
      <c r="A529" s="31" t="s">
        <v>185</v>
      </c>
      <c r="B529" s="365" t="s">
        <v>744</v>
      </c>
      <c r="C529" s="360" t="s">
        <v>171</v>
      </c>
      <c r="D529" s="360" t="s">
        <v>158</v>
      </c>
      <c r="E529" s="360" t="s">
        <v>130</v>
      </c>
      <c r="F529" s="2">
        <v>903</v>
      </c>
      <c r="G529" s="10">
        <f>G528</f>
        <v>10.5</v>
      </c>
      <c r="H529" s="10">
        <f>H528</f>
        <v>10.5</v>
      </c>
    </row>
    <row r="530" spans="1:8" ht="31.7" customHeight="1" x14ac:dyDescent="0.25">
      <c r="A530" s="143" t="s">
        <v>816</v>
      </c>
      <c r="B530" s="316" t="s">
        <v>745</v>
      </c>
      <c r="C530" s="7"/>
      <c r="D530" s="7"/>
      <c r="E530" s="7"/>
      <c r="F530" s="3"/>
      <c r="G530" s="38">
        <f>G531+G544</f>
        <v>572</v>
      </c>
      <c r="H530" s="38">
        <f>H531+H544</f>
        <v>572</v>
      </c>
    </row>
    <row r="531" spans="1:8" ht="21.2" customHeight="1" x14ac:dyDescent="0.25">
      <c r="A531" s="364" t="s">
        <v>186</v>
      </c>
      <c r="B531" s="365" t="s">
        <v>745</v>
      </c>
      <c r="C531" s="360" t="s">
        <v>187</v>
      </c>
      <c r="D531" s="360"/>
      <c r="E531" s="360"/>
      <c r="F531" s="2"/>
      <c r="G531" s="10">
        <f>G532</f>
        <v>292</v>
      </c>
      <c r="H531" s="10">
        <f>H532</f>
        <v>292</v>
      </c>
    </row>
    <row r="532" spans="1:8" ht="20.25" customHeight="1" x14ac:dyDescent="0.25">
      <c r="A532" s="364" t="s">
        <v>188</v>
      </c>
      <c r="B532" s="365" t="s">
        <v>745</v>
      </c>
      <c r="C532" s="360" t="s">
        <v>187</v>
      </c>
      <c r="D532" s="360" t="s">
        <v>159</v>
      </c>
      <c r="E532" s="360"/>
      <c r="F532" s="2"/>
      <c r="G532" s="10">
        <f>G533</f>
        <v>292</v>
      </c>
      <c r="H532" s="10">
        <f>H533</f>
        <v>292</v>
      </c>
    </row>
    <row r="533" spans="1:8" ht="30.6" customHeight="1" x14ac:dyDescent="0.25">
      <c r="A533" s="123" t="s">
        <v>377</v>
      </c>
      <c r="B533" s="365" t="s">
        <v>746</v>
      </c>
      <c r="C533" s="360" t="s">
        <v>187</v>
      </c>
      <c r="D533" s="360" t="s">
        <v>159</v>
      </c>
      <c r="E533" s="365"/>
      <c r="F533" s="2"/>
      <c r="G533" s="10">
        <f>G534+G537</f>
        <v>292</v>
      </c>
      <c r="H533" s="10">
        <f>H534+H537</f>
        <v>292</v>
      </c>
    </row>
    <row r="534" spans="1:8" ht="21.2" customHeight="1" x14ac:dyDescent="0.25">
      <c r="A534" s="364" t="s">
        <v>177</v>
      </c>
      <c r="B534" s="365" t="s">
        <v>746</v>
      </c>
      <c r="C534" s="360" t="s">
        <v>187</v>
      </c>
      <c r="D534" s="360" t="s">
        <v>159</v>
      </c>
      <c r="E534" s="365" t="s">
        <v>178</v>
      </c>
      <c r="F534" s="2"/>
      <c r="G534" s="10">
        <f>G535</f>
        <v>42</v>
      </c>
      <c r="H534" s="10">
        <f>H535</f>
        <v>42</v>
      </c>
    </row>
    <row r="535" spans="1:8" ht="19.5" customHeight="1" x14ac:dyDescent="0.25">
      <c r="A535" s="364" t="s">
        <v>398</v>
      </c>
      <c r="B535" s="365" t="s">
        <v>746</v>
      </c>
      <c r="C535" s="360" t="s">
        <v>187</v>
      </c>
      <c r="D535" s="360" t="s">
        <v>159</v>
      </c>
      <c r="E535" s="365" t="s">
        <v>397</v>
      </c>
      <c r="F535" s="2"/>
      <c r="G535" s="10">
        <f>'Пр.4.1 ведом.23-24 '!G320</f>
        <v>42</v>
      </c>
      <c r="H535" s="10">
        <f>'Пр.4.1 ведом.23-24 '!H320</f>
        <v>42</v>
      </c>
    </row>
    <row r="536" spans="1:8" ht="54" customHeight="1" x14ac:dyDescent="0.25">
      <c r="A536" s="31" t="s">
        <v>185</v>
      </c>
      <c r="B536" s="365" t="s">
        <v>746</v>
      </c>
      <c r="C536" s="360" t="s">
        <v>187</v>
      </c>
      <c r="D536" s="360" t="s">
        <v>159</v>
      </c>
      <c r="E536" s="365" t="s">
        <v>397</v>
      </c>
      <c r="F536" s="2">
        <v>903</v>
      </c>
      <c r="G536" s="10">
        <f>G535</f>
        <v>42</v>
      </c>
      <c r="H536" s="10">
        <f>H535</f>
        <v>42</v>
      </c>
    </row>
    <row r="537" spans="1:8" ht="31.7" customHeight="1" x14ac:dyDescent="0.25">
      <c r="A537" s="24" t="s">
        <v>394</v>
      </c>
      <c r="B537" s="365" t="s">
        <v>747</v>
      </c>
      <c r="C537" s="360" t="s">
        <v>187</v>
      </c>
      <c r="D537" s="360" t="s">
        <v>159</v>
      </c>
      <c r="E537" s="365"/>
      <c r="F537" s="2"/>
      <c r="G537" s="10">
        <f>G538+G541</f>
        <v>250</v>
      </c>
      <c r="H537" s="10">
        <f>H538+H541</f>
        <v>250</v>
      </c>
    </row>
    <row r="538" spans="1:8" ht="31.7" customHeight="1" x14ac:dyDescent="0.25">
      <c r="A538" s="364" t="s">
        <v>119</v>
      </c>
      <c r="B538" s="365" t="s">
        <v>747</v>
      </c>
      <c r="C538" s="360" t="s">
        <v>187</v>
      </c>
      <c r="D538" s="360" t="s">
        <v>159</v>
      </c>
      <c r="E538" s="365" t="s">
        <v>120</v>
      </c>
      <c r="F538" s="2"/>
      <c r="G538" s="10">
        <f>G539</f>
        <v>250</v>
      </c>
      <c r="H538" s="10">
        <f>H539</f>
        <v>250</v>
      </c>
    </row>
    <row r="539" spans="1:8" ht="21.2" customHeight="1" x14ac:dyDescent="0.25">
      <c r="A539" s="32" t="s">
        <v>212</v>
      </c>
      <c r="B539" s="365" t="s">
        <v>747</v>
      </c>
      <c r="C539" s="360" t="s">
        <v>187</v>
      </c>
      <c r="D539" s="360" t="s">
        <v>159</v>
      </c>
      <c r="E539" s="365" t="s">
        <v>156</v>
      </c>
      <c r="F539" s="2"/>
      <c r="G539" s="10">
        <f>'Пр.4.1 ведом.23-24 '!G323</f>
        <v>250</v>
      </c>
      <c r="H539" s="10">
        <f>'Пр.4.1 ведом.23-24 '!H323</f>
        <v>250</v>
      </c>
    </row>
    <row r="540" spans="1:8" ht="52.5" customHeight="1" x14ac:dyDescent="0.25">
      <c r="A540" s="31" t="s">
        <v>185</v>
      </c>
      <c r="B540" s="365" t="s">
        <v>747</v>
      </c>
      <c r="C540" s="360" t="s">
        <v>187</v>
      </c>
      <c r="D540" s="360" t="s">
        <v>159</v>
      </c>
      <c r="E540" s="365" t="s">
        <v>156</v>
      </c>
      <c r="F540" s="2">
        <v>903</v>
      </c>
      <c r="G540" s="10">
        <f>G539</f>
        <v>250</v>
      </c>
      <c r="H540" s="10">
        <f>H539</f>
        <v>250</v>
      </c>
    </row>
    <row r="541" spans="1:8" ht="31.7" hidden="1" customHeight="1" x14ac:dyDescent="0.25">
      <c r="A541" s="364" t="s">
        <v>123</v>
      </c>
      <c r="B541" s="365" t="s">
        <v>747</v>
      </c>
      <c r="C541" s="360" t="s">
        <v>187</v>
      </c>
      <c r="D541" s="360" t="s">
        <v>159</v>
      </c>
      <c r="E541" s="365" t="s">
        <v>124</v>
      </c>
      <c r="F541" s="2"/>
      <c r="G541" s="10">
        <f>G542</f>
        <v>0</v>
      </c>
      <c r="H541" s="10">
        <f>H542</f>
        <v>0</v>
      </c>
    </row>
    <row r="542" spans="1:8" ht="31.7" hidden="1" customHeight="1" x14ac:dyDescent="0.25">
      <c r="A542" s="364" t="s">
        <v>125</v>
      </c>
      <c r="B542" s="365" t="s">
        <v>747</v>
      </c>
      <c r="C542" s="360" t="s">
        <v>187</v>
      </c>
      <c r="D542" s="360" t="s">
        <v>159</v>
      </c>
      <c r="E542" s="365" t="s">
        <v>126</v>
      </c>
      <c r="F542" s="2"/>
      <c r="G542" s="10">
        <f>'Пр.4 ведом.22'!G324</f>
        <v>0</v>
      </c>
      <c r="H542" s="10">
        <f>'Пр.4 ведом.22'!H324</f>
        <v>0</v>
      </c>
    </row>
    <row r="543" spans="1:8" ht="55.5" hidden="1" customHeight="1" x14ac:dyDescent="0.25">
      <c r="A543" s="31" t="s">
        <v>185</v>
      </c>
      <c r="B543" s="365" t="s">
        <v>747</v>
      </c>
      <c r="C543" s="360" t="s">
        <v>187</v>
      </c>
      <c r="D543" s="360" t="s">
        <v>159</v>
      </c>
      <c r="E543" s="365" t="s">
        <v>126</v>
      </c>
      <c r="F543" s="2">
        <v>903</v>
      </c>
      <c r="G543" s="10">
        <f>G542</f>
        <v>0</v>
      </c>
      <c r="H543" s="10">
        <f>H542</f>
        <v>0</v>
      </c>
    </row>
    <row r="544" spans="1:8" ht="16.5" customHeight="1" x14ac:dyDescent="0.25">
      <c r="A544" s="48" t="s">
        <v>202</v>
      </c>
      <c r="B544" s="365" t="s">
        <v>745</v>
      </c>
      <c r="C544" s="360" t="s">
        <v>203</v>
      </c>
      <c r="D544" s="48"/>
      <c r="E544" s="48"/>
      <c r="F544" s="2"/>
      <c r="G544" s="10">
        <f>G545</f>
        <v>280</v>
      </c>
      <c r="H544" s="10">
        <f>H545</f>
        <v>280</v>
      </c>
    </row>
    <row r="545" spans="1:8" ht="16.5" customHeight="1" x14ac:dyDescent="0.25">
      <c r="A545" s="48" t="s">
        <v>204</v>
      </c>
      <c r="B545" s="365" t="s">
        <v>745</v>
      </c>
      <c r="C545" s="360" t="s">
        <v>203</v>
      </c>
      <c r="D545" s="360" t="s">
        <v>116</v>
      </c>
      <c r="E545" s="48"/>
      <c r="F545" s="2"/>
      <c r="G545" s="10">
        <f>G546+G550+G553</f>
        <v>280</v>
      </c>
      <c r="H545" s="10">
        <f>H546+H550+H553</f>
        <v>280</v>
      </c>
    </row>
    <row r="546" spans="1:8" ht="41.25" hidden="1" customHeight="1" x14ac:dyDescent="0.25">
      <c r="A546" s="24" t="s">
        <v>394</v>
      </c>
      <c r="B546" s="365" t="s">
        <v>747</v>
      </c>
      <c r="C546" s="360" t="s">
        <v>203</v>
      </c>
      <c r="D546" s="360" t="s">
        <v>116</v>
      </c>
      <c r="E546" s="360"/>
      <c r="F546" s="2"/>
      <c r="G546" s="10">
        <f>G547</f>
        <v>0</v>
      </c>
      <c r="H546" s="10">
        <f>H547</f>
        <v>0</v>
      </c>
    </row>
    <row r="547" spans="1:8" ht="83.25" hidden="1" customHeight="1" x14ac:dyDescent="0.25">
      <c r="A547" s="364" t="s">
        <v>119</v>
      </c>
      <c r="B547" s="365" t="s">
        <v>747</v>
      </c>
      <c r="C547" s="360" t="s">
        <v>203</v>
      </c>
      <c r="D547" s="360" t="s">
        <v>116</v>
      </c>
      <c r="E547" s="360" t="s">
        <v>120</v>
      </c>
      <c r="F547" s="2"/>
      <c r="G547" s="10">
        <f>G548</f>
        <v>0</v>
      </c>
      <c r="H547" s="10">
        <f>H548</f>
        <v>0</v>
      </c>
    </row>
    <row r="548" spans="1:8" ht="15.75" hidden="1" customHeight="1" x14ac:dyDescent="0.25">
      <c r="A548" s="364" t="s">
        <v>155</v>
      </c>
      <c r="B548" s="365" t="s">
        <v>747</v>
      </c>
      <c r="C548" s="360" t="s">
        <v>203</v>
      </c>
      <c r="D548" s="360" t="s">
        <v>116</v>
      </c>
      <c r="E548" s="360" t="s">
        <v>156</v>
      </c>
      <c r="F548" s="2"/>
      <c r="G548" s="10">
        <f>'Пр.4.1 ведом.23-24 '!G392</f>
        <v>0</v>
      </c>
      <c r="H548" s="10">
        <f>'Пр.4.1 ведом.23-24 '!H392</f>
        <v>0</v>
      </c>
    </row>
    <row r="549" spans="1:8" ht="40.15" hidden="1" customHeight="1" x14ac:dyDescent="0.25">
      <c r="A549" s="31" t="s">
        <v>185</v>
      </c>
      <c r="B549" s="365" t="s">
        <v>747</v>
      </c>
      <c r="C549" s="360" t="s">
        <v>203</v>
      </c>
      <c r="D549" s="360" t="s">
        <v>116</v>
      </c>
      <c r="E549" s="360" t="s">
        <v>156</v>
      </c>
      <c r="F549" s="2">
        <v>903</v>
      </c>
      <c r="G549" s="10">
        <f>G548</f>
        <v>0</v>
      </c>
      <c r="H549" s="10">
        <f>H548</f>
        <v>0</v>
      </c>
    </row>
    <row r="550" spans="1:8" ht="40.700000000000003" hidden="1" customHeight="1" x14ac:dyDescent="0.25">
      <c r="A550" s="364" t="s">
        <v>123</v>
      </c>
      <c r="B550" s="365" t="s">
        <v>747</v>
      </c>
      <c r="C550" s="360" t="s">
        <v>203</v>
      </c>
      <c r="D550" s="360" t="s">
        <v>116</v>
      </c>
      <c r="E550" s="360" t="s">
        <v>124</v>
      </c>
      <c r="F550" s="2"/>
      <c r="G550" s="10">
        <f>G551</f>
        <v>0</v>
      </c>
      <c r="H550" s="10">
        <f>H551</f>
        <v>0</v>
      </c>
    </row>
    <row r="551" spans="1:8" ht="40.700000000000003" hidden="1" customHeight="1" x14ac:dyDescent="0.25">
      <c r="A551" s="364" t="s">
        <v>125</v>
      </c>
      <c r="B551" s="365" t="s">
        <v>747</v>
      </c>
      <c r="C551" s="360" t="s">
        <v>203</v>
      </c>
      <c r="D551" s="360" t="s">
        <v>116</v>
      </c>
      <c r="E551" s="360" t="s">
        <v>126</v>
      </c>
      <c r="F551" s="2"/>
      <c r="G551" s="10">
        <f>'Пр.3 Рд,пр, ЦС,ВР 22'!F829</f>
        <v>0</v>
      </c>
      <c r="H551" s="10">
        <f>'Пр.3 Рд,пр, ЦС,ВР 22'!G829</f>
        <v>0</v>
      </c>
    </row>
    <row r="552" spans="1:8" ht="46.5" hidden="1" customHeight="1" x14ac:dyDescent="0.25">
      <c r="A552" s="31" t="s">
        <v>185</v>
      </c>
      <c r="B552" s="365" t="s">
        <v>747</v>
      </c>
      <c r="C552" s="360" t="s">
        <v>203</v>
      </c>
      <c r="D552" s="360" t="s">
        <v>116</v>
      </c>
      <c r="E552" s="360" t="s">
        <v>126</v>
      </c>
      <c r="F552" s="2">
        <v>903</v>
      </c>
      <c r="G552" s="10">
        <f>G551</f>
        <v>0</v>
      </c>
      <c r="H552" s="10">
        <f>H551</f>
        <v>0</v>
      </c>
    </row>
    <row r="553" spans="1:8" ht="31.5" x14ac:dyDescent="0.25">
      <c r="A553" s="399" t="s">
        <v>1193</v>
      </c>
      <c r="B553" s="402" t="s">
        <v>1194</v>
      </c>
      <c r="C553" s="360" t="s">
        <v>203</v>
      </c>
      <c r="D553" s="360" t="s">
        <v>116</v>
      </c>
      <c r="E553" s="360"/>
      <c r="F553" s="2"/>
      <c r="G553" s="10">
        <f>G554</f>
        <v>280</v>
      </c>
      <c r="H553" s="10">
        <f>H554</f>
        <v>280</v>
      </c>
    </row>
    <row r="554" spans="1:8" ht="31.5" x14ac:dyDescent="0.25">
      <c r="A554" s="399" t="s">
        <v>191</v>
      </c>
      <c r="B554" s="402" t="s">
        <v>1194</v>
      </c>
      <c r="C554" s="360" t="s">
        <v>203</v>
      </c>
      <c r="D554" s="360" t="s">
        <v>116</v>
      </c>
      <c r="E554" s="360" t="s">
        <v>192</v>
      </c>
      <c r="F554" s="2"/>
      <c r="G554" s="10">
        <f>G555</f>
        <v>280</v>
      </c>
      <c r="H554" s="10">
        <f>H555</f>
        <v>280</v>
      </c>
    </row>
    <row r="555" spans="1:8" ht="15.75" x14ac:dyDescent="0.25">
      <c r="A555" s="364" t="s">
        <v>193</v>
      </c>
      <c r="B555" s="402" t="s">
        <v>1194</v>
      </c>
      <c r="C555" s="360" t="s">
        <v>203</v>
      </c>
      <c r="D555" s="360" t="s">
        <v>116</v>
      </c>
      <c r="E555" s="360" t="s">
        <v>194</v>
      </c>
      <c r="F555" s="2"/>
      <c r="G555" s="10">
        <f>'Пр.4.1 ведом.23-24 '!G397</f>
        <v>280</v>
      </c>
      <c r="H555" s="10">
        <f>'Пр.4.1 ведом.23-24 '!H397</f>
        <v>280</v>
      </c>
    </row>
    <row r="556" spans="1:8" ht="47.25" x14ac:dyDescent="0.25">
      <c r="A556" s="31" t="s">
        <v>185</v>
      </c>
      <c r="B556" s="402" t="s">
        <v>1194</v>
      </c>
      <c r="C556" s="360" t="s">
        <v>203</v>
      </c>
      <c r="D556" s="360" t="s">
        <v>116</v>
      </c>
      <c r="E556" s="360" t="s">
        <v>194</v>
      </c>
      <c r="F556" s="2">
        <v>903</v>
      </c>
      <c r="G556" s="10">
        <f>G555</f>
        <v>280</v>
      </c>
      <c r="H556" s="10">
        <f>H555</f>
        <v>280</v>
      </c>
    </row>
    <row r="557" spans="1:8" ht="35.450000000000003" customHeight="1" x14ac:dyDescent="0.25">
      <c r="A557" s="315" t="s">
        <v>514</v>
      </c>
      <c r="B557" s="316" t="s">
        <v>748</v>
      </c>
      <c r="C557" s="7"/>
      <c r="D557" s="7"/>
      <c r="E557" s="7"/>
      <c r="F557" s="3"/>
      <c r="G557" s="38">
        <f>G565+G559+G574</f>
        <v>1634</v>
      </c>
      <c r="H557" s="38">
        <f>H565+H559+H574</f>
        <v>1634</v>
      </c>
    </row>
    <row r="558" spans="1:8" ht="18" customHeight="1" x14ac:dyDescent="0.25">
      <c r="A558" s="364" t="s">
        <v>186</v>
      </c>
      <c r="B558" s="365" t="s">
        <v>748</v>
      </c>
      <c r="C558" s="360" t="s">
        <v>187</v>
      </c>
      <c r="D558" s="360"/>
      <c r="E558" s="360"/>
      <c r="F558" s="2"/>
      <c r="G558" s="10">
        <f t="shared" ref="G558:H561" si="74">G559</f>
        <v>473</v>
      </c>
      <c r="H558" s="10">
        <f t="shared" si="74"/>
        <v>473</v>
      </c>
    </row>
    <row r="559" spans="1:8" ht="22.7" customHeight="1" x14ac:dyDescent="0.25">
      <c r="A559" s="364" t="s">
        <v>188</v>
      </c>
      <c r="B559" s="365" t="s">
        <v>748</v>
      </c>
      <c r="C559" s="360" t="s">
        <v>187</v>
      </c>
      <c r="D559" s="360" t="s">
        <v>159</v>
      </c>
      <c r="E559" s="360"/>
      <c r="F559" s="2"/>
      <c r="G559" s="10">
        <f t="shared" si="74"/>
        <v>473</v>
      </c>
      <c r="H559" s="10">
        <f t="shared" si="74"/>
        <v>473</v>
      </c>
    </row>
    <row r="560" spans="1:8" ht="49.7" customHeight="1" x14ac:dyDescent="0.25">
      <c r="A560" s="364" t="s">
        <v>416</v>
      </c>
      <c r="B560" s="365" t="s">
        <v>749</v>
      </c>
      <c r="C560" s="360" t="s">
        <v>187</v>
      </c>
      <c r="D560" s="360" t="s">
        <v>159</v>
      </c>
      <c r="E560" s="365"/>
      <c r="F560" s="2"/>
      <c r="G560" s="10">
        <f t="shared" si="74"/>
        <v>473</v>
      </c>
      <c r="H560" s="10">
        <f t="shared" si="74"/>
        <v>473</v>
      </c>
    </row>
    <row r="561" spans="1:8" ht="88.5" customHeight="1" x14ac:dyDescent="0.25">
      <c r="A561" s="364" t="s">
        <v>119</v>
      </c>
      <c r="B561" s="365" t="s">
        <v>749</v>
      </c>
      <c r="C561" s="360" t="s">
        <v>187</v>
      </c>
      <c r="D561" s="360" t="s">
        <v>159</v>
      </c>
      <c r="E561" s="365" t="s">
        <v>120</v>
      </c>
      <c r="F561" s="2"/>
      <c r="G561" s="10">
        <f t="shared" si="74"/>
        <v>473</v>
      </c>
      <c r="H561" s="10">
        <f t="shared" si="74"/>
        <v>473</v>
      </c>
    </row>
    <row r="562" spans="1:8" ht="36.75" customHeight="1" x14ac:dyDescent="0.25">
      <c r="A562" s="364" t="s">
        <v>121</v>
      </c>
      <c r="B562" s="365" t="s">
        <v>749</v>
      </c>
      <c r="C562" s="360" t="s">
        <v>187</v>
      </c>
      <c r="D562" s="360" t="s">
        <v>159</v>
      </c>
      <c r="E562" s="365" t="s">
        <v>156</v>
      </c>
      <c r="F562" s="2"/>
      <c r="G562" s="10">
        <f>'Пр.4.1 ведом.23-24 '!G329</f>
        <v>473</v>
      </c>
      <c r="H562" s="10">
        <f>'Пр.4.1 ведом.23-24 '!H329</f>
        <v>473</v>
      </c>
    </row>
    <row r="563" spans="1:8" ht="58.7" customHeight="1" x14ac:dyDescent="0.25">
      <c r="A563" s="31" t="s">
        <v>185</v>
      </c>
      <c r="B563" s="365" t="s">
        <v>749</v>
      </c>
      <c r="C563" s="360" t="s">
        <v>187</v>
      </c>
      <c r="D563" s="360" t="s">
        <v>159</v>
      </c>
      <c r="E563" s="365" t="s">
        <v>156</v>
      </c>
      <c r="F563" s="2">
        <v>903</v>
      </c>
      <c r="G563" s="10">
        <f>G562</f>
        <v>473</v>
      </c>
      <c r="H563" s="10">
        <f>H562</f>
        <v>473</v>
      </c>
    </row>
    <row r="564" spans="1:8" ht="16.5" customHeight="1" x14ac:dyDescent="0.25">
      <c r="A564" s="48" t="s">
        <v>202</v>
      </c>
      <c r="B564" s="365" t="s">
        <v>748</v>
      </c>
      <c r="C564" s="360" t="s">
        <v>203</v>
      </c>
      <c r="D564" s="48"/>
      <c r="E564" s="48"/>
      <c r="F564" s="2"/>
      <c r="G564" s="10">
        <f t="shared" ref="G564:H567" si="75">G565</f>
        <v>903</v>
      </c>
      <c r="H564" s="10">
        <f t="shared" si="75"/>
        <v>903</v>
      </c>
    </row>
    <row r="565" spans="1:8" ht="18.75" customHeight="1" x14ac:dyDescent="0.25">
      <c r="A565" s="48" t="s">
        <v>204</v>
      </c>
      <c r="B565" s="365" t="s">
        <v>748</v>
      </c>
      <c r="C565" s="360" t="s">
        <v>203</v>
      </c>
      <c r="D565" s="360" t="s">
        <v>116</v>
      </c>
      <c r="E565" s="48"/>
      <c r="F565" s="2"/>
      <c r="G565" s="10">
        <f>G566+G570</f>
        <v>903</v>
      </c>
      <c r="H565" s="10">
        <f>H566+H570</f>
        <v>903</v>
      </c>
    </row>
    <row r="566" spans="1:8" ht="43.5" customHeight="1" x14ac:dyDescent="0.25">
      <c r="A566" s="364" t="s">
        <v>416</v>
      </c>
      <c r="B566" s="365" t="s">
        <v>749</v>
      </c>
      <c r="C566" s="360" t="s">
        <v>203</v>
      </c>
      <c r="D566" s="360" t="s">
        <v>116</v>
      </c>
      <c r="E566" s="360"/>
      <c r="F566" s="2"/>
      <c r="G566" s="10">
        <f t="shared" si="75"/>
        <v>473</v>
      </c>
      <c r="H566" s="10">
        <f t="shared" si="75"/>
        <v>473</v>
      </c>
    </row>
    <row r="567" spans="1:8" ht="81" customHeight="1" x14ac:dyDescent="0.25">
      <c r="A567" s="364" t="s">
        <v>119</v>
      </c>
      <c r="B567" s="365" t="s">
        <v>749</v>
      </c>
      <c r="C567" s="360" t="s">
        <v>203</v>
      </c>
      <c r="D567" s="360" t="s">
        <v>116</v>
      </c>
      <c r="E567" s="360" t="s">
        <v>120</v>
      </c>
      <c r="F567" s="2"/>
      <c r="G567" s="10">
        <f t="shared" si="75"/>
        <v>473</v>
      </c>
      <c r="H567" s="10">
        <f t="shared" si="75"/>
        <v>473</v>
      </c>
    </row>
    <row r="568" spans="1:8" ht="38.25" customHeight="1" x14ac:dyDescent="0.25">
      <c r="A568" s="364" t="s">
        <v>121</v>
      </c>
      <c r="B568" s="365" t="s">
        <v>749</v>
      </c>
      <c r="C568" s="360" t="s">
        <v>203</v>
      </c>
      <c r="D568" s="360" t="s">
        <v>116</v>
      </c>
      <c r="E568" s="360" t="s">
        <v>156</v>
      </c>
      <c r="F568" s="2"/>
      <c r="G568" s="10">
        <f>'Пр.4.1 ведом.23-24 '!G401</f>
        <v>473</v>
      </c>
      <c r="H568" s="10">
        <f>'Пр.4.1 ведом.23-24 '!H401</f>
        <v>473</v>
      </c>
    </row>
    <row r="569" spans="1:8" ht="47.25" customHeight="1" x14ac:dyDescent="0.25">
      <c r="A569" s="31" t="s">
        <v>185</v>
      </c>
      <c r="B569" s="365" t="s">
        <v>749</v>
      </c>
      <c r="C569" s="360" t="s">
        <v>203</v>
      </c>
      <c r="D569" s="360" t="s">
        <v>116</v>
      </c>
      <c r="E569" s="360" t="s">
        <v>156</v>
      </c>
      <c r="F569" s="2">
        <v>903</v>
      </c>
      <c r="G569" s="10">
        <f>G568</f>
        <v>473</v>
      </c>
      <c r="H569" s="10">
        <f>H568</f>
        <v>473</v>
      </c>
    </row>
    <row r="570" spans="1:8" ht="31.5" x14ac:dyDescent="0.25">
      <c r="A570" s="364" t="s">
        <v>344</v>
      </c>
      <c r="B570" s="402" t="s">
        <v>1195</v>
      </c>
      <c r="C570" s="360" t="s">
        <v>203</v>
      </c>
      <c r="D570" s="360" t="s">
        <v>116</v>
      </c>
      <c r="E570" s="360"/>
      <c r="F570" s="2"/>
      <c r="G570" s="10">
        <f>G571</f>
        <v>430</v>
      </c>
      <c r="H570" s="10">
        <f>H571</f>
        <v>430</v>
      </c>
    </row>
    <row r="571" spans="1:8" ht="31.5" x14ac:dyDescent="0.25">
      <c r="A571" s="364" t="s">
        <v>191</v>
      </c>
      <c r="B571" s="402" t="s">
        <v>1195</v>
      </c>
      <c r="C571" s="360" t="s">
        <v>203</v>
      </c>
      <c r="D571" s="360" t="s">
        <v>116</v>
      </c>
      <c r="E571" s="360" t="s">
        <v>192</v>
      </c>
      <c r="F571" s="2"/>
      <c r="G571" s="10">
        <f>G572</f>
        <v>430</v>
      </c>
      <c r="H571" s="10">
        <f>H572</f>
        <v>430</v>
      </c>
    </row>
    <row r="572" spans="1:8" ht="15.75" x14ac:dyDescent="0.25">
      <c r="A572" s="364" t="s">
        <v>193</v>
      </c>
      <c r="B572" s="402" t="s">
        <v>1195</v>
      </c>
      <c r="C572" s="360" t="s">
        <v>203</v>
      </c>
      <c r="D572" s="360" t="s">
        <v>116</v>
      </c>
      <c r="E572" s="360" t="s">
        <v>194</v>
      </c>
      <c r="F572" s="2"/>
      <c r="G572" s="10">
        <f>'Пр.4.1 ведом.23-24 '!G404</f>
        <v>430</v>
      </c>
      <c r="H572" s="10">
        <f>'Пр.4.1 ведом.23-24 '!H404</f>
        <v>430</v>
      </c>
    </row>
    <row r="573" spans="1:8" ht="47.25" x14ac:dyDescent="0.25">
      <c r="A573" s="31" t="s">
        <v>185</v>
      </c>
      <c r="B573" s="402" t="s">
        <v>1195</v>
      </c>
      <c r="C573" s="360" t="s">
        <v>203</v>
      </c>
      <c r="D573" s="360" t="s">
        <v>116</v>
      </c>
      <c r="E573" s="360" t="s">
        <v>194</v>
      </c>
      <c r="F573" s="2">
        <v>903</v>
      </c>
      <c r="G573" s="10">
        <f>G572</f>
        <v>430</v>
      </c>
      <c r="H573" s="10">
        <f>H572</f>
        <v>430</v>
      </c>
    </row>
    <row r="574" spans="1:8" ht="16.5" customHeight="1" x14ac:dyDescent="0.25">
      <c r="A574" s="45" t="s">
        <v>288</v>
      </c>
      <c r="B574" s="365" t="s">
        <v>748</v>
      </c>
      <c r="C574" s="360" t="s">
        <v>171</v>
      </c>
      <c r="D574" s="48"/>
      <c r="E574" s="48"/>
      <c r="F574" s="2"/>
      <c r="G574" s="10">
        <f t="shared" ref="G574:H577" si="76">G575</f>
        <v>258</v>
      </c>
      <c r="H574" s="10">
        <f t="shared" si="76"/>
        <v>258</v>
      </c>
    </row>
    <row r="575" spans="1:8" ht="18" customHeight="1" x14ac:dyDescent="0.25">
      <c r="A575" s="364" t="s">
        <v>289</v>
      </c>
      <c r="B575" s="365" t="s">
        <v>748</v>
      </c>
      <c r="C575" s="360" t="s">
        <v>171</v>
      </c>
      <c r="D575" s="360" t="s">
        <v>158</v>
      </c>
      <c r="E575" s="48"/>
      <c r="F575" s="2"/>
      <c r="G575" s="10">
        <f t="shared" si="76"/>
        <v>258</v>
      </c>
      <c r="H575" s="10">
        <f t="shared" si="76"/>
        <v>258</v>
      </c>
    </row>
    <row r="576" spans="1:8" ht="47.25" customHeight="1" x14ac:dyDescent="0.25">
      <c r="A576" s="364" t="s">
        <v>416</v>
      </c>
      <c r="B576" s="365" t="s">
        <v>749</v>
      </c>
      <c r="C576" s="360" t="s">
        <v>171</v>
      </c>
      <c r="D576" s="360" t="s">
        <v>158</v>
      </c>
      <c r="E576" s="360"/>
      <c r="F576" s="2"/>
      <c r="G576" s="10">
        <f t="shared" si="76"/>
        <v>258</v>
      </c>
      <c r="H576" s="10">
        <f t="shared" si="76"/>
        <v>258</v>
      </c>
    </row>
    <row r="577" spans="1:10" ht="47.25" customHeight="1" x14ac:dyDescent="0.25">
      <c r="A577" s="364" t="s">
        <v>119</v>
      </c>
      <c r="B577" s="365" t="s">
        <v>749</v>
      </c>
      <c r="C577" s="360" t="s">
        <v>171</v>
      </c>
      <c r="D577" s="360" t="s">
        <v>158</v>
      </c>
      <c r="E577" s="360" t="s">
        <v>120</v>
      </c>
      <c r="F577" s="2"/>
      <c r="G577" s="10">
        <f t="shared" si="76"/>
        <v>258</v>
      </c>
      <c r="H577" s="10">
        <f t="shared" si="76"/>
        <v>258</v>
      </c>
    </row>
    <row r="578" spans="1:10" ht="47.25" customHeight="1" x14ac:dyDescent="0.25">
      <c r="A578" s="364" t="s">
        <v>121</v>
      </c>
      <c r="B578" s="365" t="s">
        <v>749</v>
      </c>
      <c r="C578" s="360" t="s">
        <v>171</v>
      </c>
      <c r="D578" s="360" t="s">
        <v>158</v>
      </c>
      <c r="E578" s="360" t="s">
        <v>156</v>
      </c>
      <c r="F578" s="2"/>
      <c r="G578" s="10">
        <f>'Пр.4.1 ведом.23-24 '!G535</f>
        <v>258</v>
      </c>
      <c r="H578" s="10">
        <f>'Пр.4.1 ведом.23-24 '!H535</f>
        <v>258</v>
      </c>
    </row>
    <row r="579" spans="1:10" ht="47.25" customHeight="1" x14ac:dyDescent="0.25">
      <c r="A579" s="31" t="s">
        <v>185</v>
      </c>
      <c r="B579" s="365" t="s">
        <v>749</v>
      </c>
      <c r="C579" s="360" t="s">
        <v>171</v>
      </c>
      <c r="D579" s="360" t="s">
        <v>158</v>
      </c>
      <c r="E579" s="360" t="s">
        <v>156</v>
      </c>
      <c r="F579" s="2">
        <v>903</v>
      </c>
      <c r="G579" s="10">
        <f>G578</f>
        <v>258</v>
      </c>
      <c r="H579" s="10">
        <f>H578</f>
        <v>258</v>
      </c>
    </row>
    <row r="580" spans="1:10" ht="48.2" customHeight="1" x14ac:dyDescent="0.25">
      <c r="A580" s="144" t="s">
        <v>471</v>
      </c>
      <c r="B580" s="316" t="s">
        <v>750</v>
      </c>
      <c r="C580" s="7"/>
      <c r="D580" s="7"/>
      <c r="E580" s="7"/>
      <c r="F580" s="3"/>
      <c r="G580" s="38">
        <f>G581+G592</f>
        <v>2730.3</v>
      </c>
      <c r="H580" s="38">
        <f>H581+H592</f>
        <v>2730.3</v>
      </c>
    </row>
    <row r="581" spans="1:10" ht="21.75" customHeight="1" x14ac:dyDescent="0.25">
      <c r="A581" s="364" t="s">
        <v>186</v>
      </c>
      <c r="B581" s="365" t="s">
        <v>750</v>
      </c>
      <c r="C581" s="360" t="s">
        <v>187</v>
      </c>
      <c r="D581" s="360"/>
      <c r="E581" s="360"/>
      <c r="F581" s="2"/>
      <c r="G581" s="10">
        <f>G582</f>
        <v>245.29999999999998</v>
      </c>
      <c r="H581" s="10">
        <f>H582</f>
        <v>245.29999999999998</v>
      </c>
    </row>
    <row r="582" spans="1:10" ht="18" customHeight="1" x14ac:dyDescent="0.25">
      <c r="A582" s="364" t="s">
        <v>188</v>
      </c>
      <c r="B582" s="365" t="s">
        <v>750</v>
      </c>
      <c r="C582" s="360" t="s">
        <v>187</v>
      </c>
      <c r="D582" s="360" t="s">
        <v>159</v>
      </c>
      <c r="E582" s="360"/>
      <c r="F582" s="2"/>
      <c r="G582" s="10">
        <f>G583+G587</f>
        <v>245.29999999999998</v>
      </c>
      <c r="H582" s="10">
        <f>H583+H587</f>
        <v>245.29999999999998</v>
      </c>
    </row>
    <row r="583" spans="1:10" ht="97.15" customHeight="1" x14ac:dyDescent="0.25">
      <c r="A583" s="24" t="s">
        <v>200</v>
      </c>
      <c r="B583" s="365" t="s">
        <v>897</v>
      </c>
      <c r="C583" s="360" t="s">
        <v>187</v>
      </c>
      <c r="D583" s="360" t="s">
        <v>159</v>
      </c>
      <c r="E583" s="365"/>
      <c r="F583" s="2"/>
      <c r="G583" s="10">
        <f>G584</f>
        <v>0</v>
      </c>
      <c r="H583" s="10">
        <f>H584</f>
        <v>0</v>
      </c>
      <c r="J583" s="156">
        <f>G583+G593</f>
        <v>2100.5</v>
      </c>
    </row>
    <row r="584" spans="1:10" ht="84.2" customHeight="1" x14ac:dyDescent="0.25">
      <c r="A584" s="364" t="s">
        <v>119</v>
      </c>
      <c r="B584" s="365" t="s">
        <v>897</v>
      </c>
      <c r="C584" s="360" t="s">
        <v>187</v>
      </c>
      <c r="D584" s="360" t="s">
        <v>159</v>
      </c>
      <c r="E584" s="365" t="s">
        <v>120</v>
      </c>
      <c r="F584" s="2"/>
      <c r="G584" s="10">
        <f>G585</f>
        <v>0</v>
      </c>
      <c r="H584" s="10">
        <f>H585</f>
        <v>0</v>
      </c>
    </row>
    <row r="585" spans="1:10" ht="15" customHeight="1" x14ac:dyDescent="0.25">
      <c r="A585" s="32" t="s">
        <v>212</v>
      </c>
      <c r="B585" s="365" t="s">
        <v>897</v>
      </c>
      <c r="C585" s="360" t="s">
        <v>187</v>
      </c>
      <c r="D585" s="360" t="s">
        <v>159</v>
      </c>
      <c r="E585" s="365" t="s">
        <v>156</v>
      </c>
      <c r="F585" s="2"/>
      <c r="G585" s="10">
        <f>'Пр.4.1 ведом.23-24 '!G333</f>
        <v>0</v>
      </c>
      <c r="H585" s="10">
        <f>'Пр.4.1 ведом.23-24 '!H333</f>
        <v>0</v>
      </c>
    </row>
    <row r="586" spans="1:10" ht="57.75" customHeight="1" x14ac:dyDescent="0.25">
      <c r="A586" s="31" t="s">
        <v>185</v>
      </c>
      <c r="B586" s="365" t="s">
        <v>897</v>
      </c>
      <c r="C586" s="360" t="s">
        <v>187</v>
      </c>
      <c r="D586" s="360" t="s">
        <v>159</v>
      </c>
      <c r="E586" s="365" t="s">
        <v>156</v>
      </c>
      <c r="F586" s="2">
        <v>903</v>
      </c>
      <c r="G586" s="10">
        <f>G585</f>
        <v>0</v>
      </c>
      <c r="H586" s="10">
        <f>H585</f>
        <v>0</v>
      </c>
    </row>
    <row r="587" spans="1:10" ht="47.25" x14ac:dyDescent="0.25">
      <c r="A587" s="399" t="s">
        <v>1147</v>
      </c>
      <c r="B587" s="365" t="s">
        <v>1149</v>
      </c>
      <c r="C587" s="360" t="s">
        <v>187</v>
      </c>
      <c r="D587" s="360" t="s">
        <v>159</v>
      </c>
      <c r="E587" s="365"/>
      <c r="F587" s="2"/>
      <c r="G587" s="10">
        <f>G588</f>
        <v>245.29999999999998</v>
      </c>
      <c r="H587" s="10">
        <f>H588</f>
        <v>245.29999999999998</v>
      </c>
    </row>
    <row r="588" spans="1:10" ht="86.25" customHeight="1" x14ac:dyDescent="0.25">
      <c r="A588" s="364" t="s">
        <v>119</v>
      </c>
      <c r="B588" s="365" t="s">
        <v>1149</v>
      </c>
      <c r="C588" s="360" t="s">
        <v>187</v>
      </c>
      <c r="D588" s="360" t="s">
        <v>159</v>
      </c>
      <c r="E588" s="365" t="s">
        <v>120</v>
      </c>
      <c r="F588" s="2"/>
      <c r="G588" s="10">
        <f>G589</f>
        <v>245.29999999999998</v>
      </c>
      <c r="H588" s="10">
        <f>H589</f>
        <v>245.29999999999998</v>
      </c>
    </row>
    <row r="589" spans="1:10" ht="23.25" customHeight="1" x14ac:dyDescent="0.25">
      <c r="A589" s="32" t="s">
        <v>212</v>
      </c>
      <c r="B589" s="365" t="s">
        <v>1149</v>
      </c>
      <c r="C589" s="360" t="s">
        <v>187</v>
      </c>
      <c r="D589" s="360" t="s">
        <v>159</v>
      </c>
      <c r="E589" s="365" t="s">
        <v>156</v>
      </c>
      <c r="F589" s="2"/>
      <c r="G589" s="10">
        <f>'Пр.4.1 ведом.23-24 '!G336:H336</f>
        <v>245.29999999999998</v>
      </c>
      <c r="H589" s="10">
        <f>'Пр.4.1 ведом.23-24 '!H336:I336</f>
        <v>245.29999999999998</v>
      </c>
    </row>
    <row r="590" spans="1:10" ht="55.5" customHeight="1" x14ac:dyDescent="0.25">
      <c r="A590" s="31" t="s">
        <v>185</v>
      </c>
      <c r="B590" s="365" t="s">
        <v>1149</v>
      </c>
      <c r="C590" s="360" t="s">
        <v>187</v>
      </c>
      <c r="D590" s="360" t="s">
        <v>159</v>
      </c>
      <c r="E590" s="365" t="s">
        <v>156</v>
      </c>
      <c r="F590" s="2">
        <v>903</v>
      </c>
      <c r="G590" s="10">
        <f>G589</f>
        <v>245.29999999999998</v>
      </c>
      <c r="H590" s="10">
        <f>H589</f>
        <v>245.29999999999998</v>
      </c>
    </row>
    <row r="591" spans="1:10" ht="17.45" customHeight="1" x14ac:dyDescent="0.25">
      <c r="A591" s="48" t="s">
        <v>202</v>
      </c>
      <c r="B591" s="365" t="s">
        <v>750</v>
      </c>
      <c r="C591" s="360" t="s">
        <v>203</v>
      </c>
      <c r="D591" s="48"/>
      <c r="E591" s="48"/>
      <c r="F591" s="2"/>
      <c r="G591" s="10">
        <f>G592</f>
        <v>2485</v>
      </c>
      <c r="H591" s="10">
        <f>H592</f>
        <v>2485</v>
      </c>
    </row>
    <row r="592" spans="1:10" ht="18" customHeight="1" x14ac:dyDescent="0.25">
      <c r="A592" s="48" t="s">
        <v>204</v>
      </c>
      <c r="B592" s="365" t="s">
        <v>750</v>
      </c>
      <c r="C592" s="360" t="s">
        <v>203</v>
      </c>
      <c r="D592" s="360" t="s">
        <v>116</v>
      </c>
      <c r="E592" s="48"/>
      <c r="F592" s="2"/>
      <c r="G592" s="10">
        <f>G593+G599</f>
        <v>2485</v>
      </c>
      <c r="H592" s="10">
        <f>H593+H599</f>
        <v>2485</v>
      </c>
    </row>
    <row r="593" spans="1:8" ht="103.9" customHeight="1" x14ac:dyDescent="0.25">
      <c r="A593" s="24" t="s">
        <v>200</v>
      </c>
      <c r="B593" s="365" t="s">
        <v>897</v>
      </c>
      <c r="C593" s="360" t="s">
        <v>203</v>
      </c>
      <c r="D593" s="360" t="s">
        <v>116</v>
      </c>
      <c r="E593" s="360"/>
      <c r="F593" s="2"/>
      <c r="G593" s="10">
        <f>G594+G596</f>
        <v>2100.5</v>
      </c>
      <c r="H593" s="10">
        <f>H594+H596</f>
        <v>2100.5</v>
      </c>
    </row>
    <row r="594" spans="1:8" ht="79.5" customHeight="1" x14ac:dyDescent="0.25">
      <c r="A594" s="364" t="s">
        <v>119</v>
      </c>
      <c r="B594" s="365" t="s">
        <v>897</v>
      </c>
      <c r="C594" s="360" t="s">
        <v>203</v>
      </c>
      <c r="D594" s="360" t="s">
        <v>116</v>
      </c>
      <c r="E594" s="360" t="s">
        <v>120</v>
      </c>
      <c r="F594" s="2"/>
      <c r="G594" s="10">
        <f>G595</f>
        <v>1204.3</v>
      </c>
      <c r="H594" s="10">
        <f>H595</f>
        <v>1204.3</v>
      </c>
    </row>
    <row r="595" spans="1:8" ht="19.149999999999999" customHeight="1" x14ac:dyDescent="0.25">
      <c r="A595" s="364" t="s">
        <v>155</v>
      </c>
      <c r="B595" s="365" t="s">
        <v>897</v>
      </c>
      <c r="C595" s="360" t="s">
        <v>203</v>
      </c>
      <c r="D595" s="360" t="s">
        <v>116</v>
      </c>
      <c r="E595" s="360" t="s">
        <v>156</v>
      </c>
      <c r="F595" s="2"/>
      <c r="G595" s="10">
        <f>'Пр.4.1 ведом.23-24 '!G408</f>
        <v>1204.3</v>
      </c>
      <c r="H595" s="10">
        <f>'Пр.4.1 ведом.23-24 '!H408</f>
        <v>1204.3</v>
      </c>
    </row>
    <row r="596" spans="1:8" ht="31.5" x14ac:dyDescent="0.25">
      <c r="A596" s="399" t="s">
        <v>191</v>
      </c>
      <c r="B596" s="365" t="s">
        <v>897</v>
      </c>
      <c r="C596" s="360" t="s">
        <v>203</v>
      </c>
      <c r="D596" s="360" t="s">
        <v>116</v>
      </c>
      <c r="E596" s="360" t="s">
        <v>192</v>
      </c>
      <c r="F596" s="2"/>
      <c r="G596" s="10">
        <f>G597</f>
        <v>896.19999999999993</v>
      </c>
      <c r="H596" s="10">
        <f>H597</f>
        <v>896.19999999999993</v>
      </c>
    </row>
    <row r="597" spans="1:8" ht="19.149999999999999" customHeight="1" x14ac:dyDescent="0.25">
      <c r="A597" s="364" t="s">
        <v>193</v>
      </c>
      <c r="B597" s="365" t="s">
        <v>897</v>
      </c>
      <c r="C597" s="360" t="s">
        <v>203</v>
      </c>
      <c r="D597" s="360" t="s">
        <v>116</v>
      </c>
      <c r="E597" s="360" t="s">
        <v>194</v>
      </c>
      <c r="F597" s="2"/>
      <c r="G597" s="10">
        <f>'Пр.4.1 ведом.23-24 '!G410</f>
        <v>896.19999999999993</v>
      </c>
      <c r="H597" s="10">
        <f>'Пр.4.1 ведом.23-24 '!H410</f>
        <v>896.19999999999993</v>
      </c>
    </row>
    <row r="598" spans="1:8" ht="44.1" customHeight="1" x14ac:dyDescent="0.25">
      <c r="A598" s="31" t="s">
        <v>185</v>
      </c>
      <c r="B598" s="365" t="s">
        <v>897</v>
      </c>
      <c r="C598" s="360" t="s">
        <v>203</v>
      </c>
      <c r="D598" s="360" t="s">
        <v>116</v>
      </c>
      <c r="E598" s="360"/>
      <c r="F598" s="2">
        <v>903</v>
      </c>
      <c r="G598" s="10">
        <f>G595</f>
        <v>1204.3</v>
      </c>
      <c r="H598" s="10">
        <f>H595</f>
        <v>1204.3</v>
      </c>
    </row>
    <row r="599" spans="1:8" ht="70.5" customHeight="1" x14ac:dyDescent="0.25">
      <c r="A599" s="364" t="s">
        <v>207</v>
      </c>
      <c r="B599" s="365" t="s">
        <v>808</v>
      </c>
      <c r="C599" s="365" t="s">
        <v>203</v>
      </c>
      <c r="D599" s="365" t="s">
        <v>116</v>
      </c>
      <c r="E599" s="365"/>
      <c r="F599" s="365"/>
      <c r="G599" s="10">
        <f>G600</f>
        <v>384.5</v>
      </c>
      <c r="H599" s="10">
        <f>H600</f>
        <v>384.5</v>
      </c>
    </row>
    <row r="600" spans="1:8" ht="82.5" customHeight="1" x14ac:dyDescent="0.25">
      <c r="A600" s="364" t="s">
        <v>119</v>
      </c>
      <c r="B600" s="365" t="s">
        <v>808</v>
      </c>
      <c r="C600" s="365" t="s">
        <v>203</v>
      </c>
      <c r="D600" s="365" t="s">
        <v>116</v>
      </c>
      <c r="E600" s="365" t="s">
        <v>120</v>
      </c>
      <c r="F600" s="365"/>
      <c r="G600" s="10">
        <f>G601</f>
        <v>384.5</v>
      </c>
      <c r="H600" s="10">
        <f>H601</f>
        <v>384.5</v>
      </c>
    </row>
    <row r="601" spans="1:8" ht="21.75" customHeight="1" x14ac:dyDescent="0.25">
      <c r="A601" s="364" t="s">
        <v>155</v>
      </c>
      <c r="B601" s="365" t="s">
        <v>808</v>
      </c>
      <c r="C601" s="365" t="s">
        <v>203</v>
      </c>
      <c r="D601" s="365" t="s">
        <v>116</v>
      </c>
      <c r="E601" s="365" t="s">
        <v>156</v>
      </c>
      <c r="F601" s="365"/>
      <c r="G601" s="10">
        <f>'Пр.4.1 ведом.23-24 '!G413</f>
        <v>384.5</v>
      </c>
      <c r="H601" s="10">
        <f>'Пр.4.1 ведом.23-24 '!H413</f>
        <v>384.5</v>
      </c>
    </row>
    <row r="602" spans="1:8" ht="51" customHeight="1" x14ac:dyDescent="0.25">
      <c r="A602" s="31" t="s">
        <v>185</v>
      </c>
      <c r="B602" s="365" t="s">
        <v>808</v>
      </c>
      <c r="C602" s="365" t="s">
        <v>203</v>
      </c>
      <c r="D602" s="365" t="s">
        <v>116</v>
      </c>
      <c r="E602" s="365" t="s">
        <v>156</v>
      </c>
      <c r="F602" s="365" t="s">
        <v>305</v>
      </c>
      <c r="G602" s="10">
        <f>G601</f>
        <v>384.5</v>
      </c>
      <c r="H602" s="10">
        <f>H601</f>
        <v>384.5</v>
      </c>
    </row>
    <row r="603" spans="1:8" ht="36" customHeight="1" x14ac:dyDescent="0.25">
      <c r="A603" s="315" t="s">
        <v>473</v>
      </c>
      <c r="B603" s="316" t="s">
        <v>753</v>
      </c>
      <c r="C603" s="360"/>
      <c r="D603" s="360"/>
      <c r="E603" s="360"/>
      <c r="F603" s="2"/>
      <c r="G603" s="38">
        <f t="shared" ref="G603:H607" si="77">G604</f>
        <v>50</v>
      </c>
      <c r="H603" s="38">
        <f t="shared" si="77"/>
        <v>50</v>
      </c>
    </row>
    <row r="604" spans="1:8" ht="20.100000000000001" customHeight="1" x14ac:dyDescent="0.25">
      <c r="A604" s="48" t="s">
        <v>202</v>
      </c>
      <c r="B604" s="365" t="s">
        <v>753</v>
      </c>
      <c r="C604" s="360" t="s">
        <v>203</v>
      </c>
      <c r="D604" s="360"/>
      <c r="E604" s="360"/>
      <c r="F604" s="2"/>
      <c r="G604" s="10">
        <f t="shared" si="77"/>
        <v>50</v>
      </c>
      <c r="H604" s="10">
        <f t="shared" si="77"/>
        <v>50</v>
      </c>
    </row>
    <row r="605" spans="1:8" ht="20.100000000000001" customHeight="1" x14ac:dyDescent="0.25">
      <c r="A605" s="48" t="s">
        <v>204</v>
      </c>
      <c r="B605" s="365" t="s">
        <v>753</v>
      </c>
      <c r="C605" s="360" t="s">
        <v>203</v>
      </c>
      <c r="D605" s="360" t="s">
        <v>116</v>
      </c>
      <c r="E605" s="360"/>
      <c r="F605" s="2"/>
      <c r="G605" s="10">
        <f t="shared" si="77"/>
        <v>50</v>
      </c>
      <c r="H605" s="10">
        <f t="shared" si="77"/>
        <v>50</v>
      </c>
    </row>
    <row r="606" spans="1:8" ht="35.450000000000003" customHeight="1" x14ac:dyDescent="0.25">
      <c r="A606" s="364" t="s">
        <v>399</v>
      </c>
      <c r="B606" s="365" t="s">
        <v>754</v>
      </c>
      <c r="C606" s="360" t="s">
        <v>203</v>
      </c>
      <c r="D606" s="360" t="s">
        <v>116</v>
      </c>
      <c r="E606" s="360"/>
      <c r="F606" s="2"/>
      <c r="G606" s="10">
        <f t="shared" si="77"/>
        <v>50</v>
      </c>
      <c r="H606" s="10">
        <f t="shared" si="77"/>
        <v>50</v>
      </c>
    </row>
    <row r="607" spans="1:8" ht="36.75" customHeight="1" x14ac:dyDescent="0.25">
      <c r="A607" s="364" t="s">
        <v>123</v>
      </c>
      <c r="B607" s="365" t="s">
        <v>754</v>
      </c>
      <c r="C607" s="360" t="s">
        <v>203</v>
      </c>
      <c r="D607" s="360" t="s">
        <v>116</v>
      </c>
      <c r="E607" s="360" t="s">
        <v>124</v>
      </c>
      <c r="F607" s="2"/>
      <c r="G607" s="10">
        <f t="shared" si="77"/>
        <v>50</v>
      </c>
      <c r="H607" s="10">
        <f t="shared" si="77"/>
        <v>50</v>
      </c>
    </row>
    <row r="608" spans="1:8" ht="33" customHeight="1" x14ac:dyDescent="0.25">
      <c r="A608" s="364" t="s">
        <v>125</v>
      </c>
      <c r="B608" s="365" t="s">
        <v>754</v>
      </c>
      <c r="C608" s="360" t="s">
        <v>203</v>
      </c>
      <c r="D608" s="360" t="s">
        <v>116</v>
      </c>
      <c r="E608" s="360" t="s">
        <v>126</v>
      </c>
      <c r="F608" s="2"/>
      <c r="G608" s="10">
        <f>'Пр.4.1 ведом.23-24 '!G417</f>
        <v>50</v>
      </c>
      <c r="H608" s="10">
        <f>'Пр.4.1 ведом.23-24 '!H417</f>
        <v>50</v>
      </c>
    </row>
    <row r="609" spans="1:8" ht="51" customHeight="1" x14ac:dyDescent="0.25">
      <c r="A609" s="31" t="s">
        <v>185</v>
      </c>
      <c r="B609" s="365" t="s">
        <v>754</v>
      </c>
      <c r="C609" s="360" t="s">
        <v>203</v>
      </c>
      <c r="D609" s="360" t="s">
        <v>116</v>
      </c>
      <c r="E609" s="360" t="s">
        <v>126</v>
      </c>
      <c r="F609" s="2">
        <v>903</v>
      </c>
      <c r="G609" s="10">
        <f>G608</f>
        <v>50</v>
      </c>
      <c r="H609" s="10">
        <f>H608</f>
        <v>50</v>
      </c>
    </row>
    <row r="610" spans="1:8" ht="39.200000000000003" customHeight="1" x14ac:dyDescent="0.25">
      <c r="A610" s="315" t="s">
        <v>573</v>
      </c>
      <c r="B610" s="316" t="s">
        <v>755</v>
      </c>
      <c r="C610" s="7"/>
      <c r="D610" s="7"/>
      <c r="E610" s="7"/>
      <c r="F610" s="3"/>
      <c r="G610" s="38">
        <f>G611+G617</f>
        <v>3.5</v>
      </c>
      <c r="H610" s="38">
        <f>H611</f>
        <v>3.5</v>
      </c>
    </row>
    <row r="611" spans="1:8" ht="20.100000000000001" customHeight="1" x14ac:dyDescent="0.25">
      <c r="A611" s="45" t="s">
        <v>202</v>
      </c>
      <c r="B611" s="365" t="s">
        <v>755</v>
      </c>
      <c r="C611" s="360" t="s">
        <v>203</v>
      </c>
      <c r="D611" s="360"/>
      <c r="E611" s="360"/>
      <c r="F611" s="49"/>
      <c r="G611" s="10">
        <f t="shared" ref="G611:H611" si="78">G612</f>
        <v>3.5</v>
      </c>
      <c r="H611" s="10">
        <f t="shared" si="78"/>
        <v>3.5</v>
      </c>
    </row>
    <row r="612" spans="1:8" ht="20.100000000000001" customHeight="1" x14ac:dyDescent="0.25">
      <c r="A612" s="45" t="s">
        <v>204</v>
      </c>
      <c r="B612" s="365" t="s">
        <v>755</v>
      </c>
      <c r="C612" s="360" t="s">
        <v>203</v>
      </c>
      <c r="D612" s="360" t="s">
        <v>116</v>
      </c>
      <c r="E612" s="360"/>
      <c r="F612" s="49"/>
      <c r="G612" s="10">
        <f t="shared" ref="G612:H614" si="79">G613</f>
        <v>3.5</v>
      </c>
      <c r="H612" s="10">
        <f t="shared" si="79"/>
        <v>3.5</v>
      </c>
    </row>
    <row r="613" spans="1:8" ht="31.5" x14ac:dyDescent="0.25">
      <c r="A613" s="364" t="s">
        <v>963</v>
      </c>
      <c r="B613" s="365" t="s">
        <v>756</v>
      </c>
      <c r="C613" s="360" t="s">
        <v>203</v>
      </c>
      <c r="D613" s="360" t="s">
        <v>116</v>
      </c>
      <c r="E613" s="360"/>
      <c r="F613" s="2"/>
      <c r="G613" s="10">
        <f t="shared" si="79"/>
        <v>3.5</v>
      </c>
      <c r="H613" s="10">
        <f t="shared" si="79"/>
        <v>3.5</v>
      </c>
    </row>
    <row r="614" spans="1:8" ht="39.200000000000003" customHeight="1" x14ac:dyDescent="0.25">
      <c r="A614" s="364" t="s">
        <v>123</v>
      </c>
      <c r="B614" s="365" t="s">
        <v>756</v>
      </c>
      <c r="C614" s="360" t="s">
        <v>203</v>
      </c>
      <c r="D614" s="360" t="s">
        <v>116</v>
      </c>
      <c r="E614" s="360" t="s">
        <v>124</v>
      </c>
      <c r="F614" s="2"/>
      <c r="G614" s="10">
        <f t="shared" si="79"/>
        <v>3.5</v>
      </c>
      <c r="H614" s="10">
        <f t="shared" si="79"/>
        <v>3.5</v>
      </c>
    </row>
    <row r="615" spans="1:8" ht="36.75" customHeight="1" x14ac:dyDescent="0.25">
      <c r="A615" s="364" t="s">
        <v>125</v>
      </c>
      <c r="B615" s="365" t="s">
        <v>756</v>
      </c>
      <c r="C615" s="360" t="s">
        <v>203</v>
      </c>
      <c r="D615" s="360" t="s">
        <v>116</v>
      </c>
      <c r="E615" s="360" t="s">
        <v>126</v>
      </c>
      <c r="F615" s="2"/>
      <c r="G615" s="10">
        <f>'Пр.4.1 ведом.23-24 '!G421</f>
        <v>3.5</v>
      </c>
      <c r="H615" s="10">
        <f>'Пр.4.1 ведом.23-24 '!H421</f>
        <v>3.5</v>
      </c>
    </row>
    <row r="616" spans="1:8" ht="54.75" customHeight="1" x14ac:dyDescent="0.25">
      <c r="A616" s="31" t="s">
        <v>185</v>
      </c>
      <c r="B616" s="365" t="s">
        <v>756</v>
      </c>
      <c r="C616" s="360" t="s">
        <v>203</v>
      </c>
      <c r="D616" s="360" t="s">
        <v>116</v>
      </c>
      <c r="E616" s="360" t="s">
        <v>126</v>
      </c>
      <c r="F616" s="2">
        <v>903</v>
      </c>
      <c r="G616" s="10">
        <f>G615</f>
        <v>3.5</v>
      </c>
      <c r="H616" s="10">
        <f>H615</f>
        <v>3.5</v>
      </c>
    </row>
    <row r="617" spans="1:8" ht="31.5" hidden="1" x14ac:dyDescent="0.25">
      <c r="A617" s="364" t="s">
        <v>1137</v>
      </c>
      <c r="B617" s="365" t="s">
        <v>1138</v>
      </c>
      <c r="C617" s="360" t="s">
        <v>203</v>
      </c>
      <c r="D617" s="360" t="s">
        <v>116</v>
      </c>
      <c r="E617" s="360"/>
      <c r="F617" s="2"/>
      <c r="G617" s="10">
        <f>G618</f>
        <v>0</v>
      </c>
      <c r="H617" s="10" t="str">
        <f>H618</f>
        <v>(-1,35)</v>
      </c>
    </row>
    <row r="618" spans="1:8" ht="31.5" hidden="1" x14ac:dyDescent="0.25">
      <c r="A618" s="364" t="s">
        <v>123</v>
      </c>
      <c r="B618" s="365" t="s">
        <v>1138</v>
      </c>
      <c r="C618" s="360" t="s">
        <v>203</v>
      </c>
      <c r="D618" s="360" t="s">
        <v>116</v>
      </c>
      <c r="E618" s="360" t="s">
        <v>124</v>
      </c>
      <c r="F618" s="2"/>
      <c r="G618" s="10">
        <f>G619</f>
        <v>0</v>
      </c>
      <c r="H618" s="10" t="str">
        <f>H619</f>
        <v>(-1,35)</v>
      </c>
    </row>
    <row r="619" spans="1:8" ht="31.5" hidden="1" x14ac:dyDescent="0.25">
      <c r="A619" s="364" t="s">
        <v>125</v>
      </c>
      <c r="B619" s="365" t="s">
        <v>1138</v>
      </c>
      <c r="C619" s="360" t="s">
        <v>203</v>
      </c>
      <c r="D619" s="360" t="s">
        <v>116</v>
      </c>
      <c r="E619" s="360" t="s">
        <v>126</v>
      </c>
      <c r="F619" s="2"/>
      <c r="G619" s="10"/>
      <c r="H619" s="10" t="str">
        <f>'Пр.4 ведом.22'!H423</f>
        <v>(-1,35)</v>
      </c>
    </row>
    <row r="620" spans="1:8" ht="47.25" hidden="1" x14ac:dyDescent="0.25">
      <c r="A620" s="31" t="s">
        <v>185</v>
      </c>
      <c r="B620" s="365" t="s">
        <v>1138</v>
      </c>
      <c r="C620" s="360" t="s">
        <v>203</v>
      </c>
      <c r="D620" s="360" t="s">
        <v>116</v>
      </c>
      <c r="E620" s="360" t="s">
        <v>126</v>
      </c>
      <c r="F620" s="2">
        <v>903</v>
      </c>
      <c r="G620" s="10">
        <f>G619</f>
        <v>0</v>
      </c>
      <c r="H620" s="10" t="str">
        <f>H619</f>
        <v>(-1,35)</v>
      </c>
    </row>
    <row r="621" spans="1:8" ht="31.5" hidden="1" x14ac:dyDescent="0.25">
      <c r="A621" s="26" t="s">
        <v>1039</v>
      </c>
      <c r="B621" s="316" t="s">
        <v>1041</v>
      </c>
      <c r="C621" s="360"/>
      <c r="D621" s="360"/>
      <c r="E621" s="360"/>
      <c r="F621" s="2"/>
      <c r="G621" s="38">
        <f t="shared" ref="G621:H625" si="80">G622</f>
        <v>0</v>
      </c>
      <c r="H621" s="38">
        <f t="shared" si="80"/>
        <v>0</v>
      </c>
    </row>
    <row r="622" spans="1:8" ht="15.75" hidden="1" x14ac:dyDescent="0.25">
      <c r="A622" s="45" t="s">
        <v>202</v>
      </c>
      <c r="B622" s="365" t="s">
        <v>1041</v>
      </c>
      <c r="C622" s="360" t="s">
        <v>203</v>
      </c>
      <c r="D622" s="360"/>
      <c r="E622" s="360"/>
      <c r="F622" s="2"/>
      <c r="G622" s="10">
        <f t="shared" si="80"/>
        <v>0</v>
      </c>
      <c r="H622" s="10">
        <f t="shared" si="80"/>
        <v>0</v>
      </c>
    </row>
    <row r="623" spans="1:8" ht="15.75" hidden="1" x14ac:dyDescent="0.25">
      <c r="A623" s="45" t="s">
        <v>204</v>
      </c>
      <c r="B623" s="365" t="s">
        <v>1041</v>
      </c>
      <c r="C623" s="360" t="s">
        <v>203</v>
      </c>
      <c r="D623" s="360" t="s">
        <v>116</v>
      </c>
      <c r="E623" s="360"/>
      <c r="F623" s="2"/>
      <c r="G623" s="10">
        <f t="shared" si="80"/>
        <v>0</v>
      </c>
      <c r="H623" s="10">
        <f t="shared" si="80"/>
        <v>0</v>
      </c>
    </row>
    <row r="624" spans="1:8" ht="63" hidden="1" x14ac:dyDescent="0.25">
      <c r="A624" s="24" t="s">
        <v>1040</v>
      </c>
      <c r="B624" s="365" t="s">
        <v>1042</v>
      </c>
      <c r="C624" s="360" t="s">
        <v>203</v>
      </c>
      <c r="D624" s="360" t="s">
        <v>116</v>
      </c>
      <c r="E624" s="360"/>
      <c r="F624" s="2"/>
      <c r="G624" s="10">
        <f t="shared" si="80"/>
        <v>0</v>
      </c>
      <c r="H624" s="10">
        <f t="shared" si="80"/>
        <v>0</v>
      </c>
    </row>
    <row r="625" spans="1:8" ht="31.5" hidden="1" x14ac:dyDescent="0.25">
      <c r="A625" s="364" t="s">
        <v>123</v>
      </c>
      <c r="B625" s="365" t="s">
        <v>1042</v>
      </c>
      <c r="C625" s="360" t="s">
        <v>203</v>
      </c>
      <c r="D625" s="360" t="s">
        <v>116</v>
      </c>
      <c r="E625" s="360" t="s">
        <v>124</v>
      </c>
      <c r="F625" s="2"/>
      <c r="G625" s="10">
        <f t="shared" si="80"/>
        <v>0</v>
      </c>
      <c r="H625" s="10">
        <f t="shared" si="80"/>
        <v>0</v>
      </c>
    </row>
    <row r="626" spans="1:8" ht="31.5" hidden="1" x14ac:dyDescent="0.25">
      <c r="A626" s="364" t="s">
        <v>125</v>
      </c>
      <c r="B626" s="365" t="s">
        <v>1042</v>
      </c>
      <c r="C626" s="360" t="s">
        <v>203</v>
      </c>
      <c r="D626" s="360" t="s">
        <v>116</v>
      </c>
      <c r="E626" s="360" t="s">
        <v>126</v>
      </c>
      <c r="F626" s="2"/>
      <c r="G626" s="10">
        <f>'Пр.4 ведом.22'!G427</f>
        <v>0</v>
      </c>
      <c r="H626" s="10">
        <f>'Пр.4 ведом.22'!H427</f>
        <v>0</v>
      </c>
    </row>
    <row r="627" spans="1:8" ht="47.25" hidden="1" x14ac:dyDescent="0.25">
      <c r="A627" s="31" t="s">
        <v>185</v>
      </c>
      <c r="B627" s="365" t="s">
        <v>1042</v>
      </c>
      <c r="C627" s="360" t="s">
        <v>203</v>
      </c>
      <c r="D627" s="360" t="s">
        <v>116</v>
      </c>
      <c r="E627" s="360" t="s">
        <v>126</v>
      </c>
      <c r="F627" s="2">
        <v>903</v>
      </c>
      <c r="G627" s="10">
        <f>G626</f>
        <v>0</v>
      </c>
      <c r="H627" s="10">
        <f>H626</f>
        <v>0</v>
      </c>
    </row>
    <row r="628" spans="1:8" ht="33.75" hidden="1" customHeight="1" x14ac:dyDescent="0.25">
      <c r="A628" s="177" t="s">
        <v>725</v>
      </c>
      <c r="B628" s="316" t="s">
        <v>751</v>
      </c>
      <c r="C628" s="316"/>
      <c r="D628" s="316"/>
      <c r="E628" s="360"/>
      <c r="F628" s="2"/>
      <c r="G628" s="38">
        <f>G629</f>
        <v>0</v>
      </c>
      <c r="H628" s="38" t="e">
        <f>H629</f>
        <v>#VALUE!</v>
      </c>
    </row>
    <row r="629" spans="1:8" ht="19.5" hidden="1" customHeight="1" x14ac:dyDescent="0.25">
      <c r="A629" s="45" t="s">
        <v>202</v>
      </c>
      <c r="B629" s="365" t="s">
        <v>751</v>
      </c>
      <c r="C629" s="365" t="s">
        <v>203</v>
      </c>
      <c r="D629" s="365"/>
      <c r="E629" s="360"/>
      <c r="F629" s="2"/>
      <c r="G629" s="10">
        <f>G630</f>
        <v>0</v>
      </c>
      <c r="H629" s="10" t="e">
        <f>H630</f>
        <v>#VALUE!</v>
      </c>
    </row>
    <row r="630" spans="1:8" ht="18" hidden="1" customHeight="1" x14ac:dyDescent="0.25">
      <c r="A630" s="45" t="s">
        <v>204</v>
      </c>
      <c r="B630" s="365" t="s">
        <v>751</v>
      </c>
      <c r="C630" s="365" t="s">
        <v>203</v>
      </c>
      <c r="D630" s="365" t="s">
        <v>116</v>
      </c>
      <c r="E630" s="360"/>
      <c r="F630" s="2"/>
      <c r="G630" s="10">
        <f>G635+G631</f>
        <v>0</v>
      </c>
      <c r="H630" s="10" t="e">
        <f>H635+H631</f>
        <v>#VALUE!</v>
      </c>
    </row>
    <row r="631" spans="1:8" ht="18" hidden="1" customHeight="1" x14ac:dyDescent="0.25">
      <c r="A631" s="361" t="s">
        <v>1134</v>
      </c>
      <c r="B631" s="365" t="s">
        <v>1135</v>
      </c>
      <c r="C631" s="365" t="s">
        <v>203</v>
      </c>
      <c r="D631" s="365" t="s">
        <v>116</v>
      </c>
      <c r="E631" s="360"/>
      <c r="F631" s="2"/>
      <c r="G631" s="10">
        <f>G632</f>
        <v>0</v>
      </c>
      <c r="H631" s="10" t="str">
        <f>H632</f>
        <v>(-348)</v>
      </c>
    </row>
    <row r="632" spans="1:8" ht="31.5" hidden="1" x14ac:dyDescent="0.25">
      <c r="A632" s="364" t="s">
        <v>123</v>
      </c>
      <c r="B632" s="365" t="s">
        <v>1135</v>
      </c>
      <c r="C632" s="365" t="s">
        <v>203</v>
      </c>
      <c r="D632" s="365" t="s">
        <v>116</v>
      </c>
      <c r="E632" s="360" t="s">
        <v>124</v>
      </c>
      <c r="F632" s="2"/>
      <c r="G632" s="10">
        <f>G633</f>
        <v>0</v>
      </c>
      <c r="H632" s="10" t="str">
        <f>H633</f>
        <v>(-348)</v>
      </c>
    </row>
    <row r="633" spans="1:8" ht="31.5" hidden="1" x14ac:dyDescent="0.25">
      <c r="A633" s="364" t="s">
        <v>125</v>
      </c>
      <c r="B633" s="365" t="s">
        <v>1135</v>
      </c>
      <c r="C633" s="365" t="s">
        <v>203</v>
      </c>
      <c r="D633" s="365" t="s">
        <v>116</v>
      </c>
      <c r="E633" s="360" t="s">
        <v>126</v>
      </c>
      <c r="F633" s="2"/>
      <c r="G633" s="10"/>
      <c r="H633" s="10" t="str">
        <f>'Пр.4 ведом.22'!H434</f>
        <v>(-348)</v>
      </c>
    </row>
    <row r="634" spans="1:8" ht="47.25" hidden="1" x14ac:dyDescent="0.25">
      <c r="A634" s="31" t="s">
        <v>185</v>
      </c>
      <c r="B634" s="365" t="s">
        <v>1135</v>
      </c>
      <c r="C634" s="365" t="s">
        <v>203</v>
      </c>
      <c r="D634" s="365" t="s">
        <v>116</v>
      </c>
      <c r="E634" s="360" t="s">
        <v>126</v>
      </c>
      <c r="F634" s="2">
        <v>903</v>
      </c>
      <c r="G634" s="10">
        <f>G633</f>
        <v>0</v>
      </c>
      <c r="H634" s="10" t="str">
        <f>H633</f>
        <v>(-348)</v>
      </c>
    </row>
    <row r="635" spans="1:8" ht="18" hidden="1" customHeight="1" x14ac:dyDescent="0.25">
      <c r="A635" s="70" t="s">
        <v>727</v>
      </c>
      <c r="B635" s="365" t="s">
        <v>752</v>
      </c>
      <c r="C635" s="365" t="s">
        <v>203</v>
      </c>
      <c r="D635" s="365" t="s">
        <v>116</v>
      </c>
      <c r="E635" s="360"/>
      <c r="F635" s="2"/>
      <c r="G635" s="10">
        <f>G636</f>
        <v>0</v>
      </c>
      <c r="H635" s="10" t="str">
        <f>H636</f>
        <v>(-2,8)</v>
      </c>
    </row>
    <row r="636" spans="1:8" ht="35.450000000000003" hidden="1" customHeight="1" x14ac:dyDescent="0.25">
      <c r="A636" s="364" t="s">
        <v>123</v>
      </c>
      <c r="B636" s="365" t="s">
        <v>752</v>
      </c>
      <c r="C636" s="365" t="s">
        <v>203</v>
      </c>
      <c r="D636" s="365" t="s">
        <v>116</v>
      </c>
      <c r="E636" s="360" t="s">
        <v>124</v>
      </c>
      <c r="F636" s="2"/>
      <c r="G636" s="10">
        <f>G637</f>
        <v>0</v>
      </c>
      <c r="H636" s="10" t="str">
        <f>H637</f>
        <v>(-2,8)</v>
      </c>
    </row>
    <row r="637" spans="1:8" ht="36" hidden="1" customHeight="1" x14ac:dyDescent="0.25">
      <c r="A637" s="364" t="s">
        <v>125</v>
      </c>
      <c r="B637" s="365" t="s">
        <v>752</v>
      </c>
      <c r="C637" s="365" t="s">
        <v>203</v>
      </c>
      <c r="D637" s="365" t="s">
        <v>116</v>
      </c>
      <c r="E637" s="360" t="s">
        <v>126</v>
      </c>
      <c r="F637" s="2"/>
      <c r="G637" s="10"/>
      <c r="H637" s="10" t="str">
        <f>'Пр.4 ведом.22'!H438</f>
        <v>(-2,8)</v>
      </c>
    </row>
    <row r="638" spans="1:8" ht="50.25" hidden="1" customHeight="1" x14ac:dyDescent="0.25">
      <c r="A638" s="31" t="s">
        <v>185</v>
      </c>
      <c r="B638" s="365" t="s">
        <v>752</v>
      </c>
      <c r="C638" s="365" t="s">
        <v>203</v>
      </c>
      <c r="D638" s="365" t="s">
        <v>116</v>
      </c>
      <c r="E638" s="360" t="s">
        <v>126</v>
      </c>
      <c r="F638" s="2">
        <v>903</v>
      </c>
      <c r="G638" s="10">
        <f>G637</f>
        <v>0</v>
      </c>
      <c r="H638" s="10" t="str">
        <f>H637</f>
        <v>(-2,8)</v>
      </c>
    </row>
    <row r="639" spans="1:8" s="363" customFormat="1" ht="51" customHeight="1" x14ac:dyDescent="0.25">
      <c r="A639" s="359" t="s">
        <v>859</v>
      </c>
      <c r="B639" s="7" t="s">
        <v>206</v>
      </c>
      <c r="C639" s="47"/>
      <c r="D639" s="47"/>
      <c r="E639" s="47"/>
      <c r="F639" s="47"/>
      <c r="G639" s="38">
        <f>G640</f>
        <v>168</v>
      </c>
      <c r="H639" s="38">
        <f>H640</f>
        <v>117</v>
      </c>
    </row>
    <row r="640" spans="1:8" s="363" customFormat="1" ht="64.5" customHeight="1" x14ac:dyDescent="0.25">
      <c r="A640" s="26" t="s">
        <v>588</v>
      </c>
      <c r="B640" s="7" t="s">
        <v>504</v>
      </c>
      <c r="C640" s="7"/>
      <c r="D640" s="7"/>
      <c r="E640" s="47"/>
      <c r="F640" s="47"/>
      <c r="G640" s="38">
        <f>G641+G647+G653+G669</f>
        <v>168</v>
      </c>
      <c r="H640" s="38">
        <f>H641+H647+H653+H669</f>
        <v>117</v>
      </c>
    </row>
    <row r="641" spans="1:8" s="363" customFormat="1" ht="15.75" x14ac:dyDescent="0.25">
      <c r="A641" s="31" t="s">
        <v>115</v>
      </c>
      <c r="B641" s="365" t="s">
        <v>504</v>
      </c>
      <c r="C641" s="360" t="s">
        <v>116</v>
      </c>
      <c r="D641" s="360"/>
      <c r="E641" s="2"/>
      <c r="F641" s="2"/>
      <c r="G641" s="10">
        <f t="shared" ref="G641:H644" si="81">G642</f>
        <v>12</v>
      </c>
      <c r="H641" s="10">
        <f t="shared" si="81"/>
        <v>12</v>
      </c>
    </row>
    <row r="642" spans="1:8" s="363" customFormat="1" ht="15.75" x14ac:dyDescent="0.25">
      <c r="A642" s="31" t="s">
        <v>131</v>
      </c>
      <c r="B642" s="365" t="s">
        <v>504</v>
      </c>
      <c r="C642" s="360" t="s">
        <v>116</v>
      </c>
      <c r="D642" s="360" t="s">
        <v>132</v>
      </c>
      <c r="E642" s="2"/>
      <c r="F642" s="2"/>
      <c r="G642" s="10">
        <f t="shared" si="81"/>
        <v>12</v>
      </c>
      <c r="H642" s="10">
        <f t="shared" si="81"/>
        <v>12</v>
      </c>
    </row>
    <row r="643" spans="1:8" s="363" customFormat="1" ht="47.25" x14ac:dyDescent="0.25">
      <c r="A643" s="364" t="s">
        <v>634</v>
      </c>
      <c r="B643" s="365" t="s">
        <v>589</v>
      </c>
      <c r="C643" s="360" t="s">
        <v>116</v>
      </c>
      <c r="D643" s="360" t="s">
        <v>132</v>
      </c>
      <c r="E643" s="2"/>
      <c r="F643" s="2"/>
      <c r="G643" s="10">
        <f t="shared" si="81"/>
        <v>12</v>
      </c>
      <c r="H643" s="10">
        <f t="shared" si="81"/>
        <v>12</v>
      </c>
    </row>
    <row r="644" spans="1:8" s="363" customFormat="1" ht="31.5" x14ac:dyDescent="0.25">
      <c r="A644" s="364" t="s">
        <v>153</v>
      </c>
      <c r="B644" s="365" t="s">
        <v>589</v>
      </c>
      <c r="C644" s="360" t="s">
        <v>116</v>
      </c>
      <c r="D644" s="360" t="s">
        <v>132</v>
      </c>
      <c r="E644" s="2">
        <v>200</v>
      </c>
      <c r="F644" s="2"/>
      <c r="G644" s="10">
        <f t="shared" si="81"/>
        <v>12</v>
      </c>
      <c r="H644" s="10">
        <f t="shared" si="81"/>
        <v>12</v>
      </c>
    </row>
    <row r="645" spans="1:8" s="363" customFormat="1" ht="31.5" x14ac:dyDescent="0.25">
      <c r="A645" s="364" t="s">
        <v>125</v>
      </c>
      <c r="B645" s="365" t="s">
        <v>589</v>
      </c>
      <c r="C645" s="360" t="s">
        <v>116</v>
      </c>
      <c r="D645" s="360" t="s">
        <v>132</v>
      </c>
      <c r="E645" s="2">
        <v>240</v>
      </c>
      <c r="F645" s="2"/>
      <c r="G645" s="10">
        <f>'Пр.4.1 ведом.23-24 '!G139</f>
        <v>12</v>
      </c>
      <c r="H645" s="10">
        <f>'Пр.4.1 ведом.23-24 '!H139</f>
        <v>12</v>
      </c>
    </row>
    <row r="646" spans="1:8" s="363" customFormat="1" ht="15.75" x14ac:dyDescent="0.25">
      <c r="A646" s="24" t="s">
        <v>137</v>
      </c>
      <c r="B646" s="365" t="s">
        <v>589</v>
      </c>
      <c r="C646" s="360" t="s">
        <v>116</v>
      </c>
      <c r="D646" s="360" t="s">
        <v>132</v>
      </c>
      <c r="E646" s="2">
        <v>240</v>
      </c>
      <c r="F646" s="412">
        <v>902</v>
      </c>
      <c r="G646" s="10">
        <f>G645</f>
        <v>12</v>
      </c>
      <c r="H646" s="10">
        <f>H645</f>
        <v>12</v>
      </c>
    </row>
    <row r="647" spans="1:8" s="363" customFormat="1" ht="18.75" hidden="1" customHeight="1" x14ac:dyDescent="0.25">
      <c r="A647" s="24" t="s">
        <v>231</v>
      </c>
      <c r="B647" s="360" t="s">
        <v>504</v>
      </c>
      <c r="C647" s="360" t="s">
        <v>168</v>
      </c>
      <c r="D647" s="360"/>
      <c r="E647" s="47"/>
      <c r="F647" s="47"/>
      <c r="G647" s="10">
        <f t="shared" ref="G647:H651" si="82">G648</f>
        <v>0</v>
      </c>
      <c r="H647" s="10">
        <f t="shared" si="82"/>
        <v>0</v>
      </c>
    </row>
    <row r="648" spans="1:8" s="363" customFormat="1" ht="37.5" hidden="1" customHeight="1" x14ac:dyDescent="0.25">
      <c r="A648" s="24" t="s">
        <v>281</v>
      </c>
      <c r="B648" s="360" t="s">
        <v>504</v>
      </c>
      <c r="C648" s="360" t="s">
        <v>168</v>
      </c>
      <c r="D648" s="360" t="s">
        <v>168</v>
      </c>
      <c r="E648" s="47"/>
      <c r="F648" s="47"/>
      <c r="G648" s="10">
        <f t="shared" si="82"/>
        <v>0</v>
      </c>
      <c r="H648" s="10">
        <f t="shared" si="82"/>
        <v>0</v>
      </c>
    </row>
    <row r="649" spans="1:8" s="363" customFormat="1" ht="51.75" hidden="1" customHeight="1" x14ac:dyDescent="0.25">
      <c r="A649" s="24" t="s">
        <v>634</v>
      </c>
      <c r="B649" s="365" t="s">
        <v>589</v>
      </c>
      <c r="C649" s="360" t="s">
        <v>168</v>
      </c>
      <c r="D649" s="360" t="s">
        <v>168</v>
      </c>
      <c r="E649" s="47"/>
      <c r="F649" s="47"/>
      <c r="G649" s="10">
        <f t="shared" si="82"/>
        <v>0</v>
      </c>
      <c r="H649" s="10">
        <f t="shared" si="82"/>
        <v>0</v>
      </c>
    </row>
    <row r="650" spans="1:8" s="363" customFormat="1" ht="35.450000000000003" hidden="1" customHeight="1" x14ac:dyDescent="0.25">
      <c r="A650" s="364" t="s">
        <v>123</v>
      </c>
      <c r="B650" s="365" t="s">
        <v>589</v>
      </c>
      <c r="C650" s="360" t="s">
        <v>168</v>
      </c>
      <c r="D650" s="360" t="s">
        <v>168</v>
      </c>
      <c r="E650" s="2">
        <v>200</v>
      </c>
      <c r="F650" s="47"/>
      <c r="G650" s="10">
        <f t="shared" si="82"/>
        <v>0</v>
      </c>
      <c r="H650" s="10">
        <f t="shared" si="82"/>
        <v>0</v>
      </c>
    </row>
    <row r="651" spans="1:8" s="363" customFormat="1" ht="34.5" hidden="1" customHeight="1" x14ac:dyDescent="0.25">
      <c r="A651" s="364" t="s">
        <v>125</v>
      </c>
      <c r="B651" s="365" t="s">
        <v>589</v>
      </c>
      <c r="C651" s="360" t="s">
        <v>168</v>
      </c>
      <c r="D651" s="360" t="s">
        <v>168</v>
      </c>
      <c r="E651" s="2">
        <v>240</v>
      </c>
      <c r="F651" s="47"/>
      <c r="G651" s="10">
        <f t="shared" si="82"/>
        <v>0</v>
      </c>
      <c r="H651" s="10">
        <f t="shared" si="82"/>
        <v>0</v>
      </c>
    </row>
    <row r="652" spans="1:8" s="363" customFormat="1" ht="37.35" hidden="1" customHeight="1" x14ac:dyDescent="0.25">
      <c r="A652" s="31" t="s">
        <v>302</v>
      </c>
      <c r="B652" s="365" t="s">
        <v>589</v>
      </c>
      <c r="C652" s="360" t="s">
        <v>168</v>
      </c>
      <c r="D652" s="360" t="s">
        <v>168</v>
      </c>
      <c r="E652" s="2">
        <v>240</v>
      </c>
      <c r="F652" s="2">
        <v>908</v>
      </c>
      <c r="G652" s="10">
        <f>'Пр.4 ведом.22'!G1185</f>
        <v>0</v>
      </c>
      <c r="H652" s="10">
        <f>'Пр.4 ведом.22'!H1185</f>
        <v>0</v>
      </c>
    </row>
    <row r="653" spans="1:8" s="363" customFormat="1" ht="15.75" x14ac:dyDescent="0.25">
      <c r="A653" s="364" t="s">
        <v>186</v>
      </c>
      <c r="B653" s="360" t="s">
        <v>504</v>
      </c>
      <c r="C653" s="360" t="s">
        <v>187</v>
      </c>
      <c r="D653" s="48"/>
      <c r="E653" s="48"/>
      <c r="F653" s="48"/>
      <c r="G653" s="10">
        <f>G654+G659+G664</f>
        <v>146</v>
      </c>
      <c r="H653" s="10">
        <f>H654+H659+H664</f>
        <v>91</v>
      </c>
    </row>
    <row r="654" spans="1:8" s="363" customFormat="1" ht="15.75" x14ac:dyDescent="0.25">
      <c r="A654" s="364" t="s">
        <v>236</v>
      </c>
      <c r="B654" s="360" t="s">
        <v>504</v>
      </c>
      <c r="C654" s="360" t="s">
        <v>187</v>
      </c>
      <c r="D654" s="360" t="s">
        <v>116</v>
      </c>
      <c r="E654" s="48"/>
      <c r="F654" s="48"/>
      <c r="G654" s="10">
        <f t="shared" ref="G654:H656" si="83">G655</f>
        <v>80</v>
      </c>
      <c r="H654" s="10">
        <f t="shared" si="83"/>
        <v>25</v>
      </c>
    </row>
    <row r="655" spans="1:8" s="363" customFormat="1" ht="47.25" x14ac:dyDescent="0.25">
      <c r="A655" s="24" t="s">
        <v>635</v>
      </c>
      <c r="B655" s="365" t="s">
        <v>505</v>
      </c>
      <c r="C655" s="360" t="s">
        <v>187</v>
      </c>
      <c r="D655" s="360" t="s">
        <v>116</v>
      </c>
      <c r="E655" s="47"/>
      <c r="F655" s="47"/>
      <c r="G655" s="10">
        <f t="shared" si="83"/>
        <v>80</v>
      </c>
      <c r="H655" s="10">
        <f t="shared" si="83"/>
        <v>25</v>
      </c>
    </row>
    <row r="656" spans="1:8" s="363" customFormat="1" ht="31.5" x14ac:dyDescent="0.25">
      <c r="A656" s="24" t="s">
        <v>191</v>
      </c>
      <c r="B656" s="365" t="s">
        <v>505</v>
      </c>
      <c r="C656" s="360" t="s">
        <v>187</v>
      </c>
      <c r="D656" s="360" t="s">
        <v>116</v>
      </c>
      <c r="E656" s="360" t="s">
        <v>192</v>
      </c>
      <c r="F656" s="47"/>
      <c r="G656" s="10">
        <f t="shared" si="83"/>
        <v>80</v>
      </c>
      <c r="H656" s="10">
        <f t="shared" si="83"/>
        <v>25</v>
      </c>
    </row>
    <row r="657" spans="1:8" s="363" customFormat="1" ht="15.75" x14ac:dyDescent="0.25">
      <c r="A657" s="24" t="s">
        <v>193</v>
      </c>
      <c r="B657" s="365" t="s">
        <v>505</v>
      </c>
      <c r="C657" s="360" t="s">
        <v>187</v>
      </c>
      <c r="D657" s="360" t="s">
        <v>116</v>
      </c>
      <c r="E657" s="360" t="s">
        <v>194</v>
      </c>
      <c r="F657" s="47"/>
      <c r="G657" s="10">
        <f>'Пр.4.1 ведом.23-24 '!G673</f>
        <v>80</v>
      </c>
      <c r="H657" s="10">
        <f>'Пр.4.1 ведом.23-24 '!H673</f>
        <v>25</v>
      </c>
    </row>
    <row r="658" spans="1:8" s="363" customFormat="1" ht="31.5" x14ac:dyDescent="0.25">
      <c r="A658" s="24" t="s">
        <v>235</v>
      </c>
      <c r="B658" s="365" t="s">
        <v>505</v>
      </c>
      <c r="C658" s="360" t="s">
        <v>187</v>
      </c>
      <c r="D658" s="360" t="s">
        <v>116</v>
      </c>
      <c r="E658" s="360" t="s">
        <v>194</v>
      </c>
      <c r="F658" s="2">
        <v>906</v>
      </c>
      <c r="G658" s="10">
        <f>G657</f>
        <v>80</v>
      </c>
      <c r="H658" s="10">
        <f>H657</f>
        <v>25</v>
      </c>
    </row>
    <row r="659" spans="1:8" s="363" customFormat="1" ht="15.75" x14ac:dyDescent="0.25">
      <c r="A659" s="24" t="s">
        <v>239</v>
      </c>
      <c r="B659" s="365" t="s">
        <v>505</v>
      </c>
      <c r="C659" s="360" t="s">
        <v>187</v>
      </c>
      <c r="D659" s="360" t="s">
        <v>158</v>
      </c>
      <c r="E659" s="360"/>
      <c r="F659" s="2"/>
      <c r="G659" s="10">
        <f t="shared" ref="G659:H661" si="84">G660</f>
        <v>60</v>
      </c>
      <c r="H659" s="10">
        <f t="shared" si="84"/>
        <v>60</v>
      </c>
    </row>
    <row r="660" spans="1:8" s="363" customFormat="1" ht="47.25" x14ac:dyDescent="0.25">
      <c r="A660" s="24" t="s">
        <v>635</v>
      </c>
      <c r="B660" s="365" t="s">
        <v>505</v>
      </c>
      <c r="C660" s="360" t="s">
        <v>187</v>
      </c>
      <c r="D660" s="360" t="s">
        <v>158</v>
      </c>
      <c r="E660" s="360"/>
      <c r="F660" s="2"/>
      <c r="G660" s="10">
        <f t="shared" si="84"/>
        <v>60</v>
      </c>
      <c r="H660" s="10">
        <f t="shared" si="84"/>
        <v>60</v>
      </c>
    </row>
    <row r="661" spans="1:8" s="363" customFormat="1" ht="31.5" x14ac:dyDescent="0.25">
      <c r="A661" s="24" t="s">
        <v>191</v>
      </c>
      <c r="B661" s="365" t="s">
        <v>505</v>
      </c>
      <c r="C661" s="360" t="s">
        <v>187</v>
      </c>
      <c r="D661" s="360" t="s">
        <v>158</v>
      </c>
      <c r="E661" s="360" t="s">
        <v>192</v>
      </c>
      <c r="F661" s="2"/>
      <c r="G661" s="10">
        <f t="shared" si="84"/>
        <v>60</v>
      </c>
      <c r="H661" s="10">
        <f t="shared" si="84"/>
        <v>60</v>
      </c>
    </row>
    <row r="662" spans="1:8" s="363" customFormat="1" ht="15.75" x14ac:dyDescent="0.25">
      <c r="A662" s="24" t="s">
        <v>193</v>
      </c>
      <c r="B662" s="365" t="s">
        <v>505</v>
      </c>
      <c r="C662" s="360" t="s">
        <v>187</v>
      </c>
      <c r="D662" s="360" t="s">
        <v>158</v>
      </c>
      <c r="E662" s="360" t="s">
        <v>194</v>
      </c>
      <c r="F662" s="2"/>
      <c r="G662" s="10">
        <f>'Пр.4.1 ведом.23-24 '!G762</f>
        <v>60</v>
      </c>
      <c r="H662" s="10">
        <f>'Пр.4.1 ведом.23-24 '!H762</f>
        <v>60</v>
      </c>
    </row>
    <row r="663" spans="1:8" s="363" customFormat="1" ht="31.5" x14ac:dyDescent="0.25">
      <c r="A663" s="24" t="s">
        <v>235</v>
      </c>
      <c r="B663" s="365" t="s">
        <v>505</v>
      </c>
      <c r="C663" s="360" t="s">
        <v>187</v>
      </c>
      <c r="D663" s="360" t="s">
        <v>158</v>
      </c>
      <c r="E663" s="360" t="s">
        <v>194</v>
      </c>
      <c r="F663" s="2">
        <v>906</v>
      </c>
      <c r="G663" s="10">
        <f>G662</f>
        <v>60</v>
      </c>
      <c r="H663" s="10">
        <f>H662</f>
        <v>60</v>
      </c>
    </row>
    <row r="664" spans="1:8" s="363" customFormat="1" ht="15.75" x14ac:dyDescent="0.25">
      <c r="A664" s="22" t="s">
        <v>188</v>
      </c>
      <c r="B664" s="360" t="s">
        <v>504</v>
      </c>
      <c r="C664" s="360" t="s">
        <v>187</v>
      </c>
      <c r="D664" s="360" t="s">
        <v>159</v>
      </c>
      <c r="E664" s="360"/>
      <c r="F664" s="48"/>
      <c r="G664" s="10">
        <f t="shared" ref="G664:H666" si="85">G665</f>
        <v>6</v>
      </c>
      <c r="H664" s="10">
        <f t="shared" si="85"/>
        <v>6</v>
      </c>
    </row>
    <row r="665" spans="1:8" s="363" customFormat="1" ht="47.25" x14ac:dyDescent="0.25">
      <c r="A665" s="24" t="s">
        <v>634</v>
      </c>
      <c r="B665" s="365" t="s">
        <v>589</v>
      </c>
      <c r="C665" s="360" t="s">
        <v>187</v>
      </c>
      <c r="D665" s="360" t="s">
        <v>159</v>
      </c>
      <c r="E665" s="360"/>
      <c r="F665" s="47"/>
      <c r="G665" s="10">
        <f t="shared" si="85"/>
        <v>6</v>
      </c>
      <c r="H665" s="10">
        <f t="shared" si="85"/>
        <v>6</v>
      </c>
    </row>
    <row r="666" spans="1:8" s="363" customFormat="1" ht="31.5" x14ac:dyDescent="0.25">
      <c r="A666" s="24" t="s">
        <v>191</v>
      </c>
      <c r="B666" s="365" t="s">
        <v>589</v>
      </c>
      <c r="C666" s="360" t="s">
        <v>187</v>
      </c>
      <c r="D666" s="360" t="s">
        <v>159</v>
      </c>
      <c r="E666" s="360" t="s">
        <v>124</v>
      </c>
      <c r="F666" s="47"/>
      <c r="G666" s="10">
        <f t="shared" si="85"/>
        <v>6</v>
      </c>
      <c r="H666" s="10">
        <f t="shared" si="85"/>
        <v>6</v>
      </c>
    </row>
    <row r="667" spans="1:8" s="363" customFormat="1" ht="15.75" x14ac:dyDescent="0.25">
      <c r="A667" s="24" t="s">
        <v>193</v>
      </c>
      <c r="B667" s="365" t="s">
        <v>589</v>
      </c>
      <c r="C667" s="360" t="s">
        <v>187</v>
      </c>
      <c r="D667" s="360" t="s">
        <v>159</v>
      </c>
      <c r="E667" s="360" t="s">
        <v>126</v>
      </c>
      <c r="F667" s="47"/>
      <c r="G667" s="10">
        <f>'Пр.4.1 ведом.23-24 '!G341</f>
        <v>6</v>
      </c>
      <c r="H667" s="10">
        <f>'Пр.4.1 ведом.23-24 '!H341</f>
        <v>6</v>
      </c>
    </row>
    <row r="668" spans="1:8" s="363" customFormat="1" ht="47.25" x14ac:dyDescent="0.25">
      <c r="A668" s="31" t="s">
        <v>185</v>
      </c>
      <c r="B668" s="365" t="s">
        <v>589</v>
      </c>
      <c r="C668" s="360" t="s">
        <v>187</v>
      </c>
      <c r="D668" s="360" t="s">
        <v>159</v>
      </c>
      <c r="E668" s="360" t="s">
        <v>126</v>
      </c>
      <c r="F668" s="2">
        <v>903</v>
      </c>
      <c r="G668" s="10">
        <f>G667</f>
        <v>6</v>
      </c>
      <c r="H668" s="10">
        <f>H667</f>
        <v>6</v>
      </c>
    </row>
    <row r="669" spans="1:8" s="363" customFormat="1" ht="15.75" x14ac:dyDescent="0.25">
      <c r="A669" s="24" t="s">
        <v>202</v>
      </c>
      <c r="B669" s="365" t="s">
        <v>504</v>
      </c>
      <c r="C669" s="360" t="s">
        <v>203</v>
      </c>
      <c r="D669" s="360"/>
      <c r="E669" s="360"/>
      <c r="F669" s="2"/>
      <c r="G669" s="10">
        <f>G670+G679</f>
        <v>10</v>
      </c>
      <c r="H669" s="10">
        <f>H670+H679</f>
        <v>14</v>
      </c>
    </row>
    <row r="670" spans="1:8" s="363" customFormat="1" ht="15.75" x14ac:dyDescent="0.25">
      <c r="A670" s="45" t="s">
        <v>204</v>
      </c>
      <c r="B670" s="365" t="s">
        <v>504</v>
      </c>
      <c r="C670" s="360" t="s">
        <v>203</v>
      </c>
      <c r="D670" s="360" t="s">
        <v>116</v>
      </c>
      <c r="E670" s="360"/>
      <c r="F670" s="2"/>
      <c r="G670" s="10">
        <f>G671+G675</f>
        <v>10</v>
      </c>
      <c r="H670" s="10">
        <f>H671+H675</f>
        <v>10</v>
      </c>
    </row>
    <row r="671" spans="1:8" s="363" customFormat="1" ht="47.25" x14ac:dyDescent="0.25">
      <c r="A671" s="24" t="s">
        <v>634</v>
      </c>
      <c r="B671" s="365" t="s">
        <v>589</v>
      </c>
      <c r="C671" s="360" t="s">
        <v>203</v>
      </c>
      <c r="D671" s="360" t="s">
        <v>116</v>
      </c>
      <c r="E671" s="360"/>
      <c r="F671" s="2"/>
      <c r="G671" s="10">
        <f t="shared" ref="G671:H672" si="86">G672</f>
        <v>4</v>
      </c>
      <c r="H671" s="10">
        <f t="shared" si="86"/>
        <v>4</v>
      </c>
    </row>
    <row r="672" spans="1:8" s="363" customFormat="1" ht="31.5" x14ac:dyDescent="0.25">
      <c r="A672" s="364" t="s">
        <v>123</v>
      </c>
      <c r="B672" s="365" t="s">
        <v>589</v>
      </c>
      <c r="C672" s="360" t="s">
        <v>203</v>
      </c>
      <c r="D672" s="360" t="s">
        <v>116</v>
      </c>
      <c r="E672" s="360" t="s">
        <v>124</v>
      </c>
      <c r="F672" s="2"/>
      <c r="G672" s="10">
        <f t="shared" si="86"/>
        <v>4</v>
      </c>
      <c r="H672" s="10">
        <f t="shared" si="86"/>
        <v>4</v>
      </c>
    </row>
    <row r="673" spans="1:8" s="363" customFormat="1" ht="31.5" x14ac:dyDescent="0.25">
      <c r="A673" s="364" t="s">
        <v>125</v>
      </c>
      <c r="B673" s="365" t="s">
        <v>589</v>
      </c>
      <c r="C673" s="360" t="s">
        <v>203</v>
      </c>
      <c r="D673" s="360" t="s">
        <v>116</v>
      </c>
      <c r="E673" s="360" t="s">
        <v>126</v>
      </c>
      <c r="F673" s="2"/>
      <c r="G673" s="10">
        <f>'Пр.4.1 ведом.23-24 '!G443</f>
        <v>4</v>
      </c>
      <c r="H673" s="10">
        <f>'Пр.4.1 ведом.23-24 '!H443</f>
        <v>4</v>
      </c>
    </row>
    <row r="674" spans="1:8" s="363" customFormat="1" ht="47.25" x14ac:dyDescent="0.25">
      <c r="A674" s="31" t="s">
        <v>185</v>
      </c>
      <c r="B674" s="365" t="s">
        <v>589</v>
      </c>
      <c r="C674" s="360" t="s">
        <v>203</v>
      </c>
      <c r="D674" s="360" t="s">
        <v>116</v>
      </c>
      <c r="E674" s="360" t="s">
        <v>126</v>
      </c>
      <c r="F674" s="2">
        <v>903</v>
      </c>
      <c r="G674" s="10">
        <f>G673</f>
        <v>4</v>
      </c>
      <c r="H674" s="10">
        <f>H673</f>
        <v>4</v>
      </c>
    </row>
    <row r="675" spans="1:8" s="363" customFormat="1" ht="47.25" x14ac:dyDescent="0.25">
      <c r="A675" s="399" t="s">
        <v>571</v>
      </c>
      <c r="B675" s="402" t="s">
        <v>505</v>
      </c>
      <c r="C675" s="360" t="s">
        <v>203</v>
      </c>
      <c r="D675" s="360" t="s">
        <v>116</v>
      </c>
      <c r="E675" s="360"/>
      <c r="F675" s="2"/>
      <c r="G675" s="10">
        <f>G676</f>
        <v>6</v>
      </c>
      <c r="H675" s="10">
        <f>H676</f>
        <v>6</v>
      </c>
    </row>
    <row r="676" spans="1:8" s="363" customFormat="1" ht="31.5" x14ac:dyDescent="0.25">
      <c r="A676" s="399" t="s">
        <v>191</v>
      </c>
      <c r="B676" s="402" t="s">
        <v>505</v>
      </c>
      <c r="C676" s="360" t="s">
        <v>203</v>
      </c>
      <c r="D676" s="360" t="s">
        <v>116</v>
      </c>
      <c r="E676" s="360" t="s">
        <v>192</v>
      </c>
      <c r="F676" s="2"/>
      <c r="G676" s="10">
        <f>G677</f>
        <v>6</v>
      </c>
      <c r="H676" s="10">
        <f>H677</f>
        <v>6</v>
      </c>
    </row>
    <row r="677" spans="1:8" s="363" customFormat="1" ht="15.75" x14ac:dyDescent="0.25">
      <c r="A677" s="364" t="s">
        <v>193</v>
      </c>
      <c r="B677" s="402" t="s">
        <v>505</v>
      </c>
      <c r="C677" s="360" t="s">
        <v>203</v>
      </c>
      <c r="D677" s="360" t="s">
        <v>116</v>
      </c>
      <c r="E677" s="360" t="s">
        <v>194</v>
      </c>
      <c r="F677" s="2"/>
      <c r="G677" s="10">
        <f>'Пр.4.1 ведом.23-24 '!G446</f>
        <v>6</v>
      </c>
      <c r="H677" s="10">
        <f>'Пр.4.1 ведом.23-24 '!H446</f>
        <v>6</v>
      </c>
    </row>
    <row r="678" spans="1:8" s="363" customFormat="1" ht="47.25" x14ac:dyDescent="0.25">
      <c r="A678" s="31" t="s">
        <v>185</v>
      </c>
      <c r="B678" s="402" t="s">
        <v>505</v>
      </c>
      <c r="C678" s="360" t="s">
        <v>203</v>
      </c>
      <c r="D678" s="360" t="s">
        <v>116</v>
      </c>
      <c r="E678" s="360" t="s">
        <v>194</v>
      </c>
      <c r="F678" s="2">
        <v>903</v>
      </c>
      <c r="G678" s="10">
        <f>G677</f>
        <v>6</v>
      </c>
      <c r="H678" s="10">
        <f>H677</f>
        <v>6</v>
      </c>
    </row>
    <row r="679" spans="1:8" s="363" customFormat="1" ht="15.75" x14ac:dyDescent="0.25">
      <c r="A679" s="364" t="s">
        <v>208</v>
      </c>
      <c r="B679" s="365" t="s">
        <v>504</v>
      </c>
      <c r="C679" s="360" t="s">
        <v>203</v>
      </c>
      <c r="D679" s="360" t="s">
        <v>139</v>
      </c>
      <c r="E679" s="360"/>
      <c r="F679" s="2"/>
      <c r="G679" s="10">
        <f t="shared" ref="G679:H681" si="87">G680</f>
        <v>0</v>
      </c>
      <c r="H679" s="10">
        <f t="shared" si="87"/>
        <v>4</v>
      </c>
    </row>
    <row r="680" spans="1:8" s="363" customFormat="1" ht="47.25" x14ac:dyDescent="0.25">
      <c r="A680" s="24" t="s">
        <v>634</v>
      </c>
      <c r="B680" s="365" t="s">
        <v>589</v>
      </c>
      <c r="C680" s="360" t="s">
        <v>203</v>
      </c>
      <c r="D680" s="360" t="s">
        <v>139</v>
      </c>
      <c r="E680" s="360"/>
      <c r="F680" s="2"/>
      <c r="G680" s="10">
        <f t="shared" si="87"/>
        <v>0</v>
      </c>
      <c r="H680" s="10">
        <f t="shared" si="87"/>
        <v>4</v>
      </c>
    </row>
    <row r="681" spans="1:8" s="363" customFormat="1" ht="31.5" x14ac:dyDescent="0.25">
      <c r="A681" s="364" t="s">
        <v>123</v>
      </c>
      <c r="B681" s="365" t="s">
        <v>589</v>
      </c>
      <c r="C681" s="360" t="s">
        <v>203</v>
      </c>
      <c r="D681" s="360" t="s">
        <v>139</v>
      </c>
      <c r="E681" s="360" t="s">
        <v>124</v>
      </c>
      <c r="F681" s="2"/>
      <c r="G681" s="10">
        <f t="shared" si="87"/>
        <v>0</v>
      </c>
      <c r="H681" s="10">
        <f t="shared" si="87"/>
        <v>4</v>
      </c>
    </row>
    <row r="682" spans="1:8" s="363" customFormat="1" ht="31.5" x14ac:dyDescent="0.25">
      <c r="A682" s="364" t="s">
        <v>125</v>
      </c>
      <c r="B682" s="365" t="s">
        <v>589</v>
      </c>
      <c r="C682" s="360" t="s">
        <v>203</v>
      </c>
      <c r="D682" s="360" t="s">
        <v>139</v>
      </c>
      <c r="E682" s="360" t="s">
        <v>126</v>
      </c>
      <c r="F682" s="2"/>
      <c r="G682" s="10">
        <f>'Пр.4.1 ведом.23-24 '!G495</f>
        <v>0</v>
      </c>
      <c r="H682" s="10">
        <f>'Пр.4.1 ведом.23-24 '!H495</f>
        <v>4</v>
      </c>
    </row>
    <row r="683" spans="1:8" s="363" customFormat="1" ht="47.25" x14ac:dyDescent="0.25">
      <c r="A683" s="31" t="s">
        <v>185</v>
      </c>
      <c r="B683" s="365" t="s">
        <v>589</v>
      </c>
      <c r="C683" s="360" t="s">
        <v>203</v>
      </c>
      <c r="D683" s="360" t="s">
        <v>139</v>
      </c>
      <c r="E683" s="360" t="s">
        <v>126</v>
      </c>
      <c r="F683" s="2">
        <v>903</v>
      </c>
      <c r="G683" s="261">
        <f>G680</f>
        <v>0</v>
      </c>
      <c r="H683" s="261">
        <f>H680</f>
        <v>4</v>
      </c>
    </row>
    <row r="684" spans="1:8" s="363" customFormat="1" ht="15.75" hidden="1" customHeight="1" x14ac:dyDescent="0.25">
      <c r="A684" s="48" t="s">
        <v>250</v>
      </c>
      <c r="B684" s="360" t="s">
        <v>504</v>
      </c>
      <c r="C684" s="360" t="s">
        <v>251</v>
      </c>
      <c r="D684" s="48"/>
      <c r="E684" s="48"/>
      <c r="F684" s="48"/>
      <c r="G684" s="10">
        <f t="shared" ref="G684:H685" si="88">G685</f>
        <v>0</v>
      </c>
      <c r="H684" s="10">
        <f t="shared" si="88"/>
        <v>0</v>
      </c>
    </row>
    <row r="685" spans="1:8" s="363" customFormat="1" ht="15.75" hidden="1" customHeight="1" x14ac:dyDescent="0.25">
      <c r="A685" s="48" t="s">
        <v>252</v>
      </c>
      <c r="B685" s="360" t="s">
        <v>504</v>
      </c>
      <c r="C685" s="360" t="s">
        <v>251</v>
      </c>
      <c r="D685" s="360" t="s">
        <v>116</v>
      </c>
      <c r="E685" s="48"/>
      <c r="F685" s="48"/>
      <c r="G685" s="10">
        <f t="shared" si="88"/>
        <v>0</v>
      </c>
      <c r="H685" s="10">
        <f t="shared" si="88"/>
        <v>0</v>
      </c>
    </row>
    <row r="686" spans="1:8" s="363" customFormat="1" ht="47.25" hidden="1" customHeight="1" x14ac:dyDescent="0.25">
      <c r="A686" s="24" t="s">
        <v>635</v>
      </c>
      <c r="B686" s="360" t="s">
        <v>505</v>
      </c>
      <c r="C686" s="360" t="s">
        <v>251</v>
      </c>
      <c r="D686" s="360" t="s">
        <v>116</v>
      </c>
      <c r="E686" s="48"/>
      <c r="F686" s="48"/>
      <c r="G686" s="10">
        <f>G687</f>
        <v>0</v>
      </c>
      <c r="H686" s="10">
        <f>H687</f>
        <v>0</v>
      </c>
    </row>
    <row r="687" spans="1:8" s="363" customFormat="1" ht="31.7" hidden="1" customHeight="1" x14ac:dyDescent="0.25">
      <c r="A687" s="364" t="s">
        <v>191</v>
      </c>
      <c r="B687" s="360" t="s">
        <v>505</v>
      </c>
      <c r="C687" s="360" t="s">
        <v>251</v>
      </c>
      <c r="D687" s="360" t="s">
        <v>116</v>
      </c>
      <c r="E687" s="360" t="s">
        <v>192</v>
      </c>
      <c r="F687" s="48"/>
      <c r="G687" s="10">
        <f>G688</f>
        <v>0</v>
      </c>
      <c r="H687" s="10">
        <f>H688</f>
        <v>0</v>
      </c>
    </row>
    <row r="688" spans="1:8" s="363" customFormat="1" ht="15.75" hidden="1" customHeight="1" x14ac:dyDescent="0.25">
      <c r="A688" s="364" t="s">
        <v>193</v>
      </c>
      <c r="B688" s="360" t="s">
        <v>505</v>
      </c>
      <c r="C688" s="360" t="s">
        <v>251</v>
      </c>
      <c r="D688" s="360" t="s">
        <v>116</v>
      </c>
      <c r="E688" s="360" t="s">
        <v>194</v>
      </c>
      <c r="F688" s="48"/>
      <c r="G688" s="10"/>
      <c r="H688" s="10"/>
    </row>
    <row r="689" spans="1:8" s="363" customFormat="1" ht="31.7" hidden="1" customHeight="1" x14ac:dyDescent="0.25">
      <c r="A689" s="31" t="s">
        <v>248</v>
      </c>
      <c r="B689" s="360" t="s">
        <v>505</v>
      </c>
      <c r="C689" s="360" t="s">
        <v>251</v>
      </c>
      <c r="D689" s="360" t="s">
        <v>116</v>
      </c>
      <c r="E689" s="360" t="s">
        <v>194</v>
      </c>
      <c r="F689" s="2">
        <v>907</v>
      </c>
      <c r="G689" s="10">
        <f>G688</f>
        <v>0</v>
      </c>
      <c r="H689" s="10">
        <f>H688</f>
        <v>0</v>
      </c>
    </row>
    <row r="690" spans="1:8" ht="37.5" customHeight="1" x14ac:dyDescent="0.25">
      <c r="A690" s="359" t="s">
        <v>864</v>
      </c>
      <c r="B690" s="7" t="s">
        <v>273</v>
      </c>
      <c r="C690" s="2"/>
      <c r="D690" s="2"/>
      <c r="E690" s="2"/>
      <c r="F690" s="2"/>
      <c r="G690" s="38">
        <f>G691+G698+G738+G749+G756</f>
        <v>8881.4399999999987</v>
      </c>
      <c r="H690" s="38">
        <f>H691+H698+H738+H749+H756</f>
        <v>8881.4399999999987</v>
      </c>
    </row>
    <row r="691" spans="1:8" ht="47.25" hidden="1" x14ac:dyDescent="0.25">
      <c r="A691" s="315" t="s">
        <v>918</v>
      </c>
      <c r="B691" s="7" t="s">
        <v>800</v>
      </c>
      <c r="C691" s="7"/>
      <c r="D691" s="7"/>
      <c r="E691" s="3"/>
      <c r="F691" s="3"/>
      <c r="G691" s="38">
        <f t="shared" ref="G691:H695" si="89">G692</f>
        <v>0</v>
      </c>
      <c r="H691" s="38">
        <f t="shared" si="89"/>
        <v>0</v>
      </c>
    </row>
    <row r="692" spans="1:8" ht="15.75" hidden="1" x14ac:dyDescent="0.25">
      <c r="A692" s="48" t="s">
        <v>231</v>
      </c>
      <c r="B692" s="360" t="s">
        <v>800</v>
      </c>
      <c r="C692" s="360" t="s">
        <v>168</v>
      </c>
      <c r="D692" s="360"/>
      <c r="E692" s="2"/>
      <c r="F692" s="2"/>
      <c r="G692" s="10">
        <f t="shared" si="89"/>
        <v>0</v>
      </c>
      <c r="H692" s="10">
        <f t="shared" si="89"/>
        <v>0</v>
      </c>
    </row>
    <row r="693" spans="1:8" ht="15.75" hidden="1" x14ac:dyDescent="0.25">
      <c r="A693" s="48" t="s">
        <v>272</v>
      </c>
      <c r="B693" s="360" t="s">
        <v>800</v>
      </c>
      <c r="C693" s="360" t="s">
        <v>168</v>
      </c>
      <c r="D693" s="360" t="s">
        <v>159</v>
      </c>
      <c r="E693" s="2"/>
      <c r="F693" s="2"/>
      <c r="G693" s="10">
        <f t="shared" si="89"/>
        <v>0</v>
      </c>
      <c r="H693" s="10">
        <f t="shared" si="89"/>
        <v>0</v>
      </c>
    </row>
    <row r="694" spans="1:8" ht="31.5" hidden="1" x14ac:dyDescent="0.25">
      <c r="A694" s="213" t="s">
        <v>919</v>
      </c>
      <c r="B694" s="365" t="s">
        <v>909</v>
      </c>
      <c r="C694" s="360" t="s">
        <v>168</v>
      </c>
      <c r="D694" s="360" t="s">
        <v>159</v>
      </c>
      <c r="E694" s="2"/>
      <c r="F694" s="2"/>
      <c r="G694" s="10">
        <f t="shared" si="89"/>
        <v>0</v>
      </c>
      <c r="H694" s="10">
        <f t="shared" si="89"/>
        <v>0</v>
      </c>
    </row>
    <row r="695" spans="1:8" ht="31.5" hidden="1" x14ac:dyDescent="0.25">
      <c r="A695" s="364" t="s">
        <v>123</v>
      </c>
      <c r="B695" s="365" t="s">
        <v>909</v>
      </c>
      <c r="C695" s="360" t="s">
        <v>168</v>
      </c>
      <c r="D695" s="360" t="s">
        <v>159</v>
      </c>
      <c r="E695" s="2">
        <v>200</v>
      </c>
      <c r="F695" s="2"/>
      <c r="G695" s="10">
        <f t="shared" si="89"/>
        <v>0</v>
      </c>
      <c r="H695" s="10">
        <f t="shared" si="89"/>
        <v>0</v>
      </c>
    </row>
    <row r="696" spans="1:8" ht="31.5" hidden="1" x14ac:dyDescent="0.25">
      <c r="A696" s="364" t="s">
        <v>125</v>
      </c>
      <c r="B696" s="365" t="s">
        <v>909</v>
      </c>
      <c r="C696" s="360" t="s">
        <v>168</v>
      </c>
      <c r="D696" s="360" t="s">
        <v>159</v>
      </c>
      <c r="E696" s="2">
        <v>240</v>
      </c>
      <c r="F696" s="2"/>
      <c r="G696" s="10">
        <f>'Пр.4 ведом.22'!G1088</f>
        <v>0</v>
      </c>
      <c r="H696" s="10">
        <f>'Пр.4 ведом.22'!H1088</f>
        <v>0</v>
      </c>
    </row>
    <row r="697" spans="1:8" ht="31.5" hidden="1" x14ac:dyDescent="0.25">
      <c r="A697" s="31" t="s">
        <v>302</v>
      </c>
      <c r="B697" s="365" t="s">
        <v>909</v>
      </c>
      <c r="C697" s="360" t="s">
        <v>168</v>
      </c>
      <c r="D697" s="360" t="s">
        <v>159</v>
      </c>
      <c r="E697" s="2">
        <v>240</v>
      </c>
      <c r="F697" s="2">
        <v>908</v>
      </c>
      <c r="G697" s="10">
        <f>G694</f>
        <v>0</v>
      </c>
      <c r="H697" s="10">
        <f>H694</f>
        <v>0</v>
      </c>
    </row>
    <row r="698" spans="1:8" ht="31.5" x14ac:dyDescent="0.25">
      <c r="A698" s="315" t="s">
        <v>921</v>
      </c>
      <c r="B698" s="7" t="s">
        <v>801</v>
      </c>
      <c r="C698" s="360"/>
      <c r="D698" s="360"/>
      <c r="E698" s="2"/>
      <c r="F698" s="2"/>
      <c r="G698" s="38">
        <f>G699</f>
        <v>2248</v>
      </c>
      <c r="H698" s="38">
        <f>H699</f>
        <v>2248</v>
      </c>
    </row>
    <row r="699" spans="1:8" ht="15.75" x14ac:dyDescent="0.25">
      <c r="A699" s="48" t="s">
        <v>231</v>
      </c>
      <c r="B699" s="360" t="s">
        <v>801</v>
      </c>
      <c r="C699" s="360"/>
      <c r="D699" s="360"/>
      <c r="E699" s="2"/>
      <c r="F699" s="2"/>
      <c r="G699" s="10">
        <f>G700</f>
        <v>2248</v>
      </c>
      <c r="H699" s="10">
        <f>H700</f>
        <v>2248</v>
      </c>
    </row>
    <row r="700" spans="1:8" ht="15.75" x14ac:dyDescent="0.25">
      <c r="A700" s="48" t="s">
        <v>272</v>
      </c>
      <c r="B700" s="360" t="s">
        <v>801</v>
      </c>
      <c r="C700" s="360"/>
      <c r="D700" s="360"/>
      <c r="E700" s="2"/>
      <c r="F700" s="2"/>
      <c r="G700" s="10">
        <f>G701+G705+G715+G719+G723+G730+G734</f>
        <v>2248</v>
      </c>
      <c r="H700" s="10">
        <f>H701+H705+H715+H719+H723+H730+H734</f>
        <v>2248</v>
      </c>
    </row>
    <row r="701" spans="1:8" ht="15.75" customHeight="1" x14ac:dyDescent="0.25">
      <c r="A701" s="364" t="s">
        <v>274</v>
      </c>
      <c r="B701" s="365" t="s">
        <v>917</v>
      </c>
      <c r="C701" s="360" t="s">
        <v>168</v>
      </c>
      <c r="D701" s="360" t="s">
        <v>159</v>
      </c>
      <c r="E701" s="2"/>
      <c r="F701" s="2"/>
      <c r="G701" s="10">
        <f t="shared" ref="G701:H702" si="90">G702</f>
        <v>365</v>
      </c>
      <c r="H701" s="10">
        <f t="shared" si="90"/>
        <v>365</v>
      </c>
    </row>
    <row r="702" spans="1:8" ht="41.25" customHeight="1" x14ac:dyDescent="0.25">
      <c r="A702" s="364" t="s">
        <v>123</v>
      </c>
      <c r="B702" s="365" t="s">
        <v>917</v>
      </c>
      <c r="C702" s="360" t="s">
        <v>168</v>
      </c>
      <c r="D702" s="360" t="s">
        <v>159</v>
      </c>
      <c r="E702" s="2">
        <v>200</v>
      </c>
      <c r="F702" s="2"/>
      <c r="G702" s="10">
        <f t="shared" si="90"/>
        <v>365</v>
      </c>
      <c r="H702" s="10">
        <f t="shared" si="90"/>
        <v>365</v>
      </c>
    </row>
    <row r="703" spans="1:8" ht="31.7" customHeight="1" x14ac:dyDescent="0.25">
      <c r="A703" s="364" t="s">
        <v>125</v>
      </c>
      <c r="B703" s="365" t="s">
        <v>917</v>
      </c>
      <c r="C703" s="360" t="s">
        <v>168</v>
      </c>
      <c r="D703" s="360" t="s">
        <v>159</v>
      </c>
      <c r="E703" s="2">
        <v>240</v>
      </c>
      <c r="F703" s="2"/>
      <c r="G703" s="10">
        <f>'Пр.4.1 ведом.23-24 '!G1092</f>
        <v>365</v>
      </c>
      <c r="H703" s="10">
        <f>'Пр.4.1 ведом.23-24 '!H1092</f>
        <v>365</v>
      </c>
    </row>
    <row r="704" spans="1:8" ht="31.7" customHeight="1" x14ac:dyDescent="0.25">
      <c r="A704" s="31" t="s">
        <v>302</v>
      </c>
      <c r="B704" s="365" t="s">
        <v>917</v>
      </c>
      <c r="C704" s="360" t="s">
        <v>168</v>
      </c>
      <c r="D704" s="360" t="s">
        <v>159</v>
      </c>
      <c r="E704" s="2">
        <v>240</v>
      </c>
      <c r="F704" s="2">
        <v>908</v>
      </c>
      <c r="G704" s="10">
        <f>G703</f>
        <v>365</v>
      </c>
      <c r="H704" s="10">
        <f>H703</f>
        <v>365</v>
      </c>
    </row>
    <row r="705" spans="1:8" ht="17.45" customHeight="1" x14ac:dyDescent="0.25">
      <c r="A705" s="364" t="s">
        <v>275</v>
      </c>
      <c r="B705" s="365" t="s">
        <v>908</v>
      </c>
      <c r="C705" s="360" t="s">
        <v>168</v>
      </c>
      <c r="D705" s="360" t="s">
        <v>159</v>
      </c>
      <c r="E705" s="2"/>
      <c r="F705" s="2"/>
      <c r="G705" s="10">
        <f>G706+G709+G712</f>
        <v>1408</v>
      </c>
      <c r="H705" s="10">
        <f>H706+H709+H712</f>
        <v>1408</v>
      </c>
    </row>
    <row r="706" spans="1:8" ht="31.5" x14ac:dyDescent="0.25">
      <c r="A706" s="364" t="s">
        <v>123</v>
      </c>
      <c r="B706" s="365" t="s">
        <v>908</v>
      </c>
      <c r="C706" s="360" t="s">
        <v>168</v>
      </c>
      <c r="D706" s="360" t="s">
        <v>159</v>
      </c>
      <c r="E706" s="2">
        <v>200</v>
      </c>
      <c r="F706" s="2"/>
      <c r="G706" s="10">
        <f t="shared" ref="G706:H706" si="91">G707</f>
        <v>1408</v>
      </c>
      <c r="H706" s="10">
        <f t="shared" si="91"/>
        <v>1408</v>
      </c>
    </row>
    <row r="707" spans="1:8" ht="31.5" x14ac:dyDescent="0.25">
      <c r="A707" s="364" t="s">
        <v>125</v>
      </c>
      <c r="B707" s="365" t="s">
        <v>908</v>
      </c>
      <c r="C707" s="360" t="s">
        <v>168</v>
      </c>
      <c r="D707" s="360" t="s">
        <v>159</v>
      </c>
      <c r="E707" s="2">
        <v>240</v>
      </c>
      <c r="F707" s="2"/>
      <c r="G707" s="10">
        <f>'Пр.4.1 ведом.23-24 '!G1095</f>
        <v>1408</v>
      </c>
      <c r="H707" s="10">
        <f>'Пр.4.1 ведом.23-24 '!H1095</f>
        <v>1408</v>
      </c>
    </row>
    <row r="708" spans="1:8" ht="37.5" customHeight="1" x14ac:dyDescent="0.25">
      <c r="A708" s="31" t="s">
        <v>302</v>
      </c>
      <c r="B708" s="365" t="s">
        <v>908</v>
      </c>
      <c r="C708" s="360" t="s">
        <v>168</v>
      </c>
      <c r="D708" s="360" t="s">
        <v>159</v>
      </c>
      <c r="E708" s="2">
        <v>240</v>
      </c>
      <c r="F708" s="2">
        <v>908</v>
      </c>
      <c r="G708" s="10">
        <f>G707</f>
        <v>1408</v>
      </c>
      <c r="H708" s="10">
        <f>H707</f>
        <v>1408</v>
      </c>
    </row>
    <row r="709" spans="1:8" ht="15.75" hidden="1" x14ac:dyDescent="0.25">
      <c r="A709" s="364" t="s">
        <v>127</v>
      </c>
      <c r="B709" s="365" t="s">
        <v>908</v>
      </c>
      <c r="C709" s="360" t="s">
        <v>168</v>
      </c>
      <c r="D709" s="360" t="s">
        <v>159</v>
      </c>
      <c r="E709" s="2">
        <v>800</v>
      </c>
      <c r="F709" s="2"/>
      <c r="G709" s="10">
        <f>G710</f>
        <v>0</v>
      </c>
      <c r="H709" s="10">
        <f>H710</f>
        <v>0</v>
      </c>
    </row>
    <row r="710" spans="1:8" ht="47.25" hidden="1" x14ac:dyDescent="0.25">
      <c r="A710" s="364" t="s">
        <v>413</v>
      </c>
      <c r="B710" s="365" t="s">
        <v>908</v>
      </c>
      <c r="C710" s="360" t="s">
        <v>168</v>
      </c>
      <c r="D710" s="360" t="s">
        <v>159</v>
      </c>
      <c r="E710" s="2">
        <v>830</v>
      </c>
      <c r="F710" s="2"/>
      <c r="G710" s="10">
        <f>'Пр.3 Рд,пр, ЦС,ВР 22'!F432</f>
        <v>0</v>
      </c>
      <c r="H710" s="10">
        <f>'Пр.3 Рд,пр, ЦС,ВР 22'!G432</f>
        <v>0</v>
      </c>
    </row>
    <row r="711" spans="1:8" ht="31.5" hidden="1" x14ac:dyDescent="0.25">
      <c r="A711" s="31" t="s">
        <v>302</v>
      </c>
      <c r="B711" s="365" t="s">
        <v>908</v>
      </c>
      <c r="C711" s="360" t="s">
        <v>168</v>
      </c>
      <c r="D711" s="360" t="s">
        <v>159</v>
      </c>
      <c r="E711" s="2">
        <v>830</v>
      </c>
      <c r="F711" s="2">
        <v>908</v>
      </c>
      <c r="G711" s="10">
        <f>G710</f>
        <v>0</v>
      </c>
      <c r="H711" s="10">
        <f>H710</f>
        <v>0</v>
      </c>
    </row>
    <row r="712" spans="1:8" ht="15.75" hidden="1" x14ac:dyDescent="0.25">
      <c r="A712" s="364" t="s">
        <v>127</v>
      </c>
      <c r="B712" s="365" t="s">
        <v>908</v>
      </c>
      <c r="C712" s="360" t="s">
        <v>168</v>
      </c>
      <c r="D712" s="360" t="s">
        <v>159</v>
      </c>
      <c r="E712" s="2">
        <v>800</v>
      </c>
      <c r="F712" s="2"/>
      <c r="G712" s="10">
        <f>G713</f>
        <v>0</v>
      </c>
      <c r="H712" s="10">
        <f>H713</f>
        <v>0</v>
      </c>
    </row>
    <row r="713" spans="1:8" ht="15.75" hidden="1" x14ac:dyDescent="0.25">
      <c r="A713" s="364" t="s">
        <v>631</v>
      </c>
      <c r="B713" s="365" t="s">
        <v>908</v>
      </c>
      <c r="C713" s="360" t="s">
        <v>168</v>
      </c>
      <c r="D713" s="360" t="s">
        <v>159</v>
      </c>
      <c r="E713" s="2">
        <v>850</v>
      </c>
      <c r="F713" s="2"/>
      <c r="G713" s="10">
        <f>'Пр.3 Рд,пр, ЦС,ВР 22'!F433</f>
        <v>0</v>
      </c>
      <c r="H713" s="10">
        <f>'Пр.3 Рд,пр, ЦС,ВР 22'!G433</f>
        <v>0</v>
      </c>
    </row>
    <row r="714" spans="1:8" ht="31.5" hidden="1" x14ac:dyDescent="0.25">
      <c r="A714" s="31" t="s">
        <v>302</v>
      </c>
      <c r="B714" s="365" t="s">
        <v>908</v>
      </c>
      <c r="C714" s="360" t="s">
        <v>168</v>
      </c>
      <c r="D714" s="360" t="s">
        <v>159</v>
      </c>
      <c r="E714" s="2">
        <v>850</v>
      </c>
      <c r="F714" s="2">
        <v>908</v>
      </c>
      <c r="G714" s="10">
        <f>G713</f>
        <v>0</v>
      </c>
      <c r="H714" s="10">
        <f>H713</f>
        <v>0</v>
      </c>
    </row>
    <row r="715" spans="1:8" ht="15.75" hidden="1" x14ac:dyDescent="0.25">
      <c r="A715" s="364" t="s">
        <v>276</v>
      </c>
      <c r="B715" s="365" t="s">
        <v>813</v>
      </c>
      <c r="C715" s="360" t="s">
        <v>168</v>
      </c>
      <c r="D715" s="360" t="s">
        <v>159</v>
      </c>
      <c r="E715" s="2"/>
      <c r="F715" s="2"/>
      <c r="G715" s="10">
        <f t="shared" ref="G715:H715" si="92">G716</f>
        <v>0</v>
      </c>
      <c r="H715" s="10">
        <f t="shared" si="92"/>
        <v>0</v>
      </c>
    </row>
    <row r="716" spans="1:8" ht="31.5" hidden="1" x14ac:dyDescent="0.25">
      <c r="A716" s="364" t="s">
        <v>123</v>
      </c>
      <c r="B716" s="365" t="s">
        <v>813</v>
      </c>
      <c r="C716" s="360" t="s">
        <v>168</v>
      </c>
      <c r="D716" s="360" t="s">
        <v>159</v>
      </c>
      <c r="E716" s="2">
        <v>200</v>
      </c>
      <c r="F716" s="2"/>
      <c r="G716" s="10">
        <f>G717</f>
        <v>0</v>
      </c>
      <c r="H716" s="10">
        <f>H717</f>
        <v>0</v>
      </c>
    </row>
    <row r="717" spans="1:8" ht="31.5" hidden="1" x14ac:dyDescent="0.25">
      <c r="A717" s="364" t="s">
        <v>125</v>
      </c>
      <c r="B717" s="365" t="s">
        <v>813</v>
      </c>
      <c r="C717" s="360" t="s">
        <v>168</v>
      </c>
      <c r="D717" s="360" t="s">
        <v>159</v>
      </c>
      <c r="E717" s="2">
        <v>240</v>
      </c>
      <c r="F717" s="2"/>
      <c r="G717" s="10">
        <f>'Пр.4 ведом.22'!G1101</f>
        <v>0</v>
      </c>
      <c r="H717" s="10">
        <f>'Пр.4 ведом.22'!H1101</f>
        <v>0</v>
      </c>
    </row>
    <row r="718" spans="1:8" ht="37.5" hidden="1" customHeight="1" x14ac:dyDescent="0.25">
      <c r="A718" s="31" t="s">
        <v>302</v>
      </c>
      <c r="B718" s="365" t="s">
        <v>813</v>
      </c>
      <c r="C718" s="360" t="s">
        <v>168</v>
      </c>
      <c r="D718" s="360" t="s">
        <v>159</v>
      </c>
      <c r="E718" s="2">
        <v>240</v>
      </c>
      <c r="F718" s="2">
        <v>908</v>
      </c>
      <c r="G718" s="10">
        <f>G717</f>
        <v>0</v>
      </c>
      <c r="H718" s="10">
        <f>H717</f>
        <v>0</v>
      </c>
    </row>
    <row r="719" spans="1:8" ht="15.75" x14ac:dyDescent="0.25">
      <c r="A719" s="364" t="s">
        <v>277</v>
      </c>
      <c r="B719" s="365" t="s">
        <v>802</v>
      </c>
      <c r="C719" s="360" t="s">
        <v>168</v>
      </c>
      <c r="D719" s="360" t="s">
        <v>159</v>
      </c>
      <c r="E719" s="2"/>
      <c r="F719" s="2"/>
      <c r="G719" s="10">
        <f t="shared" ref="G719:H720" si="93">G720</f>
        <v>50</v>
      </c>
      <c r="H719" s="10">
        <f t="shared" si="93"/>
        <v>50</v>
      </c>
    </row>
    <row r="720" spans="1:8" ht="31.5" x14ac:dyDescent="0.25">
      <c r="A720" s="364" t="s">
        <v>123</v>
      </c>
      <c r="B720" s="365" t="s">
        <v>802</v>
      </c>
      <c r="C720" s="360" t="s">
        <v>168</v>
      </c>
      <c r="D720" s="360" t="s">
        <v>159</v>
      </c>
      <c r="E720" s="2">
        <v>200</v>
      </c>
      <c r="F720" s="2"/>
      <c r="G720" s="10">
        <f t="shared" si="93"/>
        <v>50</v>
      </c>
      <c r="H720" s="10">
        <f t="shared" si="93"/>
        <v>50</v>
      </c>
    </row>
    <row r="721" spans="1:8" ht="31.5" x14ac:dyDescent="0.25">
      <c r="A721" s="364" t="s">
        <v>125</v>
      </c>
      <c r="B721" s="365" t="s">
        <v>802</v>
      </c>
      <c r="C721" s="360" t="s">
        <v>168</v>
      </c>
      <c r="D721" s="360" t="s">
        <v>159</v>
      </c>
      <c r="E721" s="2">
        <v>240</v>
      </c>
      <c r="F721" s="2"/>
      <c r="G721" s="10">
        <f>'Пр.4.1 ведом.23-24 '!G1104</f>
        <v>50</v>
      </c>
      <c r="H721" s="10">
        <f>'Пр.4.1 ведом.23-24 '!H1104</f>
        <v>50</v>
      </c>
    </row>
    <row r="722" spans="1:8" ht="39.200000000000003" customHeight="1" x14ac:dyDescent="0.25">
      <c r="A722" s="31" t="s">
        <v>302</v>
      </c>
      <c r="B722" s="365" t="s">
        <v>802</v>
      </c>
      <c r="C722" s="360" t="s">
        <v>168</v>
      </c>
      <c r="D722" s="360" t="s">
        <v>159</v>
      </c>
      <c r="E722" s="2">
        <v>240</v>
      </c>
      <c r="F722" s="2">
        <v>908</v>
      </c>
      <c r="G722" s="10">
        <f>G721</f>
        <v>50</v>
      </c>
      <c r="H722" s="10">
        <f>H721</f>
        <v>50</v>
      </c>
    </row>
    <row r="723" spans="1:8" ht="31.5" x14ac:dyDescent="0.25">
      <c r="A723" s="212" t="s">
        <v>920</v>
      </c>
      <c r="B723" s="365" t="s">
        <v>803</v>
      </c>
      <c r="C723" s="360" t="s">
        <v>168</v>
      </c>
      <c r="D723" s="360" t="s">
        <v>159</v>
      </c>
      <c r="E723" s="2"/>
      <c r="F723" s="2"/>
      <c r="G723" s="10">
        <f>G724+G727</f>
        <v>375</v>
      </c>
      <c r="H723" s="10">
        <f>H724+H727</f>
        <v>375</v>
      </c>
    </row>
    <row r="724" spans="1:8" ht="31.5" x14ac:dyDescent="0.25">
      <c r="A724" s="364" t="s">
        <v>123</v>
      </c>
      <c r="B724" s="365" t="s">
        <v>803</v>
      </c>
      <c r="C724" s="360" t="s">
        <v>168</v>
      </c>
      <c r="D724" s="360" t="s">
        <v>159</v>
      </c>
      <c r="E724" s="2">
        <v>200</v>
      </c>
      <c r="F724" s="2"/>
      <c r="G724" s="10">
        <f t="shared" ref="G724:H724" si="94">G725</f>
        <v>375</v>
      </c>
      <c r="H724" s="10">
        <f t="shared" si="94"/>
        <v>375</v>
      </c>
    </row>
    <row r="725" spans="1:8" ht="31.5" x14ac:dyDescent="0.25">
      <c r="A725" s="364" t="s">
        <v>125</v>
      </c>
      <c r="B725" s="365" t="s">
        <v>803</v>
      </c>
      <c r="C725" s="360" t="s">
        <v>168</v>
      </c>
      <c r="D725" s="360" t="s">
        <v>159</v>
      </c>
      <c r="E725" s="2">
        <v>240</v>
      </c>
      <c r="F725" s="2"/>
      <c r="G725" s="10">
        <f>'Пр.4.1 ведом.23-24 '!G1107</f>
        <v>375</v>
      </c>
      <c r="H725" s="10">
        <f>'Пр.4.1 ведом.23-24 '!H1107</f>
        <v>375</v>
      </c>
    </row>
    <row r="726" spans="1:8" ht="42" customHeight="1" x14ac:dyDescent="0.25">
      <c r="A726" s="31" t="s">
        <v>302</v>
      </c>
      <c r="B726" s="365" t="s">
        <v>803</v>
      </c>
      <c r="C726" s="360" t="s">
        <v>168</v>
      </c>
      <c r="D726" s="360" t="s">
        <v>159</v>
      </c>
      <c r="E726" s="2">
        <v>240</v>
      </c>
      <c r="F726" s="2">
        <v>908</v>
      </c>
      <c r="G726" s="10">
        <f>G725</f>
        <v>375</v>
      </c>
      <c r="H726" s="10">
        <f>H725</f>
        <v>375</v>
      </c>
    </row>
    <row r="727" spans="1:8" ht="15.75" hidden="1" x14ac:dyDescent="0.25">
      <c r="A727" s="22" t="s">
        <v>127</v>
      </c>
      <c r="B727" s="365" t="s">
        <v>803</v>
      </c>
      <c r="C727" s="360" t="s">
        <v>168</v>
      </c>
      <c r="D727" s="360" t="s">
        <v>159</v>
      </c>
      <c r="E727" s="2">
        <v>800</v>
      </c>
      <c r="F727" s="2"/>
      <c r="G727" s="10">
        <f>G728</f>
        <v>0</v>
      </c>
      <c r="H727" s="10">
        <f>H728</f>
        <v>0</v>
      </c>
    </row>
    <row r="728" spans="1:8" ht="15.75" hidden="1" x14ac:dyDescent="0.25">
      <c r="A728" s="364" t="s">
        <v>338</v>
      </c>
      <c r="B728" s="365" t="s">
        <v>803</v>
      </c>
      <c r="C728" s="360" t="s">
        <v>168</v>
      </c>
      <c r="D728" s="360" t="s">
        <v>159</v>
      </c>
      <c r="E728" s="2">
        <v>850</v>
      </c>
      <c r="F728" s="2"/>
      <c r="G728" s="10">
        <f>'Пр.4 ведом.22'!G1109</f>
        <v>0</v>
      </c>
      <c r="H728" s="10">
        <f>'Пр.4 ведом.22'!H1109</f>
        <v>0</v>
      </c>
    </row>
    <row r="729" spans="1:8" ht="31.5" x14ac:dyDescent="0.25">
      <c r="A729" s="31" t="s">
        <v>302</v>
      </c>
      <c r="B729" s="365" t="s">
        <v>803</v>
      </c>
      <c r="C729" s="360" t="s">
        <v>168</v>
      </c>
      <c r="D729" s="360" t="s">
        <v>159</v>
      </c>
      <c r="E729" s="2">
        <v>850</v>
      </c>
      <c r="F729" s="2">
        <v>908</v>
      </c>
      <c r="G729" s="10">
        <f>G728</f>
        <v>0</v>
      </c>
      <c r="H729" s="10">
        <f>H728</f>
        <v>0</v>
      </c>
    </row>
    <row r="730" spans="1:8" ht="15.75" hidden="1" customHeight="1" x14ac:dyDescent="0.25">
      <c r="A730" s="31" t="s">
        <v>278</v>
      </c>
      <c r="B730" s="365" t="s">
        <v>804</v>
      </c>
      <c r="C730" s="360" t="s">
        <v>168</v>
      </c>
      <c r="D730" s="360" t="s">
        <v>159</v>
      </c>
      <c r="E730" s="2"/>
      <c r="F730" s="2"/>
      <c r="G730" s="10">
        <f t="shared" ref="G730:H731" si="95">G731</f>
        <v>0</v>
      </c>
      <c r="H730" s="10">
        <f t="shared" si="95"/>
        <v>0</v>
      </c>
    </row>
    <row r="731" spans="1:8" ht="31.7" hidden="1" customHeight="1" x14ac:dyDescent="0.25">
      <c r="A731" s="364" t="s">
        <v>123</v>
      </c>
      <c r="B731" s="365" t="s">
        <v>804</v>
      </c>
      <c r="C731" s="360" t="s">
        <v>168</v>
      </c>
      <c r="D731" s="360" t="s">
        <v>159</v>
      </c>
      <c r="E731" s="2">
        <v>200</v>
      </c>
      <c r="F731" s="2"/>
      <c r="G731" s="10">
        <f t="shared" si="95"/>
        <v>0</v>
      </c>
      <c r="H731" s="10">
        <f t="shared" si="95"/>
        <v>0</v>
      </c>
    </row>
    <row r="732" spans="1:8" ht="31.7" hidden="1" customHeight="1" x14ac:dyDescent="0.25">
      <c r="A732" s="364" t="s">
        <v>125</v>
      </c>
      <c r="B732" s="365" t="s">
        <v>804</v>
      </c>
      <c r="C732" s="360" t="s">
        <v>168</v>
      </c>
      <c r="D732" s="360" t="s">
        <v>159</v>
      </c>
      <c r="E732" s="2">
        <v>240</v>
      </c>
      <c r="F732" s="2"/>
      <c r="G732" s="10">
        <f>'Пр.3 Рд,пр, ЦС,ВР 22'!F447</f>
        <v>0</v>
      </c>
      <c r="H732" s="10">
        <f>'Пр.3 Рд,пр, ЦС,ВР 22'!G447</f>
        <v>0</v>
      </c>
    </row>
    <row r="733" spans="1:8" ht="31.5" hidden="1" x14ac:dyDescent="0.25">
      <c r="A733" s="31" t="s">
        <v>302</v>
      </c>
      <c r="B733" s="365" t="s">
        <v>804</v>
      </c>
      <c r="C733" s="360" t="s">
        <v>168</v>
      </c>
      <c r="D733" s="360" t="s">
        <v>159</v>
      </c>
      <c r="E733" s="2">
        <v>850</v>
      </c>
      <c r="F733" s="2">
        <v>908</v>
      </c>
      <c r="G733" s="10">
        <f>G732</f>
        <v>0</v>
      </c>
      <c r="H733" s="10">
        <f>H732</f>
        <v>0</v>
      </c>
    </row>
    <row r="734" spans="1:8" ht="31.5" x14ac:dyDescent="0.25">
      <c r="A734" s="153" t="s">
        <v>642</v>
      </c>
      <c r="B734" s="365" t="s">
        <v>805</v>
      </c>
      <c r="C734" s="360" t="s">
        <v>168</v>
      </c>
      <c r="D734" s="360" t="s">
        <v>159</v>
      </c>
      <c r="E734" s="2"/>
      <c r="F734" s="2"/>
      <c r="G734" s="10">
        <f>G735</f>
        <v>50</v>
      </c>
      <c r="H734" s="10">
        <f>H735</f>
        <v>50</v>
      </c>
    </row>
    <row r="735" spans="1:8" ht="31.5" x14ac:dyDescent="0.25">
      <c r="A735" s="364" t="s">
        <v>123</v>
      </c>
      <c r="B735" s="365" t="s">
        <v>805</v>
      </c>
      <c r="C735" s="360" t="s">
        <v>168</v>
      </c>
      <c r="D735" s="360" t="s">
        <v>159</v>
      </c>
      <c r="E735" s="2">
        <v>200</v>
      </c>
      <c r="F735" s="2"/>
      <c r="G735" s="10">
        <f>G736</f>
        <v>50</v>
      </c>
      <c r="H735" s="10">
        <f>H736</f>
        <v>50</v>
      </c>
    </row>
    <row r="736" spans="1:8" ht="31.5" x14ac:dyDescent="0.25">
      <c r="A736" s="364" t="s">
        <v>125</v>
      </c>
      <c r="B736" s="365" t="s">
        <v>805</v>
      </c>
      <c r="C736" s="360" t="s">
        <v>168</v>
      </c>
      <c r="D736" s="360" t="s">
        <v>159</v>
      </c>
      <c r="E736" s="2">
        <v>240</v>
      </c>
      <c r="F736" s="2"/>
      <c r="G736" s="10">
        <f>'Пр.4.1 ведом.23-24 '!G1115</f>
        <v>50</v>
      </c>
      <c r="H736" s="10">
        <f>'Пр.4.1 ведом.23-24 '!H1115</f>
        <v>50</v>
      </c>
    </row>
    <row r="737" spans="1:8" ht="36.75" customHeight="1" x14ac:dyDescent="0.25">
      <c r="A737" s="31" t="s">
        <v>302</v>
      </c>
      <c r="B737" s="365" t="s">
        <v>805</v>
      </c>
      <c r="C737" s="360" t="s">
        <v>168</v>
      </c>
      <c r="D737" s="360" t="s">
        <v>159</v>
      </c>
      <c r="E737" s="2">
        <v>240</v>
      </c>
      <c r="F737" s="2">
        <v>908</v>
      </c>
      <c r="G737" s="10">
        <f>G736</f>
        <v>50</v>
      </c>
      <c r="H737" s="10">
        <f>H736</f>
        <v>50</v>
      </c>
    </row>
    <row r="738" spans="1:8" ht="31.5" x14ac:dyDescent="0.25">
      <c r="A738" s="315" t="s">
        <v>464</v>
      </c>
      <c r="B738" s="316" t="s">
        <v>812</v>
      </c>
      <c r="C738" s="7"/>
      <c r="D738" s="7"/>
      <c r="E738" s="3"/>
      <c r="F738" s="3"/>
      <c r="G738" s="38">
        <f>G739</f>
        <v>2145.8000000000002</v>
      </c>
      <c r="H738" s="38">
        <f>H739</f>
        <v>2145.8000000000002</v>
      </c>
    </row>
    <row r="739" spans="1:8" ht="15.75" x14ac:dyDescent="0.25">
      <c r="A739" s="48" t="s">
        <v>231</v>
      </c>
      <c r="B739" s="365" t="s">
        <v>812</v>
      </c>
      <c r="C739" s="360" t="s">
        <v>168</v>
      </c>
      <c r="D739" s="360"/>
      <c r="E739" s="2"/>
      <c r="F739" s="2"/>
      <c r="G739" s="10">
        <f t="shared" ref="G739:H739" si="96">G740</f>
        <v>2145.8000000000002</v>
      </c>
      <c r="H739" s="10">
        <f t="shared" si="96"/>
        <v>2145.8000000000002</v>
      </c>
    </row>
    <row r="740" spans="1:8" ht="15.75" x14ac:dyDescent="0.25">
      <c r="A740" s="48" t="s">
        <v>272</v>
      </c>
      <c r="B740" s="365" t="s">
        <v>812</v>
      </c>
      <c r="C740" s="360" t="s">
        <v>168</v>
      </c>
      <c r="D740" s="360" t="s">
        <v>159</v>
      </c>
      <c r="E740" s="2"/>
      <c r="F740" s="2"/>
      <c r="G740" s="10">
        <f>G741+G745</f>
        <v>2145.8000000000002</v>
      </c>
      <c r="H740" s="10">
        <f>H741+H745</f>
        <v>2145.8000000000002</v>
      </c>
    </row>
    <row r="741" spans="1:8" ht="31.5" hidden="1" x14ac:dyDescent="0.25">
      <c r="A741" s="364" t="s">
        <v>332</v>
      </c>
      <c r="B741" s="365" t="s">
        <v>834</v>
      </c>
      <c r="C741" s="360" t="s">
        <v>168</v>
      </c>
      <c r="D741" s="360" t="s">
        <v>159</v>
      </c>
      <c r="E741" s="2"/>
      <c r="F741" s="2"/>
      <c r="G741" s="10">
        <f>G742</f>
        <v>0</v>
      </c>
      <c r="H741" s="10">
        <f>H742</f>
        <v>0</v>
      </c>
    </row>
    <row r="742" spans="1:8" ht="31.5" hidden="1" x14ac:dyDescent="0.25">
      <c r="A742" s="364" t="s">
        <v>123</v>
      </c>
      <c r="B742" s="365" t="s">
        <v>834</v>
      </c>
      <c r="C742" s="360" t="s">
        <v>168</v>
      </c>
      <c r="D742" s="360" t="s">
        <v>159</v>
      </c>
      <c r="E742" s="365" t="s">
        <v>124</v>
      </c>
      <c r="F742" s="2"/>
      <c r="G742" s="10">
        <f>G743</f>
        <v>0</v>
      </c>
      <c r="H742" s="10">
        <f>H743</f>
        <v>0</v>
      </c>
    </row>
    <row r="743" spans="1:8" ht="31.5" hidden="1" x14ac:dyDescent="0.25">
      <c r="A743" s="364" t="s">
        <v>125</v>
      </c>
      <c r="B743" s="365" t="s">
        <v>834</v>
      </c>
      <c r="C743" s="360" t="s">
        <v>168</v>
      </c>
      <c r="D743" s="360" t="s">
        <v>159</v>
      </c>
      <c r="E743" s="365" t="s">
        <v>126</v>
      </c>
      <c r="F743" s="2"/>
      <c r="G743" s="10">
        <f>'Пр.3 Рд,пр, ЦС,ВР 22'!F454</f>
        <v>0</v>
      </c>
      <c r="H743" s="10">
        <f>'Пр.3 Рд,пр, ЦС,ВР 22'!G454</f>
        <v>0</v>
      </c>
    </row>
    <row r="744" spans="1:8" ht="31.5" hidden="1" x14ac:dyDescent="0.25">
      <c r="A744" s="31" t="s">
        <v>302</v>
      </c>
      <c r="B744" s="365" t="s">
        <v>834</v>
      </c>
      <c r="C744" s="360" t="s">
        <v>168</v>
      </c>
      <c r="D744" s="360" t="s">
        <v>159</v>
      </c>
      <c r="E744" s="365" t="s">
        <v>126</v>
      </c>
      <c r="F744" s="2">
        <v>908</v>
      </c>
      <c r="G744" s="10">
        <f>G743</f>
        <v>0</v>
      </c>
      <c r="H744" s="10">
        <f>H743</f>
        <v>0</v>
      </c>
    </row>
    <row r="745" spans="1:8" ht="63" x14ac:dyDescent="0.25">
      <c r="A745" s="364" t="s">
        <v>627</v>
      </c>
      <c r="B745" s="365" t="s">
        <v>811</v>
      </c>
      <c r="C745" s="360" t="s">
        <v>168</v>
      </c>
      <c r="D745" s="360" t="s">
        <v>159</v>
      </c>
      <c r="E745" s="365"/>
      <c r="F745" s="2"/>
      <c r="G745" s="10">
        <f>G746</f>
        <v>2145.8000000000002</v>
      </c>
      <c r="H745" s="10">
        <f>H746</f>
        <v>2145.8000000000002</v>
      </c>
    </row>
    <row r="746" spans="1:8" ht="31.5" x14ac:dyDescent="0.25">
      <c r="A746" s="364" t="s">
        <v>123</v>
      </c>
      <c r="B746" s="365" t="s">
        <v>811</v>
      </c>
      <c r="C746" s="360" t="s">
        <v>168</v>
      </c>
      <c r="D746" s="360" t="s">
        <v>159</v>
      </c>
      <c r="E746" s="365" t="s">
        <v>124</v>
      </c>
      <c r="F746" s="2"/>
      <c r="G746" s="10">
        <f>G747</f>
        <v>2145.8000000000002</v>
      </c>
      <c r="H746" s="10">
        <f>H747</f>
        <v>2145.8000000000002</v>
      </c>
    </row>
    <row r="747" spans="1:8" ht="31.5" x14ac:dyDescent="0.25">
      <c r="A747" s="364" t="s">
        <v>125</v>
      </c>
      <c r="B747" s="365" t="s">
        <v>811</v>
      </c>
      <c r="C747" s="360" t="s">
        <v>168</v>
      </c>
      <c r="D747" s="360" t="s">
        <v>159</v>
      </c>
      <c r="E747" s="365" t="s">
        <v>126</v>
      </c>
      <c r="F747" s="2"/>
      <c r="G747" s="10">
        <f>'Пр.4.1 ведом.23-24 '!G1122</f>
        <v>2145.8000000000002</v>
      </c>
      <c r="H747" s="10">
        <f>'Пр.4.1 ведом.23-24 '!H1122</f>
        <v>2145.8000000000002</v>
      </c>
    </row>
    <row r="748" spans="1:8" ht="38.25" customHeight="1" x14ac:dyDescent="0.25">
      <c r="A748" s="31" t="s">
        <v>302</v>
      </c>
      <c r="B748" s="365" t="s">
        <v>811</v>
      </c>
      <c r="C748" s="360" t="s">
        <v>168</v>
      </c>
      <c r="D748" s="360" t="s">
        <v>159</v>
      </c>
      <c r="E748" s="365" t="s">
        <v>126</v>
      </c>
      <c r="F748" s="2">
        <v>908</v>
      </c>
      <c r="G748" s="10">
        <f>G747</f>
        <v>2145.8000000000002</v>
      </c>
      <c r="H748" s="10">
        <f>H747</f>
        <v>2145.8000000000002</v>
      </c>
    </row>
    <row r="749" spans="1:8" ht="31.5" hidden="1" x14ac:dyDescent="0.25">
      <c r="A749" s="26" t="s">
        <v>1044</v>
      </c>
      <c r="B749" s="316" t="s">
        <v>1045</v>
      </c>
      <c r="C749" s="7"/>
      <c r="D749" s="7"/>
      <c r="E749" s="316"/>
      <c r="F749" s="3"/>
      <c r="G749" s="38">
        <f t="shared" ref="G749:H753" si="97">G750</f>
        <v>0</v>
      </c>
      <c r="H749" s="38">
        <f t="shared" si="97"/>
        <v>0</v>
      </c>
    </row>
    <row r="750" spans="1:8" ht="15.75" hidden="1" x14ac:dyDescent="0.25">
      <c r="A750" s="48" t="s">
        <v>231</v>
      </c>
      <c r="B750" s="365" t="s">
        <v>1045</v>
      </c>
      <c r="C750" s="360" t="s">
        <v>168</v>
      </c>
      <c r="D750" s="360"/>
      <c r="E750" s="365"/>
      <c r="F750" s="2"/>
      <c r="G750" s="10">
        <f t="shared" si="97"/>
        <v>0</v>
      </c>
      <c r="H750" s="10">
        <f t="shared" si="97"/>
        <v>0</v>
      </c>
    </row>
    <row r="751" spans="1:8" ht="15.75" hidden="1" x14ac:dyDescent="0.25">
      <c r="A751" s="48" t="s">
        <v>272</v>
      </c>
      <c r="B751" s="365" t="s">
        <v>1045</v>
      </c>
      <c r="C751" s="360" t="s">
        <v>168</v>
      </c>
      <c r="D751" s="360" t="s">
        <v>159</v>
      </c>
      <c r="E751" s="365"/>
      <c r="F751" s="2"/>
      <c r="G751" s="10">
        <f t="shared" si="97"/>
        <v>0</v>
      </c>
      <c r="H751" s="10">
        <f t="shared" si="97"/>
        <v>0</v>
      </c>
    </row>
    <row r="752" spans="1:8" ht="31.5" hidden="1" x14ac:dyDescent="0.25">
      <c r="A752" s="24" t="s">
        <v>1043</v>
      </c>
      <c r="B752" s="365" t="s">
        <v>1046</v>
      </c>
      <c r="C752" s="360" t="s">
        <v>168</v>
      </c>
      <c r="D752" s="360" t="s">
        <v>159</v>
      </c>
      <c r="E752" s="365"/>
      <c r="F752" s="2"/>
      <c r="G752" s="10">
        <f t="shared" si="97"/>
        <v>0</v>
      </c>
      <c r="H752" s="10">
        <f t="shared" si="97"/>
        <v>0</v>
      </c>
    </row>
    <row r="753" spans="1:8" ht="31.5" hidden="1" x14ac:dyDescent="0.25">
      <c r="A753" s="364" t="s">
        <v>123</v>
      </c>
      <c r="B753" s="365" t="s">
        <v>1046</v>
      </c>
      <c r="C753" s="360" t="s">
        <v>168</v>
      </c>
      <c r="D753" s="360" t="s">
        <v>159</v>
      </c>
      <c r="E753" s="365" t="s">
        <v>124</v>
      </c>
      <c r="F753" s="2"/>
      <c r="G753" s="10">
        <f t="shared" si="97"/>
        <v>0</v>
      </c>
      <c r="H753" s="10">
        <f t="shared" si="97"/>
        <v>0</v>
      </c>
    </row>
    <row r="754" spans="1:8" ht="31.5" hidden="1" x14ac:dyDescent="0.25">
      <c r="A754" s="364" t="s">
        <v>125</v>
      </c>
      <c r="B754" s="365" t="s">
        <v>1046</v>
      </c>
      <c r="C754" s="360" t="s">
        <v>168</v>
      </c>
      <c r="D754" s="360" t="s">
        <v>159</v>
      </c>
      <c r="E754" s="365" t="s">
        <v>126</v>
      </c>
      <c r="F754" s="2"/>
      <c r="G754" s="10">
        <f>'Пр.4 ведом.22'!G1126</f>
        <v>0</v>
      </c>
      <c r="H754" s="10">
        <f>'Пр.4 ведом.22'!H1126</f>
        <v>0</v>
      </c>
    </row>
    <row r="755" spans="1:8" ht="31.5" hidden="1" x14ac:dyDescent="0.25">
      <c r="A755" s="31" t="s">
        <v>302</v>
      </c>
      <c r="B755" s="365" t="s">
        <v>1046</v>
      </c>
      <c r="C755" s="360" t="s">
        <v>168</v>
      </c>
      <c r="D755" s="360" t="s">
        <v>159</v>
      </c>
      <c r="E755" s="365" t="s">
        <v>126</v>
      </c>
      <c r="F755" s="2">
        <v>908</v>
      </c>
      <c r="G755" s="10">
        <f>G754</f>
        <v>0</v>
      </c>
      <c r="H755" s="10">
        <f>H754</f>
        <v>0</v>
      </c>
    </row>
    <row r="756" spans="1:8" s="405" customFormat="1" ht="37.5" customHeight="1" x14ac:dyDescent="0.25">
      <c r="A756" s="413" t="s">
        <v>1070</v>
      </c>
      <c r="B756" s="414" t="s">
        <v>1069</v>
      </c>
      <c r="C756" s="407"/>
      <c r="D756" s="407"/>
      <c r="E756" s="414"/>
      <c r="F756" s="415"/>
      <c r="G756" s="411">
        <f t="shared" ref="G756:H760" si="98">G757</f>
        <v>4487.6399999999994</v>
      </c>
      <c r="H756" s="411">
        <f t="shared" si="98"/>
        <v>4487.6399999999994</v>
      </c>
    </row>
    <row r="757" spans="1:8" s="405" customFormat="1" ht="15.75" x14ac:dyDescent="0.25">
      <c r="A757" s="416" t="s">
        <v>231</v>
      </c>
      <c r="B757" s="402" t="s">
        <v>1069</v>
      </c>
      <c r="C757" s="403" t="s">
        <v>168</v>
      </c>
      <c r="D757" s="403"/>
      <c r="E757" s="402"/>
      <c r="F757" s="410"/>
      <c r="G757" s="400">
        <f t="shared" si="98"/>
        <v>4487.6399999999994</v>
      </c>
      <c r="H757" s="400">
        <f t="shared" si="98"/>
        <v>4487.6399999999994</v>
      </c>
    </row>
    <row r="758" spans="1:8" s="405" customFormat="1" ht="15.75" x14ac:dyDescent="0.25">
      <c r="A758" s="416" t="s">
        <v>272</v>
      </c>
      <c r="B758" s="402" t="s">
        <v>1069</v>
      </c>
      <c r="C758" s="403" t="s">
        <v>168</v>
      </c>
      <c r="D758" s="403" t="s">
        <v>159</v>
      </c>
      <c r="E758" s="402"/>
      <c r="F758" s="410"/>
      <c r="G758" s="400">
        <f t="shared" si="98"/>
        <v>4487.6399999999994</v>
      </c>
      <c r="H758" s="400">
        <f t="shared" si="98"/>
        <v>4487.6399999999994</v>
      </c>
    </row>
    <row r="759" spans="1:8" s="405" customFormat="1" ht="15.75" x14ac:dyDescent="0.25">
      <c r="A759" s="401" t="s">
        <v>1128</v>
      </c>
      <c r="B759" s="402" t="s">
        <v>1078</v>
      </c>
      <c r="C759" s="403" t="s">
        <v>168</v>
      </c>
      <c r="D759" s="403" t="s">
        <v>159</v>
      </c>
      <c r="E759" s="402"/>
      <c r="F759" s="410"/>
      <c r="G759" s="400">
        <f t="shared" si="98"/>
        <v>4487.6399999999994</v>
      </c>
      <c r="H759" s="400">
        <f t="shared" si="98"/>
        <v>4487.6399999999994</v>
      </c>
    </row>
    <row r="760" spans="1:8" s="405" customFormat="1" ht="31.5" x14ac:dyDescent="0.25">
      <c r="A760" s="399" t="s">
        <v>123</v>
      </c>
      <c r="B760" s="402" t="s">
        <v>1078</v>
      </c>
      <c r="C760" s="403" t="s">
        <v>168</v>
      </c>
      <c r="D760" s="403" t="s">
        <v>159</v>
      </c>
      <c r="E760" s="402" t="s">
        <v>124</v>
      </c>
      <c r="F760" s="410"/>
      <c r="G760" s="400">
        <f t="shared" si="98"/>
        <v>4487.6399999999994</v>
      </c>
      <c r="H760" s="400">
        <f t="shared" si="98"/>
        <v>4487.6399999999994</v>
      </c>
    </row>
    <row r="761" spans="1:8" s="405" customFormat="1" ht="31.5" x14ac:dyDescent="0.25">
      <c r="A761" s="399" t="s">
        <v>125</v>
      </c>
      <c r="B761" s="402" t="s">
        <v>1078</v>
      </c>
      <c r="C761" s="403" t="s">
        <v>168</v>
      </c>
      <c r="D761" s="403" t="s">
        <v>159</v>
      </c>
      <c r="E761" s="402" t="s">
        <v>126</v>
      </c>
      <c r="F761" s="410"/>
      <c r="G761" s="400">
        <f>'Пр.4.1 ведом.23-24 '!G1130</f>
        <v>4487.6399999999994</v>
      </c>
      <c r="H761" s="400">
        <f>'Пр.4.1 ведом.23-24 '!H1130</f>
        <v>4487.6399999999994</v>
      </c>
    </row>
    <row r="762" spans="1:8" s="405" customFormat="1" ht="31.5" x14ac:dyDescent="0.25">
      <c r="A762" s="406" t="s">
        <v>302</v>
      </c>
      <c r="B762" s="402" t="s">
        <v>1078</v>
      </c>
      <c r="C762" s="403" t="s">
        <v>168</v>
      </c>
      <c r="D762" s="403" t="s">
        <v>159</v>
      </c>
      <c r="E762" s="402" t="s">
        <v>126</v>
      </c>
      <c r="F762" s="410">
        <v>908</v>
      </c>
      <c r="G762" s="400">
        <f>G761</f>
        <v>4487.6399999999994</v>
      </c>
      <c r="H762" s="400">
        <f>H761</f>
        <v>4487.6399999999994</v>
      </c>
    </row>
    <row r="763" spans="1:8" ht="39.75" customHeight="1" x14ac:dyDescent="0.25">
      <c r="A763" s="26" t="s">
        <v>847</v>
      </c>
      <c r="B763" s="122" t="s">
        <v>147</v>
      </c>
      <c r="C763" s="7"/>
      <c r="D763" s="7"/>
      <c r="E763" s="7"/>
      <c r="F763" s="3"/>
      <c r="G763" s="38">
        <f>G764+G771</f>
        <v>19.199999999999989</v>
      </c>
      <c r="H763" s="38">
        <f>H764+H771</f>
        <v>274.2</v>
      </c>
    </row>
    <row r="764" spans="1:8" ht="31.5" x14ac:dyDescent="0.25">
      <c r="A764" s="26" t="s">
        <v>569</v>
      </c>
      <c r="B764" s="122" t="s">
        <v>453</v>
      </c>
      <c r="C764" s="7"/>
      <c r="D764" s="7"/>
      <c r="E764" s="7"/>
      <c r="F764" s="3"/>
      <c r="G764" s="38">
        <f>G765</f>
        <v>19.199999999999989</v>
      </c>
      <c r="H764" s="38">
        <f>H765</f>
        <v>274.2</v>
      </c>
    </row>
    <row r="765" spans="1:8" ht="15.75" x14ac:dyDescent="0.25">
      <c r="A765" s="22" t="s">
        <v>166</v>
      </c>
      <c r="B765" s="5" t="s">
        <v>453</v>
      </c>
      <c r="C765" s="360" t="s">
        <v>139</v>
      </c>
      <c r="D765" s="360"/>
      <c r="E765" s="360"/>
      <c r="F765" s="2"/>
      <c r="G765" s="10">
        <f t="shared" ref="G765:H768" si="99">G766</f>
        <v>19.199999999999989</v>
      </c>
      <c r="H765" s="10">
        <f t="shared" si="99"/>
        <v>274.2</v>
      </c>
    </row>
    <row r="766" spans="1:8" ht="15.75" x14ac:dyDescent="0.25">
      <c r="A766" s="22" t="s">
        <v>167</v>
      </c>
      <c r="B766" s="23" t="s">
        <v>453</v>
      </c>
      <c r="C766" s="360" t="s">
        <v>139</v>
      </c>
      <c r="D766" s="360" t="s">
        <v>168</v>
      </c>
      <c r="E766" s="360"/>
      <c r="F766" s="2"/>
      <c r="G766" s="10">
        <f>G767</f>
        <v>19.199999999999989</v>
      </c>
      <c r="H766" s="10">
        <f>H767</f>
        <v>274.2</v>
      </c>
    </row>
    <row r="767" spans="1:8" ht="31.5" x14ac:dyDescent="0.25">
      <c r="A767" s="364" t="s">
        <v>169</v>
      </c>
      <c r="B767" s="365" t="s">
        <v>469</v>
      </c>
      <c r="C767" s="360" t="s">
        <v>139</v>
      </c>
      <c r="D767" s="360" t="s">
        <v>168</v>
      </c>
      <c r="E767" s="360"/>
      <c r="F767" s="2"/>
      <c r="G767" s="10">
        <f t="shared" si="99"/>
        <v>19.199999999999989</v>
      </c>
      <c r="H767" s="10">
        <f t="shared" si="99"/>
        <v>274.2</v>
      </c>
    </row>
    <row r="768" spans="1:8" ht="15.75" x14ac:dyDescent="0.25">
      <c r="A768" s="22" t="s">
        <v>127</v>
      </c>
      <c r="B768" s="365" t="s">
        <v>469</v>
      </c>
      <c r="C768" s="360" t="s">
        <v>139</v>
      </c>
      <c r="D768" s="360" t="s">
        <v>168</v>
      </c>
      <c r="E768" s="360" t="s">
        <v>134</v>
      </c>
      <c r="F768" s="2"/>
      <c r="G768" s="10">
        <f t="shared" si="99"/>
        <v>19.199999999999989</v>
      </c>
      <c r="H768" s="10">
        <f t="shared" si="99"/>
        <v>274.2</v>
      </c>
    </row>
    <row r="769" spans="1:8" ht="47.25" x14ac:dyDescent="0.25">
      <c r="A769" s="22" t="s">
        <v>148</v>
      </c>
      <c r="B769" s="365" t="s">
        <v>469</v>
      </c>
      <c r="C769" s="360" t="s">
        <v>139</v>
      </c>
      <c r="D769" s="360" t="s">
        <v>168</v>
      </c>
      <c r="E769" s="360" t="s">
        <v>142</v>
      </c>
      <c r="F769" s="2"/>
      <c r="G769" s="10">
        <f>'Пр.4.1 ведом.23-24 '!G207</f>
        <v>19.199999999999989</v>
      </c>
      <c r="H769" s="10">
        <f>'Пр.4.1 ведом.23-24 '!H207</f>
        <v>274.2</v>
      </c>
    </row>
    <row r="770" spans="1:8" ht="23.25" customHeight="1" x14ac:dyDescent="0.25">
      <c r="A770" s="22" t="s">
        <v>137</v>
      </c>
      <c r="B770" s="365" t="s">
        <v>469</v>
      </c>
      <c r="C770" s="360" t="s">
        <v>139</v>
      </c>
      <c r="D770" s="360" t="s">
        <v>168</v>
      </c>
      <c r="E770" s="360" t="s">
        <v>142</v>
      </c>
      <c r="F770" s="2">
        <v>902</v>
      </c>
      <c r="G770" s="10">
        <f>G769</f>
        <v>19.199999999999989</v>
      </c>
      <c r="H770" s="10">
        <f>H769</f>
        <v>274.2</v>
      </c>
    </row>
    <row r="771" spans="1:8" ht="47.25" hidden="1" x14ac:dyDescent="0.25">
      <c r="A771" s="140" t="s">
        <v>570</v>
      </c>
      <c r="B771" s="316" t="s">
        <v>455</v>
      </c>
      <c r="C771" s="360"/>
      <c r="D771" s="360"/>
      <c r="E771" s="360"/>
      <c r="F771" s="2"/>
      <c r="G771" s="10">
        <f t="shared" ref="G771:H775" si="100">G772</f>
        <v>0</v>
      </c>
      <c r="H771" s="10">
        <f t="shared" si="100"/>
        <v>0</v>
      </c>
    </row>
    <row r="772" spans="1:8" ht="15.75" hidden="1" x14ac:dyDescent="0.25">
      <c r="A772" s="22" t="s">
        <v>166</v>
      </c>
      <c r="B772" s="365" t="s">
        <v>455</v>
      </c>
      <c r="C772" s="360" t="s">
        <v>139</v>
      </c>
      <c r="D772" s="360"/>
      <c r="E772" s="360"/>
      <c r="F772" s="2"/>
      <c r="G772" s="10">
        <f t="shared" si="100"/>
        <v>0</v>
      </c>
      <c r="H772" s="10">
        <f t="shared" si="100"/>
        <v>0</v>
      </c>
    </row>
    <row r="773" spans="1:8" ht="15.75" hidden="1" x14ac:dyDescent="0.25">
      <c r="A773" s="22" t="s">
        <v>167</v>
      </c>
      <c r="B773" s="365" t="s">
        <v>455</v>
      </c>
      <c r="C773" s="360" t="s">
        <v>139</v>
      </c>
      <c r="D773" s="360" t="s">
        <v>168</v>
      </c>
      <c r="E773" s="360"/>
      <c r="F773" s="2"/>
      <c r="G773" s="10">
        <f t="shared" si="100"/>
        <v>0</v>
      </c>
      <c r="H773" s="10">
        <f t="shared" si="100"/>
        <v>0</v>
      </c>
    </row>
    <row r="774" spans="1:8" ht="15.75" hidden="1" x14ac:dyDescent="0.25">
      <c r="A774" s="364" t="s">
        <v>454</v>
      </c>
      <c r="B774" s="5" t="s">
        <v>470</v>
      </c>
      <c r="C774" s="360" t="s">
        <v>139</v>
      </c>
      <c r="D774" s="360" t="s">
        <v>168</v>
      </c>
      <c r="E774" s="360"/>
      <c r="F774" s="2"/>
      <c r="G774" s="10">
        <f t="shared" si="100"/>
        <v>0</v>
      </c>
      <c r="H774" s="10">
        <f t="shared" si="100"/>
        <v>0</v>
      </c>
    </row>
    <row r="775" spans="1:8" ht="15.75" hidden="1" x14ac:dyDescent="0.25">
      <c r="A775" s="22" t="s">
        <v>127</v>
      </c>
      <c r="B775" s="5" t="s">
        <v>470</v>
      </c>
      <c r="C775" s="360" t="s">
        <v>139</v>
      </c>
      <c r="D775" s="360" t="s">
        <v>168</v>
      </c>
      <c r="E775" s="360" t="s">
        <v>134</v>
      </c>
      <c r="F775" s="2"/>
      <c r="G775" s="10">
        <f t="shared" si="100"/>
        <v>0</v>
      </c>
      <c r="H775" s="10">
        <f t="shared" si="100"/>
        <v>0</v>
      </c>
    </row>
    <row r="776" spans="1:8" ht="47.25" hidden="1" x14ac:dyDescent="0.25">
      <c r="A776" s="22" t="s">
        <v>148</v>
      </c>
      <c r="B776" s="5" t="s">
        <v>470</v>
      </c>
      <c r="C776" s="360" t="s">
        <v>139</v>
      </c>
      <c r="D776" s="360" t="s">
        <v>168</v>
      </c>
      <c r="E776" s="360" t="s">
        <v>142</v>
      </c>
      <c r="F776" s="2"/>
      <c r="G776" s="10">
        <f>'Пр.3 Рд,пр, ЦС,ВР 22'!F278</f>
        <v>0</v>
      </c>
      <c r="H776" s="10">
        <f>'Пр.3 Рд,пр, ЦС,ВР 22'!G278</f>
        <v>0</v>
      </c>
    </row>
    <row r="777" spans="1:8" ht="19.5" hidden="1" customHeight="1" x14ac:dyDescent="0.25">
      <c r="A777" s="22" t="s">
        <v>137</v>
      </c>
      <c r="B777" s="5" t="s">
        <v>470</v>
      </c>
      <c r="C777" s="360" t="s">
        <v>139</v>
      </c>
      <c r="D777" s="360" t="s">
        <v>168</v>
      </c>
      <c r="E777" s="360" t="s">
        <v>142</v>
      </c>
      <c r="F777" s="2">
        <v>902</v>
      </c>
      <c r="G777" s="10">
        <f>G776</f>
        <v>0</v>
      </c>
      <c r="H777" s="10">
        <f>H776</f>
        <v>0</v>
      </c>
    </row>
    <row r="778" spans="1:8" ht="52.5" customHeight="1" x14ac:dyDescent="0.25">
      <c r="A778" s="359" t="s">
        <v>974</v>
      </c>
      <c r="B778" s="7" t="s">
        <v>263</v>
      </c>
      <c r="C778" s="7"/>
      <c r="D778" s="7"/>
      <c r="E778" s="47"/>
      <c r="F778" s="3"/>
      <c r="G778" s="38">
        <f>G779+G786+G793+G800+G807+G814+G821</f>
        <v>700</v>
      </c>
      <c r="H778" s="38">
        <f>H779+H786+H793+H800+H807+H814+H821</f>
        <v>700</v>
      </c>
    </row>
    <row r="779" spans="1:8" ht="31.7" customHeight="1" x14ac:dyDescent="0.25">
      <c r="A779" s="315" t="s">
        <v>528</v>
      </c>
      <c r="B779" s="316" t="s">
        <v>530</v>
      </c>
      <c r="C779" s="360"/>
      <c r="D779" s="360"/>
      <c r="E779" s="360"/>
      <c r="F779" s="2"/>
      <c r="G779" s="38">
        <f>G780</f>
        <v>700</v>
      </c>
      <c r="H779" s="38">
        <f>H780</f>
        <v>700</v>
      </c>
    </row>
    <row r="780" spans="1:8" ht="18" customHeight="1" x14ac:dyDescent="0.25">
      <c r="A780" s="22" t="s">
        <v>231</v>
      </c>
      <c r="B780" s="360" t="s">
        <v>530</v>
      </c>
      <c r="C780" s="360" t="s">
        <v>168</v>
      </c>
      <c r="D780" s="360"/>
      <c r="E780" s="48"/>
      <c r="F780" s="2"/>
      <c r="G780" s="10">
        <f t="shared" ref="G780:H780" si="101">G781</f>
        <v>700</v>
      </c>
      <c r="H780" s="10">
        <f t="shared" si="101"/>
        <v>700</v>
      </c>
    </row>
    <row r="781" spans="1:8" ht="19.5" customHeight="1" x14ac:dyDescent="0.25">
      <c r="A781" s="22" t="s">
        <v>262</v>
      </c>
      <c r="B781" s="360" t="s">
        <v>530</v>
      </c>
      <c r="C781" s="360" t="s">
        <v>168</v>
      </c>
      <c r="D781" s="360" t="s">
        <v>158</v>
      </c>
      <c r="E781" s="48"/>
      <c r="F781" s="2"/>
      <c r="G781" s="10">
        <f>G782</f>
        <v>700</v>
      </c>
      <c r="H781" s="10">
        <f>H782</f>
        <v>700</v>
      </c>
    </row>
    <row r="782" spans="1:8" ht="15.75" x14ac:dyDescent="0.25">
      <c r="A782" s="31" t="s">
        <v>264</v>
      </c>
      <c r="B782" s="365" t="s">
        <v>531</v>
      </c>
      <c r="C782" s="360" t="s">
        <v>168</v>
      </c>
      <c r="D782" s="360" t="s">
        <v>158</v>
      </c>
      <c r="E782" s="360"/>
      <c r="F782" s="2"/>
      <c r="G782" s="10">
        <f t="shared" ref="G782:H783" si="102">G783</f>
        <v>700</v>
      </c>
      <c r="H782" s="10">
        <f t="shared" si="102"/>
        <v>700</v>
      </c>
    </row>
    <row r="783" spans="1:8" ht="31.5" x14ac:dyDescent="0.25">
      <c r="A783" s="24" t="s">
        <v>123</v>
      </c>
      <c r="B783" s="365" t="s">
        <v>531</v>
      </c>
      <c r="C783" s="360" t="s">
        <v>168</v>
      </c>
      <c r="D783" s="360" t="s">
        <v>158</v>
      </c>
      <c r="E783" s="360" t="s">
        <v>124</v>
      </c>
      <c r="F783" s="2"/>
      <c r="G783" s="10">
        <f t="shared" si="102"/>
        <v>700</v>
      </c>
      <c r="H783" s="10">
        <f t="shared" si="102"/>
        <v>700</v>
      </c>
    </row>
    <row r="784" spans="1:8" ht="31.5" x14ac:dyDescent="0.25">
      <c r="A784" s="24" t="s">
        <v>125</v>
      </c>
      <c r="B784" s="365" t="s">
        <v>531</v>
      </c>
      <c r="C784" s="360" t="s">
        <v>168</v>
      </c>
      <c r="D784" s="360" t="s">
        <v>158</v>
      </c>
      <c r="E784" s="360" t="s">
        <v>126</v>
      </c>
      <c r="F784" s="2"/>
      <c r="G784" s="10">
        <f>'Пр.4.1 ведом.23-24 '!G1048</f>
        <v>700</v>
      </c>
      <c r="H784" s="10">
        <f>'Пр.4.1 ведом.23-24 '!H1048</f>
        <v>700</v>
      </c>
    </row>
    <row r="785" spans="1:8" ht="36.75" customHeight="1" x14ac:dyDescent="0.25">
      <c r="A785" s="31" t="s">
        <v>302</v>
      </c>
      <c r="B785" s="365" t="s">
        <v>531</v>
      </c>
      <c r="C785" s="360" t="s">
        <v>168</v>
      </c>
      <c r="D785" s="360" t="s">
        <v>158</v>
      </c>
      <c r="E785" s="360" t="s">
        <v>126</v>
      </c>
      <c r="F785" s="2">
        <v>908</v>
      </c>
      <c r="G785" s="311">
        <f>G784</f>
        <v>700</v>
      </c>
      <c r="H785" s="311">
        <f>H784</f>
        <v>700</v>
      </c>
    </row>
    <row r="786" spans="1:8" ht="31.5" hidden="1" x14ac:dyDescent="0.25">
      <c r="A786" s="26" t="s">
        <v>532</v>
      </c>
      <c r="B786" s="316" t="s">
        <v>533</v>
      </c>
      <c r="C786" s="360"/>
      <c r="D786" s="360"/>
      <c r="E786" s="360"/>
      <c r="F786" s="2"/>
      <c r="G786" s="38">
        <f>G787</f>
        <v>0</v>
      </c>
      <c r="H786" s="38">
        <f>H787</f>
        <v>0</v>
      </c>
    </row>
    <row r="787" spans="1:8" ht="15.75" hidden="1" x14ac:dyDescent="0.25">
      <c r="A787" s="22" t="s">
        <v>231</v>
      </c>
      <c r="B787" s="360" t="s">
        <v>533</v>
      </c>
      <c r="C787" s="360" t="s">
        <v>168</v>
      </c>
      <c r="D787" s="360"/>
      <c r="E787" s="48"/>
      <c r="F787" s="2"/>
      <c r="G787" s="10">
        <f t="shared" ref="G787:H787" si="103">G788</f>
        <v>0</v>
      </c>
      <c r="H787" s="10">
        <f t="shared" si="103"/>
        <v>0</v>
      </c>
    </row>
    <row r="788" spans="1:8" ht="15.75" hidden="1" x14ac:dyDescent="0.25">
      <c r="A788" s="22" t="s">
        <v>262</v>
      </c>
      <c r="B788" s="360" t="s">
        <v>533</v>
      </c>
      <c r="C788" s="360" t="s">
        <v>168</v>
      </c>
      <c r="D788" s="360" t="s">
        <v>158</v>
      </c>
      <c r="E788" s="48"/>
      <c r="F788" s="2"/>
      <c r="G788" s="10">
        <f>G789</f>
        <v>0</v>
      </c>
      <c r="H788" s="10">
        <f>H789</f>
        <v>0</v>
      </c>
    </row>
    <row r="789" spans="1:8" ht="15.75" hidden="1" customHeight="1" x14ac:dyDescent="0.25">
      <c r="A789" s="31" t="s">
        <v>265</v>
      </c>
      <c r="B789" s="365" t="s">
        <v>536</v>
      </c>
      <c r="C789" s="360" t="s">
        <v>168</v>
      </c>
      <c r="D789" s="360" t="s">
        <v>158</v>
      </c>
      <c r="E789" s="360"/>
      <c r="F789" s="2"/>
      <c r="G789" s="10">
        <f>G790</f>
        <v>0</v>
      </c>
      <c r="H789" s="10">
        <f>H790</f>
        <v>0</v>
      </c>
    </row>
    <row r="790" spans="1:8" ht="31.7" hidden="1" customHeight="1" x14ac:dyDescent="0.25">
      <c r="A790" s="24" t="s">
        <v>123</v>
      </c>
      <c r="B790" s="365" t="s">
        <v>536</v>
      </c>
      <c r="C790" s="360" t="s">
        <v>168</v>
      </c>
      <c r="D790" s="360" t="s">
        <v>158</v>
      </c>
      <c r="E790" s="360" t="s">
        <v>124</v>
      </c>
      <c r="F790" s="2"/>
      <c r="G790" s="10">
        <f t="shared" ref="G790:H790" si="104">G791</f>
        <v>0</v>
      </c>
      <c r="H790" s="10">
        <f t="shared" si="104"/>
        <v>0</v>
      </c>
    </row>
    <row r="791" spans="1:8" ht="31.7" hidden="1" customHeight="1" x14ac:dyDescent="0.25">
      <c r="A791" s="24" t="s">
        <v>125</v>
      </c>
      <c r="B791" s="365" t="s">
        <v>536</v>
      </c>
      <c r="C791" s="360" t="s">
        <v>168</v>
      </c>
      <c r="D791" s="360" t="s">
        <v>158</v>
      </c>
      <c r="E791" s="360" t="s">
        <v>126</v>
      </c>
      <c r="F791" s="2"/>
      <c r="G791" s="10">
        <f>'Пр.3 Рд,пр, ЦС,ВР 22'!F387</f>
        <v>0</v>
      </c>
      <c r="H791" s="10">
        <f>'Пр.3 Рд,пр, ЦС,ВР 22'!G387</f>
        <v>0</v>
      </c>
    </row>
    <row r="792" spans="1:8" ht="31.7" hidden="1" customHeight="1" x14ac:dyDescent="0.25">
      <c r="A792" s="31" t="s">
        <v>302</v>
      </c>
      <c r="B792" s="365" t="s">
        <v>536</v>
      </c>
      <c r="C792" s="360" t="s">
        <v>168</v>
      </c>
      <c r="D792" s="360" t="s">
        <v>158</v>
      </c>
      <c r="E792" s="360" t="s">
        <v>126</v>
      </c>
      <c r="F792" s="2">
        <v>908</v>
      </c>
      <c r="G792" s="311">
        <f>G791</f>
        <v>0</v>
      </c>
      <c r="H792" s="311">
        <f>H791</f>
        <v>0</v>
      </c>
    </row>
    <row r="793" spans="1:8" ht="35.450000000000003" hidden="1" customHeight="1" x14ac:dyDescent="0.25">
      <c r="A793" s="37" t="s">
        <v>534</v>
      </c>
      <c r="B793" s="316" t="s">
        <v>535</v>
      </c>
      <c r="C793" s="360"/>
      <c r="D793" s="360"/>
      <c r="E793" s="360"/>
      <c r="F793" s="2"/>
      <c r="G793" s="38">
        <f>G794</f>
        <v>0</v>
      </c>
      <c r="H793" s="38">
        <f>H794</f>
        <v>0</v>
      </c>
    </row>
    <row r="794" spans="1:8" ht="15.75" hidden="1" customHeight="1" x14ac:dyDescent="0.25">
      <c r="A794" s="22" t="s">
        <v>231</v>
      </c>
      <c r="B794" s="360" t="s">
        <v>535</v>
      </c>
      <c r="C794" s="360" t="s">
        <v>168</v>
      </c>
      <c r="D794" s="360"/>
      <c r="E794" s="48"/>
      <c r="F794" s="2"/>
      <c r="G794" s="10">
        <f t="shared" ref="G794:H794" si="105">G795</f>
        <v>0</v>
      </c>
      <c r="H794" s="10">
        <f t="shared" si="105"/>
        <v>0</v>
      </c>
    </row>
    <row r="795" spans="1:8" ht="15.75" hidden="1" customHeight="1" x14ac:dyDescent="0.25">
      <c r="A795" s="22" t="s">
        <v>262</v>
      </c>
      <c r="B795" s="360" t="s">
        <v>535</v>
      </c>
      <c r="C795" s="360" t="s">
        <v>168</v>
      </c>
      <c r="D795" s="360" t="s">
        <v>158</v>
      </c>
      <c r="E795" s="48"/>
      <c r="F795" s="2"/>
      <c r="G795" s="10">
        <f>G796</f>
        <v>0</v>
      </c>
      <c r="H795" s="10">
        <f>H796</f>
        <v>0</v>
      </c>
    </row>
    <row r="796" spans="1:8" ht="15.75" hidden="1" customHeight="1" x14ac:dyDescent="0.25">
      <c r="A796" s="31" t="s">
        <v>266</v>
      </c>
      <c r="B796" s="365" t="s">
        <v>537</v>
      </c>
      <c r="C796" s="360" t="s">
        <v>168</v>
      </c>
      <c r="D796" s="360" t="s">
        <v>158</v>
      </c>
      <c r="E796" s="360"/>
      <c r="F796" s="2"/>
      <c r="G796" s="10">
        <f>G797</f>
        <v>0</v>
      </c>
      <c r="H796" s="10">
        <f>H797</f>
        <v>0</v>
      </c>
    </row>
    <row r="797" spans="1:8" ht="31.7" hidden="1" customHeight="1" x14ac:dyDescent="0.25">
      <c r="A797" s="24" t="s">
        <v>123</v>
      </c>
      <c r="B797" s="365" t="s">
        <v>537</v>
      </c>
      <c r="C797" s="360" t="s">
        <v>168</v>
      </c>
      <c r="D797" s="360" t="s">
        <v>158</v>
      </c>
      <c r="E797" s="360" t="s">
        <v>124</v>
      </c>
      <c r="F797" s="2"/>
      <c r="G797" s="10">
        <f t="shared" ref="G797:H797" si="106">G798</f>
        <v>0</v>
      </c>
      <c r="H797" s="10">
        <f t="shared" si="106"/>
        <v>0</v>
      </c>
    </row>
    <row r="798" spans="1:8" ht="31.7" hidden="1" customHeight="1" x14ac:dyDescent="0.25">
      <c r="A798" s="24" t="s">
        <v>125</v>
      </c>
      <c r="B798" s="365" t="s">
        <v>537</v>
      </c>
      <c r="C798" s="360" t="s">
        <v>168</v>
      </c>
      <c r="D798" s="360" t="s">
        <v>158</v>
      </c>
      <c r="E798" s="360" t="s">
        <v>126</v>
      </c>
      <c r="F798" s="2"/>
      <c r="G798" s="10">
        <f>'Пр.3 Рд,пр, ЦС,ВР 22'!F391</f>
        <v>0</v>
      </c>
      <c r="H798" s="10">
        <f>'Пр.3 Рд,пр, ЦС,ВР 22'!G391</f>
        <v>0</v>
      </c>
    </row>
    <row r="799" spans="1:8" ht="31.7" hidden="1" customHeight="1" x14ac:dyDescent="0.25">
      <c r="A799" s="31" t="s">
        <v>302</v>
      </c>
      <c r="B799" s="365" t="s">
        <v>537</v>
      </c>
      <c r="C799" s="360" t="s">
        <v>168</v>
      </c>
      <c r="D799" s="360" t="s">
        <v>158</v>
      </c>
      <c r="E799" s="360" t="s">
        <v>126</v>
      </c>
      <c r="F799" s="2">
        <v>908</v>
      </c>
      <c r="G799" s="311">
        <f>G798</f>
        <v>0</v>
      </c>
      <c r="H799" s="311">
        <f>H798</f>
        <v>0</v>
      </c>
    </row>
    <row r="800" spans="1:8" ht="35.450000000000003" hidden="1" customHeight="1" x14ac:dyDescent="0.25">
      <c r="A800" s="37" t="s">
        <v>538</v>
      </c>
      <c r="B800" s="316" t="s">
        <v>539</v>
      </c>
      <c r="C800" s="360"/>
      <c r="D800" s="360"/>
      <c r="E800" s="360"/>
      <c r="F800" s="2"/>
      <c r="G800" s="38">
        <f t="shared" ref="G800:H802" si="107">G801</f>
        <v>0</v>
      </c>
      <c r="H800" s="38">
        <f t="shared" si="107"/>
        <v>0</v>
      </c>
    </row>
    <row r="801" spans="1:8" ht="15.75" hidden="1" customHeight="1" x14ac:dyDescent="0.25">
      <c r="A801" s="22" t="s">
        <v>231</v>
      </c>
      <c r="B801" s="360" t="s">
        <v>539</v>
      </c>
      <c r="C801" s="360" t="s">
        <v>168</v>
      </c>
      <c r="D801" s="360"/>
      <c r="E801" s="48"/>
      <c r="F801" s="2"/>
      <c r="G801" s="10">
        <f t="shared" si="107"/>
        <v>0</v>
      </c>
      <c r="H801" s="10">
        <f t="shared" si="107"/>
        <v>0</v>
      </c>
    </row>
    <row r="802" spans="1:8" ht="15.75" hidden="1" customHeight="1" x14ac:dyDescent="0.25">
      <c r="A802" s="22" t="s">
        <v>262</v>
      </c>
      <c r="B802" s="360" t="s">
        <v>539</v>
      </c>
      <c r="C802" s="360" t="s">
        <v>168</v>
      </c>
      <c r="D802" s="360" t="s">
        <v>158</v>
      </c>
      <c r="E802" s="48"/>
      <c r="F802" s="2"/>
      <c r="G802" s="10">
        <f t="shared" si="107"/>
        <v>0</v>
      </c>
      <c r="H802" s="10">
        <f t="shared" si="107"/>
        <v>0</v>
      </c>
    </row>
    <row r="803" spans="1:8" ht="15.75" hidden="1" x14ac:dyDescent="0.25">
      <c r="A803" s="31" t="s">
        <v>267</v>
      </c>
      <c r="B803" s="365" t="s">
        <v>540</v>
      </c>
      <c r="C803" s="360" t="s">
        <v>168</v>
      </c>
      <c r="D803" s="360" t="s">
        <v>158</v>
      </c>
      <c r="E803" s="360"/>
      <c r="F803" s="2"/>
      <c r="G803" s="10">
        <f t="shared" ref="G803:H804" si="108">G804</f>
        <v>0</v>
      </c>
      <c r="H803" s="10">
        <f t="shared" si="108"/>
        <v>0</v>
      </c>
    </row>
    <row r="804" spans="1:8" ht="31.5" hidden="1" x14ac:dyDescent="0.25">
      <c r="A804" s="24" t="s">
        <v>123</v>
      </c>
      <c r="B804" s="365" t="s">
        <v>540</v>
      </c>
      <c r="C804" s="360" t="s">
        <v>168</v>
      </c>
      <c r="D804" s="360" t="s">
        <v>158</v>
      </c>
      <c r="E804" s="360" t="s">
        <v>124</v>
      </c>
      <c r="F804" s="2"/>
      <c r="G804" s="10">
        <f t="shared" si="108"/>
        <v>0</v>
      </c>
      <c r="H804" s="10">
        <f t="shared" si="108"/>
        <v>0</v>
      </c>
    </row>
    <row r="805" spans="1:8" ht="31.5" hidden="1" x14ac:dyDescent="0.25">
      <c r="A805" s="24" t="s">
        <v>125</v>
      </c>
      <c r="B805" s="365" t="s">
        <v>540</v>
      </c>
      <c r="C805" s="360" t="s">
        <v>168</v>
      </c>
      <c r="D805" s="360" t="s">
        <v>158</v>
      </c>
      <c r="E805" s="360" t="s">
        <v>126</v>
      </c>
      <c r="F805" s="2"/>
      <c r="G805" s="10">
        <f>'Пр.3 Рд,пр, ЦС,ВР 22'!F395</f>
        <v>0</v>
      </c>
      <c r="H805" s="10">
        <f>'Пр.3 Рд,пр, ЦС,ВР 22'!G395</f>
        <v>0</v>
      </c>
    </row>
    <row r="806" spans="1:8" ht="39.200000000000003" hidden="1" customHeight="1" x14ac:dyDescent="0.25">
      <c r="A806" s="31" t="s">
        <v>302</v>
      </c>
      <c r="B806" s="365" t="s">
        <v>540</v>
      </c>
      <c r="C806" s="360" t="s">
        <v>168</v>
      </c>
      <c r="D806" s="360" t="s">
        <v>158</v>
      </c>
      <c r="E806" s="360" t="s">
        <v>126</v>
      </c>
      <c r="F806" s="2">
        <v>908</v>
      </c>
      <c r="G806" s="311">
        <f>G805</f>
        <v>0</v>
      </c>
      <c r="H806" s="311">
        <f>H805</f>
        <v>0</v>
      </c>
    </row>
    <row r="807" spans="1:8" ht="31.5" hidden="1" x14ac:dyDescent="0.25">
      <c r="A807" s="26" t="s">
        <v>577</v>
      </c>
      <c r="B807" s="316" t="s">
        <v>578</v>
      </c>
      <c r="C807" s="360"/>
      <c r="D807" s="360"/>
      <c r="E807" s="360"/>
      <c r="F807" s="2"/>
      <c r="G807" s="38">
        <f>G808</f>
        <v>0</v>
      </c>
      <c r="H807" s="38">
        <f>H808</f>
        <v>0</v>
      </c>
    </row>
    <row r="808" spans="1:8" ht="15.75" hidden="1" x14ac:dyDescent="0.25">
      <c r="A808" s="22" t="s">
        <v>231</v>
      </c>
      <c r="B808" s="360" t="s">
        <v>263</v>
      </c>
      <c r="C808" s="360" t="s">
        <v>168</v>
      </c>
      <c r="D808" s="360"/>
      <c r="E808" s="48"/>
      <c r="F808" s="2"/>
      <c r="G808" s="10">
        <f t="shared" ref="G808:H808" si="109">G809</f>
        <v>0</v>
      </c>
      <c r="H808" s="10">
        <f t="shared" si="109"/>
        <v>0</v>
      </c>
    </row>
    <row r="809" spans="1:8" ht="15.75" hidden="1" x14ac:dyDescent="0.25">
      <c r="A809" s="22" t="s">
        <v>262</v>
      </c>
      <c r="B809" s="360" t="s">
        <v>263</v>
      </c>
      <c r="C809" s="360" t="s">
        <v>168</v>
      </c>
      <c r="D809" s="360" t="s">
        <v>158</v>
      </c>
      <c r="E809" s="48"/>
      <c r="F809" s="2"/>
      <c r="G809" s="10">
        <f>G810</f>
        <v>0</v>
      </c>
      <c r="H809" s="10">
        <f>H810</f>
        <v>0</v>
      </c>
    </row>
    <row r="810" spans="1:8" ht="15.75" hidden="1" customHeight="1" x14ac:dyDescent="0.25">
      <c r="A810" s="31" t="s">
        <v>268</v>
      </c>
      <c r="B810" s="365" t="s">
        <v>581</v>
      </c>
      <c r="C810" s="360" t="s">
        <v>168</v>
      </c>
      <c r="D810" s="360" t="s">
        <v>158</v>
      </c>
      <c r="E810" s="360"/>
      <c r="F810" s="2"/>
      <c r="G810" s="10">
        <f t="shared" ref="G810:H811" si="110">G811</f>
        <v>0</v>
      </c>
      <c r="H810" s="10">
        <f t="shared" si="110"/>
        <v>0</v>
      </c>
    </row>
    <row r="811" spans="1:8" ht="31.7" hidden="1" customHeight="1" x14ac:dyDescent="0.25">
      <c r="A811" s="24" t="s">
        <v>123</v>
      </c>
      <c r="B811" s="365" t="s">
        <v>581</v>
      </c>
      <c r="C811" s="360" t="s">
        <v>168</v>
      </c>
      <c r="D811" s="360" t="s">
        <v>158</v>
      </c>
      <c r="E811" s="360" t="s">
        <v>124</v>
      </c>
      <c r="F811" s="2"/>
      <c r="G811" s="10">
        <f t="shared" si="110"/>
        <v>0</v>
      </c>
      <c r="H811" s="10">
        <f t="shared" si="110"/>
        <v>0</v>
      </c>
    </row>
    <row r="812" spans="1:8" ht="31.7" hidden="1" customHeight="1" x14ac:dyDescent="0.25">
      <c r="A812" s="24" t="s">
        <v>125</v>
      </c>
      <c r="B812" s="365" t="s">
        <v>581</v>
      </c>
      <c r="C812" s="360" t="s">
        <v>168</v>
      </c>
      <c r="D812" s="360" t="s">
        <v>158</v>
      </c>
      <c r="E812" s="360" t="s">
        <v>126</v>
      </c>
      <c r="F812" s="2"/>
      <c r="G812" s="10">
        <f>'Пр.3 Рд,пр, ЦС,ВР 22'!F399</f>
        <v>0</v>
      </c>
      <c r="H812" s="10">
        <f>'Пр.3 Рд,пр, ЦС,ВР 22'!G399</f>
        <v>0</v>
      </c>
    </row>
    <row r="813" spans="1:8" ht="31.7" hidden="1" customHeight="1" x14ac:dyDescent="0.25">
      <c r="A813" s="31" t="s">
        <v>302</v>
      </c>
      <c r="B813" s="365" t="s">
        <v>581</v>
      </c>
      <c r="C813" s="360" t="s">
        <v>168</v>
      </c>
      <c r="D813" s="360" t="s">
        <v>158</v>
      </c>
      <c r="E813" s="360" t="s">
        <v>126</v>
      </c>
      <c r="F813" s="2">
        <v>908</v>
      </c>
      <c r="G813" s="311">
        <f>G812</f>
        <v>0</v>
      </c>
      <c r="H813" s="311">
        <f>H812</f>
        <v>0</v>
      </c>
    </row>
    <row r="814" spans="1:8" ht="31.7" hidden="1" customHeight="1" x14ac:dyDescent="0.25">
      <c r="A814" s="146" t="s">
        <v>579</v>
      </c>
      <c r="B814" s="316" t="s">
        <v>580</v>
      </c>
      <c r="C814" s="360"/>
      <c r="D814" s="360"/>
      <c r="E814" s="360"/>
      <c r="F814" s="2"/>
      <c r="G814" s="38">
        <f>G815</f>
        <v>0</v>
      </c>
      <c r="H814" s="38">
        <f>H815</f>
        <v>0</v>
      </c>
    </row>
    <row r="815" spans="1:8" ht="16.5" hidden="1" customHeight="1" x14ac:dyDescent="0.25">
      <c r="A815" s="22" t="s">
        <v>231</v>
      </c>
      <c r="B815" s="360" t="s">
        <v>263</v>
      </c>
      <c r="C815" s="360" t="s">
        <v>168</v>
      </c>
      <c r="D815" s="360"/>
      <c r="E815" s="48"/>
      <c r="F815" s="2"/>
      <c r="G815" s="10">
        <f t="shared" ref="G815:H815" si="111">G816</f>
        <v>0</v>
      </c>
      <c r="H815" s="10">
        <f t="shared" si="111"/>
        <v>0</v>
      </c>
    </row>
    <row r="816" spans="1:8" ht="19.5" hidden="1" customHeight="1" x14ac:dyDescent="0.25">
      <c r="A816" s="22" t="s">
        <v>262</v>
      </c>
      <c r="B816" s="360" t="s">
        <v>263</v>
      </c>
      <c r="C816" s="360" t="s">
        <v>168</v>
      </c>
      <c r="D816" s="360" t="s">
        <v>158</v>
      </c>
      <c r="E816" s="48"/>
      <c r="F816" s="2"/>
      <c r="G816" s="10">
        <f>G817</f>
        <v>0</v>
      </c>
      <c r="H816" s="10">
        <f>H817</f>
        <v>0</v>
      </c>
    </row>
    <row r="817" spans="1:8" ht="31.7" hidden="1" customHeight="1" x14ac:dyDescent="0.25">
      <c r="A817" s="103" t="s">
        <v>269</v>
      </c>
      <c r="B817" s="365" t="s">
        <v>582</v>
      </c>
      <c r="C817" s="360" t="s">
        <v>168</v>
      </c>
      <c r="D817" s="360" t="s">
        <v>158</v>
      </c>
      <c r="E817" s="360"/>
      <c r="F817" s="2"/>
      <c r="G817" s="10">
        <f t="shared" ref="G817:H818" si="112">G818</f>
        <v>0</v>
      </c>
      <c r="H817" s="10">
        <f t="shared" si="112"/>
        <v>0</v>
      </c>
    </row>
    <row r="818" spans="1:8" ht="31.7" hidden="1" customHeight="1" x14ac:dyDescent="0.25">
      <c r="A818" s="24" t="s">
        <v>123</v>
      </c>
      <c r="B818" s="365" t="s">
        <v>582</v>
      </c>
      <c r="C818" s="360" t="s">
        <v>168</v>
      </c>
      <c r="D818" s="360" t="s">
        <v>158</v>
      </c>
      <c r="E818" s="360" t="s">
        <v>124</v>
      </c>
      <c r="F818" s="2"/>
      <c r="G818" s="10">
        <f t="shared" si="112"/>
        <v>0</v>
      </c>
      <c r="H818" s="10">
        <f t="shared" si="112"/>
        <v>0</v>
      </c>
    </row>
    <row r="819" spans="1:8" ht="31.7" hidden="1" customHeight="1" x14ac:dyDescent="0.25">
      <c r="A819" s="24" t="s">
        <v>125</v>
      </c>
      <c r="B819" s="365" t="s">
        <v>582</v>
      </c>
      <c r="C819" s="360" t="s">
        <v>168</v>
      </c>
      <c r="D819" s="360" t="s">
        <v>158</v>
      </c>
      <c r="E819" s="360" t="s">
        <v>126</v>
      </c>
      <c r="F819" s="2"/>
      <c r="G819" s="10">
        <f>'Пр.3 Рд,пр, ЦС,ВР 22'!F403</f>
        <v>0</v>
      </c>
      <c r="H819" s="10">
        <f>'Пр.3 Рд,пр, ЦС,ВР 22'!G403</f>
        <v>0</v>
      </c>
    </row>
    <row r="820" spans="1:8" ht="31.7" hidden="1" customHeight="1" x14ac:dyDescent="0.25">
      <c r="A820" s="31" t="s">
        <v>302</v>
      </c>
      <c r="B820" s="365" t="s">
        <v>582</v>
      </c>
      <c r="C820" s="360" t="s">
        <v>168</v>
      </c>
      <c r="D820" s="360" t="s">
        <v>158</v>
      </c>
      <c r="E820" s="360" t="s">
        <v>126</v>
      </c>
      <c r="F820" s="2">
        <v>908</v>
      </c>
      <c r="G820" s="311">
        <f>G819</f>
        <v>0</v>
      </c>
      <c r="H820" s="311">
        <f>H819</f>
        <v>0</v>
      </c>
    </row>
    <row r="821" spans="1:8" ht="31.7" hidden="1" customHeight="1" x14ac:dyDescent="0.25">
      <c r="A821" s="146" t="s">
        <v>542</v>
      </c>
      <c r="B821" s="316" t="s">
        <v>543</v>
      </c>
      <c r="C821" s="360"/>
      <c r="D821" s="360"/>
      <c r="E821" s="360"/>
      <c r="F821" s="2"/>
      <c r="G821" s="38">
        <f t="shared" ref="G821:H823" si="113">G822</f>
        <v>0</v>
      </c>
      <c r="H821" s="38">
        <f t="shared" si="113"/>
        <v>0</v>
      </c>
    </row>
    <row r="822" spans="1:8" ht="17.45" hidden="1" customHeight="1" x14ac:dyDescent="0.25">
      <c r="A822" s="22" t="s">
        <v>231</v>
      </c>
      <c r="B822" s="360" t="s">
        <v>263</v>
      </c>
      <c r="C822" s="360" t="s">
        <v>168</v>
      </c>
      <c r="D822" s="360"/>
      <c r="E822" s="48"/>
      <c r="F822" s="2"/>
      <c r="G822" s="10">
        <f t="shared" si="113"/>
        <v>0</v>
      </c>
      <c r="H822" s="10">
        <f t="shared" si="113"/>
        <v>0</v>
      </c>
    </row>
    <row r="823" spans="1:8" ht="20.25" hidden="1" customHeight="1" x14ac:dyDescent="0.25">
      <c r="A823" s="22" t="s">
        <v>262</v>
      </c>
      <c r="B823" s="360" t="s">
        <v>263</v>
      </c>
      <c r="C823" s="360" t="s">
        <v>168</v>
      </c>
      <c r="D823" s="360" t="s">
        <v>158</v>
      </c>
      <c r="E823" s="48"/>
      <c r="F823" s="2"/>
      <c r="G823" s="10">
        <f t="shared" si="113"/>
        <v>0</v>
      </c>
      <c r="H823" s="10">
        <f t="shared" si="113"/>
        <v>0</v>
      </c>
    </row>
    <row r="824" spans="1:8" ht="15.75" hidden="1" x14ac:dyDescent="0.25">
      <c r="A824" s="103" t="s">
        <v>270</v>
      </c>
      <c r="B824" s="365" t="s">
        <v>541</v>
      </c>
      <c r="C824" s="360" t="s">
        <v>168</v>
      </c>
      <c r="D824" s="360" t="s">
        <v>158</v>
      </c>
      <c r="E824" s="360"/>
      <c r="F824" s="2"/>
      <c r="G824" s="10">
        <f t="shared" ref="G824:H825" si="114">G825</f>
        <v>0</v>
      </c>
      <c r="H824" s="10">
        <f t="shared" si="114"/>
        <v>0</v>
      </c>
    </row>
    <row r="825" spans="1:8" ht="31.5" hidden="1" x14ac:dyDescent="0.3">
      <c r="A825" s="364" t="s">
        <v>123</v>
      </c>
      <c r="B825" s="365" t="s">
        <v>541</v>
      </c>
      <c r="C825" s="360" t="s">
        <v>168</v>
      </c>
      <c r="D825" s="360" t="s">
        <v>158</v>
      </c>
      <c r="E825" s="2">
        <v>200</v>
      </c>
      <c r="F825" s="50"/>
      <c r="G825" s="311">
        <f t="shared" si="114"/>
        <v>0</v>
      </c>
      <c r="H825" s="311">
        <f t="shared" si="114"/>
        <v>0</v>
      </c>
    </row>
    <row r="826" spans="1:8" ht="31.5" hidden="1" x14ac:dyDescent="0.3">
      <c r="A826" s="364" t="s">
        <v>125</v>
      </c>
      <c r="B826" s="365" t="s">
        <v>541</v>
      </c>
      <c r="C826" s="360" t="s">
        <v>168</v>
      </c>
      <c r="D826" s="360" t="s">
        <v>158</v>
      </c>
      <c r="E826" s="2">
        <v>240</v>
      </c>
      <c r="F826" s="50"/>
      <c r="G826" s="311">
        <f>'Пр.3 Рд,пр, ЦС,ВР 22'!F407</f>
        <v>0</v>
      </c>
      <c r="H826" s="311">
        <f>'Пр.3 Рд,пр, ЦС,ВР 22'!G407</f>
        <v>0</v>
      </c>
    </row>
    <row r="827" spans="1:8" ht="38.25" hidden="1" customHeight="1" x14ac:dyDescent="0.25">
      <c r="A827" s="31" t="s">
        <v>302</v>
      </c>
      <c r="B827" s="365" t="s">
        <v>541</v>
      </c>
      <c r="C827" s="360" t="s">
        <v>168</v>
      </c>
      <c r="D827" s="360" t="s">
        <v>158</v>
      </c>
      <c r="E827" s="2">
        <v>240</v>
      </c>
      <c r="F827" s="2">
        <v>908</v>
      </c>
      <c r="G827" s="311">
        <f>G826</f>
        <v>0</v>
      </c>
      <c r="H827" s="311">
        <f>H826</f>
        <v>0</v>
      </c>
    </row>
    <row r="828" spans="1:8" ht="39.4" customHeight="1" x14ac:dyDescent="0.25">
      <c r="A828" s="315" t="s">
        <v>852</v>
      </c>
      <c r="B828" s="316" t="s">
        <v>209</v>
      </c>
      <c r="C828" s="7"/>
      <c r="D828" s="7"/>
      <c r="E828" s="3"/>
      <c r="F828" s="3"/>
      <c r="G828" s="310">
        <f t="shared" ref="G828:H830" si="115">G829</f>
        <v>120</v>
      </c>
      <c r="H828" s="310">
        <f t="shared" si="115"/>
        <v>120</v>
      </c>
    </row>
    <row r="829" spans="1:8" ht="31.5" x14ac:dyDescent="0.25">
      <c r="A829" s="315" t="s">
        <v>610</v>
      </c>
      <c r="B829" s="316" t="s">
        <v>611</v>
      </c>
      <c r="C829" s="7"/>
      <c r="D829" s="7"/>
      <c r="E829" s="3"/>
      <c r="F829" s="3"/>
      <c r="G829" s="310">
        <f t="shared" si="115"/>
        <v>120</v>
      </c>
      <c r="H829" s="310">
        <f t="shared" si="115"/>
        <v>120</v>
      </c>
    </row>
    <row r="830" spans="1:8" ht="15.75" x14ac:dyDescent="0.25">
      <c r="A830" s="22" t="s">
        <v>115</v>
      </c>
      <c r="B830" s="365" t="s">
        <v>611</v>
      </c>
      <c r="C830" s="360" t="s">
        <v>116</v>
      </c>
      <c r="D830" s="360"/>
      <c r="E830" s="2"/>
      <c r="F830" s="2"/>
      <c r="G830" s="311">
        <f t="shared" si="115"/>
        <v>120</v>
      </c>
      <c r="H830" s="311">
        <f t="shared" si="115"/>
        <v>120</v>
      </c>
    </row>
    <row r="831" spans="1:8" ht="15.75" x14ac:dyDescent="0.25">
      <c r="A831" s="22" t="s">
        <v>131</v>
      </c>
      <c r="B831" s="365" t="s">
        <v>611</v>
      </c>
      <c r="C831" s="360" t="s">
        <v>116</v>
      </c>
      <c r="D831" s="360" t="s">
        <v>132</v>
      </c>
      <c r="E831" s="2"/>
      <c r="F831" s="2"/>
      <c r="G831" s="311">
        <f>G832+G839+G843+G847+G851</f>
        <v>120</v>
      </c>
      <c r="H831" s="311">
        <f>H832+H839+H843+H847+H851</f>
        <v>120</v>
      </c>
    </row>
    <row r="832" spans="1:8" ht="31.5" x14ac:dyDescent="0.25">
      <c r="A832" s="364" t="s">
        <v>210</v>
      </c>
      <c r="B832" s="365" t="s">
        <v>612</v>
      </c>
      <c r="C832" s="360" t="s">
        <v>116</v>
      </c>
      <c r="D832" s="360" t="s">
        <v>132</v>
      </c>
      <c r="E832" s="2"/>
      <c r="F832" s="2"/>
      <c r="G832" s="311">
        <f>G833+G836</f>
        <v>100</v>
      </c>
      <c r="H832" s="311">
        <f>H833+H836</f>
        <v>100</v>
      </c>
    </row>
    <row r="833" spans="1:8" ht="31.5" x14ac:dyDescent="0.25">
      <c r="A833" s="364" t="s">
        <v>123</v>
      </c>
      <c r="B833" s="365" t="s">
        <v>612</v>
      </c>
      <c r="C833" s="360" t="s">
        <v>116</v>
      </c>
      <c r="D833" s="360" t="s">
        <v>132</v>
      </c>
      <c r="E833" s="2">
        <v>200</v>
      </c>
      <c r="F833" s="2"/>
      <c r="G833" s="311">
        <f t="shared" ref="G833:H833" si="116">G834</f>
        <v>100</v>
      </c>
      <c r="H833" s="311">
        <f t="shared" si="116"/>
        <v>0</v>
      </c>
    </row>
    <row r="834" spans="1:8" ht="31.5" x14ac:dyDescent="0.25">
      <c r="A834" s="364" t="s">
        <v>125</v>
      </c>
      <c r="B834" s="365" t="s">
        <v>612</v>
      </c>
      <c r="C834" s="360" t="s">
        <v>116</v>
      </c>
      <c r="D834" s="360" t="s">
        <v>132</v>
      </c>
      <c r="E834" s="2">
        <v>240</v>
      </c>
      <c r="F834" s="2"/>
      <c r="G834" s="311">
        <f>'Пр.4.1 ведом.23-24 '!G615</f>
        <v>100</v>
      </c>
      <c r="H834" s="311">
        <f>'Пр.4.1 ведом.23-24 '!H615</f>
        <v>0</v>
      </c>
    </row>
    <row r="835" spans="1:8" ht="31.5" x14ac:dyDescent="0.25">
      <c r="A835" s="22" t="s">
        <v>235</v>
      </c>
      <c r="B835" s="365" t="s">
        <v>612</v>
      </c>
      <c r="C835" s="360" t="s">
        <v>116</v>
      </c>
      <c r="D835" s="360" t="s">
        <v>132</v>
      </c>
      <c r="E835" s="2">
        <v>240</v>
      </c>
      <c r="F835" s="2">
        <v>906</v>
      </c>
      <c r="G835" s="311">
        <f>G834</f>
        <v>100</v>
      </c>
      <c r="H835" s="311">
        <f>H834</f>
        <v>0</v>
      </c>
    </row>
    <row r="836" spans="1:8" ht="31.5" x14ac:dyDescent="0.25">
      <c r="A836" s="364" t="s">
        <v>123</v>
      </c>
      <c r="B836" s="365" t="s">
        <v>612</v>
      </c>
      <c r="C836" s="360" t="s">
        <v>116</v>
      </c>
      <c r="D836" s="360" t="s">
        <v>132</v>
      </c>
      <c r="E836" s="2">
        <v>200</v>
      </c>
      <c r="F836" s="2"/>
      <c r="G836" s="311">
        <f t="shared" ref="G836:H836" si="117">G837</f>
        <v>0</v>
      </c>
      <c r="H836" s="311">
        <f t="shared" si="117"/>
        <v>100</v>
      </c>
    </row>
    <row r="837" spans="1:8" ht="31.5" x14ac:dyDescent="0.25">
      <c r="A837" s="364" t="s">
        <v>125</v>
      </c>
      <c r="B837" s="365" t="s">
        <v>612</v>
      </c>
      <c r="C837" s="360" t="s">
        <v>116</v>
      </c>
      <c r="D837" s="360" t="s">
        <v>132</v>
      </c>
      <c r="E837" s="2">
        <v>240</v>
      </c>
      <c r="F837" s="2"/>
      <c r="G837" s="311">
        <f>'Пр.4.1 ведом.23-24 '!G850</f>
        <v>0</v>
      </c>
      <c r="H837" s="311">
        <f>'Пр.4.1 ведом.23-24 '!H850</f>
        <v>100</v>
      </c>
    </row>
    <row r="838" spans="1:8" ht="31.5" x14ac:dyDescent="0.25">
      <c r="A838" s="31" t="s">
        <v>248</v>
      </c>
      <c r="B838" s="365" t="s">
        <v>612</v>
      </c>
      <c r="C838" s="360" t="s">
        <v>116</v>
      </c>
      <c r="D838" s="360" t="s">
        <v>132</v>
      </c>
      <c r="E838" s="2">
        <v>240</v>
      </c>
      <c r="F838" s="2">
        <v>907</v>
      </c>
      <c r="G838" s="311">
        <f>G837</f>
        <v>0</v>
      </c>
      <c r="H838" s="311">
        <f>H837</f>
        <v>100</v>
      </c>
    </row>
    <row r="839" spans="1:8" ht="23.25" customHeight="1" x14ac:dyDescent="0.25">
      <c r="A839" s="364" t="s">
        <v>211</v>
      </c>
      <c r="B839" s="365" t="s">
        <v>613</v>
      </c>
      <c r="C839" s="360" t="s">
        <v>116</v>
      </c>
      <c r="D839" s="360" t="s">
        <v>132</v>
      </c>
      <c r="E839" s="2"/>
      <c r="F839" s="2"/>
      <c r="G839" s="311">
        <f t="shared" ref="G839:H840" si="118">G840</f>
        <v>20</v>
      </c>
      <c r="H839" s="311">
        <f t="shared" si="118"/>
        <v>20</v>
      </c>
    </row>
    <row r="840" spans="1:8" ht="31.5" x14ac:dyDescent="0.25">
      <c r="A840" s="364" t="s">
        <v>123</v>
      </c>
      <c r="B840" s="365" t="s">
        <v>613</v>
      </c>
      <c r="C840" s="360" t="s">
        <v>116</v>
      </c>
      <c r="D840" s="360" t="s">
        <v>132</v>
      </c>
      <c r="E840" s="2">
        <v>200</v>
      </c>
      <c r="F840" s="2"/>
      <c r="G840" s="311">
        <f t="shared" si="118"/>
        <v>20</v>
      </c>
      <c r="H840" s="311">
        <f t="shared" si="118"/>
        <v>20</v>
      </c>
    </row>
    <row r="841" spans="1:8" ht="31.5" x14ac:dyDescent="0.25">
      <c r="A841" s="364" t="s">
        <v>125</v>
      </c>
      <c r="B841" s="365" t="s">
        <v>613</v>
      </c>
      <c r="C841" s="360" t="s">
        <v>116</v>
      </c>
      <c r="D841" s="360" t="s">
        <v>132</v>
      </c>
      <c r="E841" s="2">
        <v>240</v>
      </c>
      <c r="F841" s="2"/>
      <c r="G841" s="311">
        <f>'Пр.4.1 ведом.23-24 '!G268</f>
        <v>20</v>
      </c>
      <c r="H841" s="311">
        <f>'Пр.4.1 ведом.23-24 '!H268</f>
        <v>20</v>
      </c>
    </row>
    <row r="842" spans="1:8" ht="47.25" x14ac:dyDescent="0.25">
      <c r="A842" s="31" t="s">
        <v>185</v>
      </c>
      <c r="B842" s="365" t="s">
        <v>613</v>
      </c>
      <c r="C842" s="360" t="s">
        <v>116</v>
      </c>
      <c r="D842" s="360" t="s">
        <v>132</v>
      </c>
      <c r="E842" s="2">
        <v>240</v>
      </c>
      <c r="F842" s="2">
        <v>903</v>
      </c>
      <c r="G842" s="311">
        <f>G841</f>
        <v>20</v>
      </c>
      <c r="H842" s="311">
        <f>H841</f>
        <v>20</v>
      </c>
    </row>
    <row r="843" spans="1:8" ht="47.25" hidden="1" x14ac:dyDescent="0.25">
      <c r="A843" s="24" t="s">
        <v>351</v>
      </c>
      <c r="B843" s="365" t="s">
        <v>614</v>
      </c>
      <c r="C843" s="360" t="s">
        <v>116</v>
      </c>
      <c r="D843" s="360" t="s">
        <v>132</v>
      </c>
      <c r="E843" s="2"/>
      <c r="F843" s="2"/>
      <c r="G843" s="311">
        <f t="shared" ref="G843:H844" si="119">G844</f>
        <v>0</v>
      </c>
      <c r="H843" s="311">
        <f t="shared" si="119"/>
        <v>0</v>
      </c>
    </row>
    <row r="844" spans="1:8" ht="31.5" hidden="1" x14ac:dyDescent="0.25">
      <c r="A844" s="364" t="s">
        <v>123</v>
      </c>
      <c r="B844" s="365" t="s">
        <v>614</v>
      </c>
      <c r="C844" s="365" t="s">
        <v>116</v>
      </c>
      <c r="D844" s="365" t="s">
        <v>132</v>
      </c>
      <c r="E844" s="365" t="s">
        <v>124</v>
      </c>
      <c r="F844" s="106"/>
      <c r="G844" s="311">
        <f t="shared" si="119"/>
        <v>0</v>
      </c>
      <c r="H844" s="311">
        <f t="shared" si="119"/>
        <v>0</v>
      </c>
    </row>
    <row r="845" spans="1:8" ht="31.5" hidden="1" x14ac:dyDescent="0.25">
      <c r="A845" s="364" t="s">
        <v>125</v>
      </c>
      <c r="B845" s="365" t="s">
        <v>614</v>
      </c>
      <c r="C845" s="365" t="s">
        <v>116</v>
      </c>
      <c r="D845" s="365" t="s">
        <v>132</v>
      </c>
      <c r="E845" s="365" t="s">
        <v>126</v>
      </c>
      <c r="F845" s="106"/>
      <c r="G845" s="311">
        <f>'Пр.4 ведом.22'!G270</f>
        <v>0</v>
      </c>
      <c r="H845" s="311">
        <f>'Пр.4 ведом.22'!H270</f>
        <v>0</v>
      </c>
    </row>
    <row r="846" spans="1:8" ht="47.25" hidden="1" x14ac:dyDescent="0.25">
      <c r="A846" s="31" t="s">
        <v>185</v>
      </c>
      <c r="B846" s="365" t="s">
        <v>614</v>
      </c>
      <c r="C846" s="360" t="s">
        <v>116</v>
      </c>
      <c r="D846" s="360" t="s">
        <v>132</v>
      </c>
      <c r="E846" s="2">
        <v>240</v>
      </c>
      <c r="F846" s="2">
        <v>903</v>
      </c>
      <c r="G846" s="311">
        <f>G845</f>
        <v>0</v>
      </c>
      <c r="H846" s="311">
        <f>H845</f>
        <v>0</v>
      </c>
    </row>
    <row r="847" spans="1:8" ht="31.5" hidden="1" x14ac:dyDescent="0.25">
      <c r="A847" s="364" t="s">
        <v>331</v>
      </c>
      <c r="B847" s="365" t="s">
        <v>615</v>
      </c>
      <c r="C847" s="360" t="s">
        <v>116</v>
      </c>
      <c r="D847" s="360" t="s">
        <v>132</v>
      </c>
      <c r="E847" s="2"/>
      <c r="F847" s="106"/>
      <c r="G847" s="311">
        <f t="shared" ref="G847:H848" si="120">G848</f>
        <v>0</v>
      </c>
      <c r="H847" s="311">
        <f t="shared" si="120"/>
        <v>0</v>
      </c>
    </row>
    <row r="848" spans="1:8" ht="31.5" hidden="1" x14ac:dyDescent="0.25">
      <c r="A848" s="364" t="s">
        <v>123</v>
      </c>
      <c r="B848" s="365" t="s">
        <v>615</v>
      </c>
      <c r="C848" s="360" t="s">
        <v>116</v>
      </c>
      <c r="D848" s="360" t="s">
        <v>132</v>
      </c>
      <c r="E848" s="2">
        <v>200</v>
      </c>
      <c r="F848" s="106"/>
      <c r="G848" s="311">
        <f t="shared" si="120"/>
        <v>0</v>
      </c>
      <c r="H848" s="311">
        <f t="shared" si="120"/>
        <v>0</v>
      </c>
    </row>
    <row r="849" spans="1:9" ht="31.5" hidden="1" x14ac:dyDescent="0.25">
      <c r="A849" s="364" t="s">
        <v>125</v>
      </c>
      <c r="B849" s="365" t="s">
        <v>615</v>
      </c>
      <c r="C849" s="360" t="s">
        <v>116</v>
      </c>
      <c r="D849" s="360" t="s">
        <v>132</v>
      </c>
      <c r="E849" s="2">
        <v>240</v>
      </c>
      <c r="F849" s="106"/>
      <c r="G849" s="311">
        <f>'Пр.4 ведом.22'!G273</f>
        <v>0</v>
      </c>
      <c r="H849" s="311">
        <f>'Пр.4 ведом.22'!H273</f>
        <v>0</v>
      </c>
    </row>
    <row r="850" spans="1:9" ht="47.25" hidden="1" x14ac:dyDescent="0.25">
      <c r="A850" s="31" t="s">
        <v>185</v>
      </c>
      <c r="B850" s="365" t="s">
        <v>615</v>
      </c>
      <c r="C850" s="360" t="s">
        <v>116</v>
      </c>
      <c r="D850" s="360" t="s">
        <v>132</v>
      </c>
      <c r="E850" s="2">
        <v>240</v>
      </c>
      <c r="F850" s="2">
        <v>903</v>
      </c>
      <c r="G850" s="311">
        <f>G849</f>
        <v>0</v>
      </c>
      <c r="H850" s="311">
        <f>H849</f>
        <v>0</v>
      </c>
    </row>
    <row r="851" spans="1:9" ht="31.7" hidden="1" customHeight="1" x14ac:dyDescent="0.25">
      <c r="A851" s="24" t="s">
        <v>352</v>
      </c>
      <c r="B851" s="365" t="s">
        <v>616</v>
      </c>
      <c r="C851" s="365" t="s">
        <v>116</v>
      </c>
      <c r="D851" s="365" t="s">
        <v>132</v>
      </c>
      <c r="E851" s="365"/>
      <c r="F851" s="106"/>
      <c r="G851" s="311">
        <f t="shared" ref="G851:H852" si="121">G852</f>
        <v>0</v>
      </c>
      <c r="H851" s="311">
        <f t="shared" si="121"/>
        <v>0</v>
      </c>
    </row>
    <row r="852" spans="1:9" ht="31.7" hidden="1" customHeight="1" x14ac:dyDescent="0.25">
      <c r="A852" s="364" t="s">
        <v>123</v>
      </c>
      <c r="B852" s="365" t="s">
        <v>616</v>
      </c>
      <c r="C852" s="365" t="s">
        <v>116</v>
      </c>
      <c r="D852" s="365" t="s">
        <v>132</v>
      </c>
      <c r="E852" s="365" t="s">
        <v>124</v>
      </c>
      <c r="F852" s="106"/>
      <c r="G852" s="311">
        <f t="shared" si="121"/>
        <v>0</v>
      </c>
      <c r="H852" s="311">
        <f t="shared" si="121"/>
        <v>0</v>
      </c>
    </row>
    <row r="853" spans="1:9" ht="31.7" hidden="1" customHeight="1" x14ac:dyDescent="0.25">
      <c r="A853" s="364" t="s">
        <v>125</v>
      </c>
      <c r="B853" s="365" t="s">
        <v>616</v>
      </c>
      <c r="C853" s="365" t="s">
        <v>116</v>
      </c>
      <c r="D853" s="365" t="s">
        <v>132</v>
      </c>
      <c r="E853" s="365" t="s">
        <v>126</v>
      </c>
      <c r="F853" s="106"/>
      <c r="G853" s="311">
        <f>'Пр.4 ведом.22'!G276</f>
        <v>0</v>
      </c>
      <c r="H853" s="311">
        <f>'Пр.4 ведом.22'!H276</f>
        <v>0</v>
      </c>
    </row>
    <row r="854" spans="1:9" ht="47.25" hidden="1" x14ac:dyDescent="0.25">
      <c r="A854" s="31" t="s">
        <v>185</v>
      </c>
      <c r="B854" s="365" t="s">
        <v>616</v>
      </c>
      <c r="C854" s="365" t="s">
        <v>116</v>
      </c>
      <c r="D854" s="365" t="s">
        <v>132</v>
      </c>
      <c r="E854" s="365" t="s">
        <v>126</v>
      </c>
      <c r="F854" s="2">
        <v>903</v>
      </c>
      <c r="G854" s="311">
        <f>G853</f>
        <v>0</v>
      </c>
      <c r="H854" s="311">
        <f>H853</f>
        <v>0</v>
      </c>
    </row>
    <row r="855" spans="1:9" ht="48.75" customHeight="1" x14ac:dyDescent="0.25">
      <c r="A855" s="359" t="s">
        <v>855</v>
      </c>
      <c r="B855" s="316" t="s">
        <v>339</v>
      </c>
      <c r="C855" s="7"/>
      <c r="D855" s="7"/>
      <c r="E855" s="3"/>
      <c r="F855" s="3"/>
      <c r="G855" s="310">
        <f>G856+G867+G910+G917</f>
        <v>3826.6399999999994</v>
      </c>
      <c r="H855" s="310">
        <f>H856+H867+H910+H917</f>
        <v>3826.6399999999994</v>
      </c>
      <c r="I855" s="16">
        <f>H855-G855</f>
        <v>0</v>
      </c>
    </row>
    <row r="856" spans="1:9" ht="48.75" customHeight="1" x14ac:dyDescent="0.25">
      <c r="A856" s="358" t="s">
        <v>422</v>
      </c>
      <c r="B856" s="316" t="s">
        <v>428</v>
      </c>
      <c r="C856" s="7"/>
      <c r="D856" s="7"/>
      <c r="E856" s="3"/>
      <c r="F856" s="3"/>
      <c r="G856" s="310">
        <f>G857</f>
        <v>43</v>
      </c>
      <c r="H856" s="310">
        <f>H857</f>
        <v>43</v>
      </c>
      <c r="I856" s="16"/>
    </row>
    <row r="857" spans="1:9" s="77" customFormat="1" ht="15.75" x14ac:dyDescent="0.25">
      <c r="A857" s="22" t="s">
        <v>115</v>
      </c>
      <c r="B857" s="365" t="s">
        <v>428</v>
      </c>
      <c r="C857" s="360" t="s">
        <v>116</v>
      </c>
      <c r="D857" s="360"/>
      <c r="E857" s="2"/>
      <c r="F857" s="2"/>
      <c r="G857" s="311">
        <f t="shared" ref="G857:H857" si="122">G858</f>
        <v>43</v>
      </c>
      <c r="H857" s="311">
        <f t="shared" si="122"/>
        <v>43</v>
      </c>
    </row>
    <row r="858" spans="1:9" s="77" customFormat="1" ht="15.75" x14ac:dyDescent="0.25">
      <c r="A858" s="22" t="s">
        <v>131</v>
      </c>
      <c r="B858" s="365" t="s">
        <v>428</v>
      </c>
      <c r="C858" s="360" t="s">
        <v>116</v>
      </c>
      <c r="D858" s="360" t="s">
        <v>132</v>
      </c>
      <c r="E858" s="2"/>
      <c r="F858" s="2"/>
      <c r="G858" s="311">
        <f>G859+G863</f>
        <v>43</v>
      </c>
      <c r="H858" s="311">
        <f>H859+H863</f>
        <v>43</v>
      </c>
    </row>
    <row r="859" spans="1:9" ht="31.5" x14ac:dyDescent="0.25">
      <c r="A859" s="70" t="s">
        <v>355</v>
      </c>
      <c r="B859" s="365" t="s">
        <v>423</v>
      </c>
      <c r="C859" s="360" t="s">
        <v>116</v>
      </c>
      <c r="D859" s="360" t="s">
        <v>132</v>
      </c>
      <c r="E859" s="2"/>
      <c r="F859" s="2"/>
      <c r="G859" s="311">
        <f t="shared" ref="G859:H860" si="123">G860</f>
        <v>37</v>
      </c>
      <c r="H859" s="311">
        <f t="shared" si="123"/>
        <v>37</v>
      </c>
    </row>
    <row r="860" spans="1:9" ht="31.5" x14ac:dyDescent="0.25">
      <c r="A860" s="364" t="s">
        <v>123</v>
      </c>
      <c r="B860" s="365" t="s">
        <v>423</v>
      </c>
      <c r="C860" s="360" t="s">
        <v>116</v>
      </c>
      <c r="D860" s="360" t="s">
        <v>132</v>
      </c>
      <c r="E860" s="2">
        <v>200</v>
      </c>
      <c r="F860" s="2"/>
      <c r="G860" s="311">
        <f t="shared" si="123"/>
        <v>37</v>
      </c>
      <c r="H860" s="311">
        <f t="shared" si="123"/>
        <v>37</v>
      </c>
    </row>
    <row r="861" spans="1:9" ht="31.5" x14ac:dyDescent="0.25">
      <c r="A861" s="364" t="s">
        <v>125</v>
      </c>
      <c r="B861" s="365" t="s">
        <v>423</v>
      </c>
      <c r="C861" s="360" t="s">
        <v>116</v>
      </c>
      <c r="D861" s="360" t="s">
        <v>132</v>
      </c>
      <c r="E861" s="2">
        <v>240</v>
      </c>
      <c r="F861" s="2"/>
      <c r="G861" s="311">
        <f>'Пр.4.1 ведом.23-24 '!G144</f>
        <v>37</v>
      </c>
      <c r="H861" s="311">
        <f>'Пр.4.1 ведом.23-24 '!H144</f>
        <v>37</v>
      </c>
    </row>
    <row r="862" spans="1:9" ht="19.5" customHeight="1" x14ac:dyDescent="0.25">
      <c r="A862" s="22" t="s">
        <v>137</v>
      </c>
      <c r="B862" s="365" t="s">
        <v>423</v>
      </c>
      <c r="C862" s="360" t="s">
        <v>116</v>
      </c>
      <c r="D862" s="360" t="s">
        <v>132</v>
      </c>
      <c r="E862" s="2">
        <v>240</v>
      </c>
      <c r="F862" s="2">
        <v>902</v>
      </c>
      <c r="G862" s="311">
        <f>G861</f>
        <v>37</v>
      </c>
      <c r="H862" s="311">
        <f>H861</f>
        <v>37</v>
      </c>
    </row>
    <row r="863" spans="1:9" ht="31.5" x14ac:dyDescent="0.25">
      <c r="A863" s="70" t="s">
        <v>355</v>
      </c>
      <c r="B863" s="365" t="s">
        <v>423</v>
      </c>
      <c r="C863" s="360" t="s">
        <v>116</v>
      </c>
      <c r="D863" s="360" t="s">
        <v>132</v>
      </c>
      <c r="E863" s="2"/>
      <c r="F863" s="2"/>
      <c r="G863" s="311">
        <f>G864</f>
        <v>6</v>
      </c>
      <c r="H863" s="311">
        <f>H864</f>
        <v>6</v>
      </c>
    </row>
    <row r="864" spans="1:9" ht="31.5" x14ac:dyDescent="0.25">
      <c r="A864" s="364" t="s">
        <v>123</v>
      </c>
      <c r="B864" s="365" t="s">
        <v>423</v>
      </c>
      <c r="C864" s="360" t="s">
        <v>116</v>
      </c>
      <c r="D864" s="360" t="s">
        <v>132</v>
      </c>
      <c r="E864" s="2">
        <v>200</v>
      </c>
      <c r="F864" s="2"/>
      <c r="G864" s="311">
        <f>G865</f>
        <v>6</v>
      </c>
      <c r="H864" s="311">
        <f>H865</f>
        <v>6</v>
      </c>
    </row>
    <row r="865" spans="1:14" ht="31.5" x14ac:dyDescent="0.25">
      <c r="A865" s="364" t="s">
        <v>125</v>
      </c>
      <c r="B865" s="365" t="s">
        <v>423</v>
      </c>
      <c r="C865" s="360" t="s">
        <v>116</v>
      </c>
      <c r="D865" s="360" t="s">
        <v>132</v>
      </c>
      <c r="E865" s="2">
        <v>240</v>
      </c>
      <c r="F865" s="2"/>
      <c r="G865" s="311">
        <f>'Пр.4.1 ведом.23-24 '!G282</f>
        <v>6</v>
      </c>
      <c r="H865" s="311">
        <f>'Пр.4.1 ведом.23-24 '!H282</f>
        <v>6</v>
      </c>
    </row>
    <row r="866" spans="1:14" ht="47.25" x14ac:dyDescent="0.25">
      <c r="A866" s="31" t="s">
        <v>185</v>
      </c>
      <c r="B866" s="365" t="s">
        <v>423</v>
      </c>
      <c r="C866" s="360" t="s">
        <v>116</v>
      </c>
      <c r="D866" s="360" t="s">
        <v>132</v>
      </c>
      <c r="E866" s="2">
        <v>240</v>
      </c>
      <c r="F866" s="2">
        <v>903</v>
      </c>
      <c r="G866" s="311">
        <f>G865</f>
        <v>6</v>
      </c>
      <c r="H866" s="311">
        <f>H865</f>
        <v>6</v>
      </c>
    </row>
    <row r="867" spans="1:14" ht="47.25" x14ac:dyDescent="0.25">
      <c r="A867" s="359" t="s">
        <v>463</v>
      </c>
      <c r="B867" s="316" t="s">
        <v>461</v>
      </c>
      <c r="C867" s="360"/>
      <c r="D867" s="360"/>
      <c r="E867" s="2"/>
      <c r="F867" s="2"/>
      <c r="G867" s="310">
        <f>G868+G888+G898+G904</f>
        <v>3768.6399999999994</v>
      </c>
      <c r="H867" s="310">
        <f>H868+H888+H898+H904</f>
        <v>3768.6399999999994</v>
      </c>
      <c r="K867" s="16"/>
      <c r="N867" s="156"/>
    </row>
    <row r="868" spans="1:14" ht="15.75" x14ac:dyDescent="0.25">
      <c r="A868" s="22" t="s">
        <v>186</v>
      </c>
      <c r="B868" s="365" t="s">
        <v>461</v>
      </c>
      <c r="C868" s="360" t="s">
        <v>187</v>
      </c>
      <c r="D868" s="360"/>
      <c r="E868" s="2"/>
      <c r="F868" s="2"/>
      <c r="G868" s="311">
        <f>G869+G875+G879</f>
        <v>2235.9399999999996</v>
      </c>
      <c r="H868" s="311">
        <f>H869+H875+H879</f>
        <v>2235.9399999999996</v>
      </c>
    </row>
    <row r="869" spans="1:14" ht="15.75" x14ac:dyDescent="0.25">
      <c r="A869" s="22" t="s">
        <v>236</v>
      </c>
      <c r="B869" s="365" t="s">
        <v>461</v>
      </c>
      <c r="C869" s="360" t="s">
        <v>187</v>
      </c>
      <c r="D869" s="360" t="s">
        <v>116</v>
      </c>
      <c r="E869" s="2"/>
      <c r="F869" s="2"/>
      <c r="G869" s="311">
        <f t="shared" ref="G869:H871" si="124">G870</f>
        <v>571.79999999999995</v>
      </c>
      <c r="H869" s="311">
        <f t="shared" si="124"/>
        <v>571.79999999999995</v>
      </c>
    </row>
    <row r="870" spans="1:14" ht="47.25" x14ac:dyDescent="0.25">
      <c r="A870" s="31" t="s">
        <v>359</v>
      </c>
      <c r="B870" s="365" t="s">
        <v>506</v>
      </c>
      <c r="C870" s="360" t="s">
        <v>187</v>
      </c>
      <c r="D870" s="360" t="s">
        <v>116</v>
      </c>
      <c r="E870" s="2"/>
      <c r="F870" s="2"/>
      <c r="G870" s="311">
        <f t="shared" si="124"/>
        <v>571.79999999999995</v>
      </c>
      <c r="H870" s="311">
        <f t="shared" si="124"/>
        <v>571.79999999999995</v>
      </c>
      <c r="N870" s="156"/>
    </row>
    <row r="871" spans="1:14" ht="31.5" x14ac:dyDescent="0.25">
      <c r="A871" s="22" t="s">
        <v>191</v>
      </c>
      <c r="B871" s="365" t="s">
        <v>506</v>
      </c>
      <c r="C871" s="360" t="s">
        <v>187</v>
      </c>
      <c r="D871" s="360" t="s">
        <v>116</v>
      </c>
      <c r="E871" s="2">
        <v>600</v>
      </c>
      <c r="F871" s="2"/>
      <c r="G871" s="311">
        <f t="shared" si="124"/>
        <v>571.79999999999995</v>
      </c>
      <c r="H871" s="311">
        <f t="shared" si="124"/>
        <v>571.79999999999995</v>
      </c>
    </row>
    <row r="872" spans="1:14" ht="15.75" x14ac:dyDescent="0.25">
      <c r="A872" s="111" t="s">
        <v>193</v>
      </c>
      <c r="B872" s="365" t="s">
        <v>506</v>
      </c>
      <c r="C872" s="360" t="s">
        <v>187</v>
      </c>
      <c r="D872" s="360" t="s">
        <v>116</v>
      </c>
      <c r="E872" s="2">
        <v>610</v>
      </c>
      <c r="F872" s="2"/>
      <c r="G872" s="311">
        <f>'Пр.4.1 ведом.23-24 '!G678</f>
        <v>571.79999999999995</v>
      </c>
      <c r="H872" s="311">
        <f>'Пр.4.1 ведом.23-24 '!H678</f>
        <v>571.79999999999995</v>
      </c>
    </row>
    <row r="873" spans="1:14" ht="31.5" x14ac:dyDescent="0.25">
      <c r="A873" s="22" t="s">
        <v>235</v>
      </c>
      <c r="B873" s="365" t="s">
        <v>506</v>
      </c>
      <c r="C873" s="360" t="s">
        <v>187</v>
      </c>
      <c r="D873" s="360" t="s">
        <v>116</v>
      </c>
      <c r="E873" s="2">
        <v>610</v>
      </c>
      <c r="F873" s="2">
        <v>906</v>
      </c>
      <c r="G873" s="311">
        <f>G872</f>
        <v>571.79999999999995</v>
      </c>
      <c r="H873" s="311">
        <f>H872</f>
        <v>571.79999999999995</v>
      </c>
    </row>
    <row r="874" spans="1:14" ht="15.75" x14ac:dyDescent="0.25">
      <c r="A874" s="31" t="s">
        <v>239</v>
      </c>
      <c r="B874" s="365" t="s">
        <v>461</v>
      </c>
      <c r="C874" s="360" t="s">
        <v>187</v>
      </c>
      <c r="D874" s="360" t="s">
        <v>158</v>
      </c>
      <c r="E874" s="2"/>
      <c r="F874" s="2"/>
      <c r="G874" s="311">
        <f t="shared" ref="G874:H876" si="125">G875</f>
        <v>870.84</v>
      </c>
      <c r="H874" s="311">
        <f t="shared" si="125"/>
        <v>870.84</v>
      </c>
    </row>
    <row r="875" spans="1:14" ht="47.25" x14ac:dyDescent="0.25">
      <c r="A875" s="31" t="s">
        <v>359</v>
      </c>
      <c r="B875" s="365" t="s">
        <v>506</v>
      </c>
      <c r="C875" s="360" t="s">
        <v>187</v>
      </c>
      <c r="D875" s="360" t="s">
        <v>158</v>
      </c>
      <c r="E875" s="2"/>
      <c r="F875" s="2"/>
      <c r="G875" s="311">
        <f t="shared" si="125"/>
        <v>870.84</v>
      </c>
      <c r="H875" s="311">
        <f t="shared" si="125"/>
        <v>870.84</v>
      </c>
    </row>
    <row r="876" spans="1:14" ht="31.5" x14ac:dyDescent="0.25">
      <c r="A876" s="22" t="s">
        <v>191</v>
      </c>
      <c r="B876" s="365" t="s">
        <v>506</v>
      </c>
      <c r="C876" s="360" t="s">
        <v>187</v>
      </c>
      <c r="D876" s="360" t="s">
        <v>158</v>
      </c>
      <c r="E876" s="2">
        <v>600</v>
      </c>
      <c r="F876" s="2"/>
      <c r="G876" s="311">
        <f t="shared" si="125"/>
        <v>870.84</v>
      </c>
      <c r="H876" s="311">
        <f t="shared" si="125"/>
        <v>870.84</v>
      </c>
    </row>
    <row r="877" spans="1:14" ht="15.75" x14ac:dyDescent="0.25">
      <c r="A877" s="111" t="s">
        <v>193</v>
      </c>
      <c r="B877" s="365" t="s">
        <v>506</v>
      </c>
      <c r="C877" s="360" t="s">
        <v>187</v>
      </c>
      <c r="D877" s="360" t="s">
        <v>158</v>
      </c>
      <c r="E877" s="2">
        <v>610</v>
      </c>
      <c r="F877" s="2"/>
      <c r="G877" s="311">
        <f>'Пр.4.1 ведом.23-24 '!G767</f>
        <v>870.84</v>
      </c>
      <c r="H877" s="311">
        <f>'Пр.4.1 ведом.23-24 '!H767</f>
        <v>870.84</v>
      </c>
    </row>
    <row r="878" spans="1:14" ht="31.5" x14ac:dyDescent="0.25">
      <c r="A878" s="22" t="s">
        <v>235</v>
      </c>
      <c r="B878" s="365" t="s">
        <v>506</v>
      </c>
      <c r="C878" s="360" t="s">
        <v>187</v>
      </c>
      <c r="D878" s="360" t="s">
        <v>158</v>
      </c>
      <c r="E878" s="2">
        <v>610</v>
      </c>
      <c r="F878" s="2">
        <v>906</v>
      </c>
      <c r="G878" s="311">
        <f>G877</f>
        <v>870.84</v>
      </c>
      <c r="H878" s="311">
        <f>H877</f>
        <v>870.84</v>
      </c>
    </row>
    <row r="879" spans="1:14" ht="15.75" x14ac:dyDescent="0.25">
      <c r="A879" s="31" t="s">
        <v>188</v>
      </c>
      <c r="B879" s="365" t="s">
        <v>461</v>
      </c>
      <c r="C879" s="360" t="s">
        <v>187</v>
      </c>
      <c r="D879" s="360" t="s">
        <v>159</v>
      </c>
      <c r="E879" s="2"/>
      <c r="F879" s="2"/>
      <c r="G879" s="311">
        <f>G884+G880</f>
        <v>793.3</v>
      </c>
      <c r="H879" s="311">
        <f>H884+H880</f>
        <v>793.3</v>
      </c>
    </row>
    <row r="880" spans="1:14" ht="31.5" x14ac:dyDescent="0.25">
      <c r="A880" s="70" t="s">
        <v>567</v>
      </c>
      <c r="B880" s="365" t="s">
        <v>462</v>
      </c>
      <c r="C880" s="360" t="s">
        <v>187</v>
      </c>
      <c r="D880" s="360" t="s">
        <v>159</v>
      </c>
      <c r="E880" s="2"/>
      <c r="F880" s="2"/>
      <c r="G880" s="311">
        <f>G881</f>
        <v>490.9</v>
      </c>
      <c r="H880" s="311">
        <f>H881</f>
        <v>490.9</v>
      </c>
    </row>
    <row r="881" spans="1:8" ht="31.5" x14ac:dyDescent="0.25">
      <c r="A881" s="364" t="s">
        <v>123</v>
      </c>
      <c r="B881" s="365" t="s">
        <v>462</v>
      </c>
      <c r="C881" s="360" t="s">
        <v>187</v>
      </c>
      <c r="D881" s="360" t="s">
        <v>159</v>
      </c>
      <c r="E881" s="2">
        <v>200</v>
      </c>
      <c r="F881" s="2"/>
      <c r="G881" s="311">
        <f>G882</f>
        <v>490.9</v>
      </c>
      <c r="H881" s="311">
        <f>H882</f>
        <v>490.9</v>
      </c>
    </row>
    <row r="882" spans="1:8" ht="31.5" x14ac:dyDescent="0.25">
      <c r="A882" s="364" t="s">
        <v>125</v>
      </c>
      <c r="B882" s="365" t="s">
        <v>462</v>
      </c>
      <c r="C882" s="360" t="s">
        <v>187</v>
      </c>
      <c r="D882" s="360" t="s">
        <v>159</v>
      </c>
      <c r="E882" s="2">
        <v>240</v>
      </c>
      <c r="F882" s="2"/>
      <c r="G882" s="311">
        <f>'Пр.4.1 ведом.23-24 '!G346</f>
        <v>490.9</v>
      </c>
      <c r="H882" s="311">
        <f>'Пр.4.1 ведом.23-24 '!H346</f>
        <v>490.9</v>
      </c>
    </row>
    <row r="883" spans="1:8" ht="47.25" x14ac:dyDescent="0.25">
      <c r="A883" s="31" t="s">
        <v>185</v>
      </c>
      <c r="B883" s="365" t="s">
        <v>462</v>
      </c>
      <c r="C883" s="360" t="s">
        <v>187</v>
      </c>
      <c r="D883" s="360" t="s">
        <v>159</v>
      </c>
      <c r="E883" s="2">
        <v>240</v>
      </c>
      <c r="F883" s="2">
        <v>903</v>
      </c>
      <c r="G883" s="311">
        <f>G882</f>
        <v>490.9</v>
      </c>
      <c r="H883" s="311">
        <f>H882</f>
        <v>490.9</v>
      </c>
    </row>
    <row r="884" spans="1:8" ht="47.25" x14ac:dyDescent="0.25">
      <c r="A884" s="31" t="s">
        <v>359</v>
      </c>
      <c r="B884" s="365" t="s">
        <v>506</v>
      </c>
      <c r="C884" s="360" t="s">
        <v>187</v>
      </c>
      <c r="D884" s="360" t="s">
        <v>159</v>
      </c>
      <c r="E884" s="2"/>
      <c r="F884" s="2"/>
      <c r="G884" s="311">
        <f>G885</f>
        <v>302.39999999999998</v>
      </c>
      <c r="H884" s="311">
        <f>H885</f>
        <v>302.39999999999998</v>
      </c>
    </row>
    <row r="885" spans="1:8" ht="31.5" x14ac:dyDescent="0.25">
      <c r="A885" s="22" t="s">
        <v>191</v>
      </c>
      <c r="B885" s="365" t="s">
        <v>506</v>
      </c>
      <c r="C885" s="360" t="s">
        <v>187</v>
      </c>
      <c r="D885" s="360" t="s">
        <v>159</v>
      </c>
      <c r="E885" s="2">
        <v>600</v>
      </c>
      <c r="F885" s="2"/>
      <c r="G885" s="311">
        <f>G886</f>
        <v>302.39999999999998</v>
      </c>
      <c r="H885" s="311">
        <f>H886</f>
        <v>302.39999999999998</v>
      </c>
    </row>
    <row r="886" spans="1:8" ht="15.75" x14ac:dyDescent="0.25">
      <c r="A886" s="111" t="s">
        <v>193</v>
      </c>
      <c r="B886" s="365" t="s">
        <v>506</v>
      </c>
      <c r="C886" s="360" t="s">
        <v>187</v>
      </c>
      <c r="D886" s="360" t="s">
        <v>159</v>
      </c>
      <c r="E886" s="2">
        <v>610</v>
      </c>
      <c r="F886" s="2"/>
      <c r="G886" s="311">
        <f>'Пр.4.1 ведом.23-24 '!G800</f>
        <v>302.39999999999998</v>
      </c>
      <c r="H886" s="311">
        <f>'Пр.4.1 ведом.23-24 '!H800</f>
        <v>302.39999999999998</v>
      </c>
    </row>
    <row r="887" spans="1:8" ht="31.5" x14ac:dyDescent="0.25">
      <c r="A887" s="22" t="s">
        <v>235</v>
      </c>
      <c r="B887" s="365" t="s">
        <v>506</v>
      </c>
      <c r="C887" s="360" t="s">
        <v>187</v>
      </c>
      <c r="D887" s="360" t="s">
        <v>159</v>
      </c>
      <c r="E887" s="2">
        <v>610</v>
      </c>
      <c r="F887" s="2">
        <v>906</v>
      </c>
      <c r="G887" s="311">
        <f>G886</f>
        <v>302.39999999999998</v>
      </c>
      <c r="H887" s="311">
        <f>H886</f>
        <v>302.39999999999998</v>
      </c>
    </row>
    <row r="888" spans="1:8" ht="15.75" x14ac:dyDescent="0.25">
      <c r="A888" s="364" t="s">
        <v>202</v>
      </c>
      <c r="B888" s="365" t="s">
        <v>461</v>
      </c>
      <c r="C888" s="360" t="s">
        <v>203</v>
      </c>
      <c r="D888" s="360"/>
      <c r="E888" s="2"/>
      <c r="F888" s="2"/>
      <c r="G888" s="311">
        <f t="shared" ref="G888:H891" si="126">G889</f>
        <v>878.7</v>
      </c>
      <c r="H888" s="311">
        <f t="shared" si="126"/>
        <v>878.7</v>
      </c>
    </row>
    <row r="889" spans="1:8" ht="15.75" x14ac:dyDescent="0.25">
      <c r="A889" s="364" t="s">
        <v>204</v>
      </c>
      <c r="B889" s="365" t="s">
        <v>461</v>
      </c>
      <c r="C889" s="360" t="s">
        <v>203</v>
      </c>
      <c r="D889" s="360" t="s">
        <v>116</v>
      </c>
      <c r="E889" s="2"/>
      <c r="F889" s="2"/>
      <c r="G889" s="311">
        <f>G890+G894</f>
        <v>878.7</v>
      </c>
      <c r="H889" s="311">
        <f>H890+H894</f>
        <v>878.7</v>
      </c>
    </row>
    <row r="890" spans="1:8" ht="31.5" x14ac:dyDescent="0.25">
      <c r="A890" s="31" t="s">
        <v>357</v>
      </c>
      <c r="B890" s="365" t="s">
        <v>462</v>
      </c>
      <c r="C890" s="360" t="s">
        <v>203</v>
      </c>
      <c r="D890" s="360" t="s">
        <v>116</v>
      </c>
      <c r="E890" s="2"/>
      <c r="F890" s="2"/>
      <c r="G890" s="311">
        <f t="shared" si="126"/>
        <v>506.80000000000007</v>
      </c>
      <c r="H890" s="311">
        <f t="shared" si="126"/>
        <v>506.80000000000007</v>
      </c>
    </row>
    <row r="891" spans="1:8" ht="31.5" x14ac:dyDescent="0.25">
      <c r="A891" s="364" t="s">
        <v>123</v>
      </c>
      <c r="B891" s="365" t="s">
        <v>462</v>
      </c>
      <c r="C891" s="360" t="s">
        <v>203</v>
      </c>
      <c r="D891" s="360" t="s">
        <v>116</v>
      </c>
      <c r="E891" s="2">
        <v>200</v>
      </c>
      <c r="F891" s="2"/>
      <c r="G891" s="311">
        <f t="shared" si="126"/>
        <v>506.80000000000007</v>
      </c>
      <c r="H891" s="311">
        <f t="shared" si="126"/>
        <v>506.80000000000007</v>
      </c>
    </row>
    <row r="892" spans="1:8" ht="31.5" x14ac:dyDescent="0.25">
      <c r="A892" s="364" t="s">
        <v>125</v>
      </c>
      <c r="B892" s="365" t="s">
        <v>462</v>
      </c>
      <c r="C892" s="360" t="s">
        <v>203</v>
      </c>
      <c r="D892" s="360" t="s">
        <v>116</v>
      </c>
      <c r="E892" s="2">
        <v>240</v>
      </c>
      <c r="F892" s="2"/>
      <c r="G892" s="311">
        <f>'Пр.4.1 ведом.23-24 '!G451</f>
        <v>506.80000000000007</v>
      </c>
      <c r="H892" s="311">
        <f>'Пр.4.1 ведом.23-24 '!H451</f>
        <v>506.80000000000007</v>
      </c>
    </row>
    <row r="893" spans="1:8" ht="47.25" x14ac:dyDescent="0.25">
      <c r="A893" s="31" t="s">
        <v>185</v>
      </c>
      <c r="B893" s="365" t="s">
        <v>462</v>
      </c>
      <c r="C893" s="360" t="s">
        <v>203</v>
      </c>
      <c r="D893" s="360" t="s">
        <v>116</v>
      </c>
      <c r="E893" s="2">
        <v>240</v>
      </c>
      <c r="F893" s="2">
        <v>903</v>
      </c>
      <c r="G893" s="311">
        <f>G892</f>
        <v>506.80000000000007</v>
      </c>
      <c r="H893" s="311">
        <f>H892</f>
        <v>506.80000000000007</v>
      </c>
    </row>
    <row r="894" spans="1:8" ht="47.25" x14ac:dyDescent="0.25">
      <c r="A894" s="364" t="s">
        <v>359</v>
      </c>
      <c r="B894" s="365" t="s">
        <v>506</v>
      </c>
      <c r="C894" s="360" t="s">
        <v>203</v>
      </c>
      <c r="D894" s="360" t="s">
        <v>116</v>
      </c>
      <c r="E894" s="2"/>
      <c r="F894" s="2"/>
      <c r="G894" s="311">
        <f>G895</f>
        <v>371.9</v>
      </c>
      <c r="H894" s="311">
        <f>H895</f>
        <v>371.9</v>
      </c>
    </row>
    <row r="895" spans="1:8" ht="31.5" x14ac:dyDescent="0.25">
      <c r="A895" s="364" t="s">
        <v>191</v>
      </c>
      <c r="B895" s="365" t="s">
        <v>506</v>
      </c>
      <c r="C895" s="360" t="s">
        <v>203</v>
      </c>
      <c r="D895" s="360" t="s">
        <v>116</v>
      </c>
      <c r="E895" s="2">
        <v>600</v>
      </c>
      <c r="F895" s="2"/>
      <c r="G895" s="311">
        <f>G896</f>
        <v>371.9</v>
      </c>
      <c r="H895" s="311">
        <f>H896</f>
        <v>371.9</v>
      </c>
    </row>
    <row r="896" spans="1:8" ht="15.75" x14ac:dyDescent="0.25">
      <c r="A896" s="364" t="s">
        <v>193</v>
      </c>
      <c r="B896" s="365" t="s">
        <v>506</v>
      </c>
      <c r="C896" s="360" t="s">
        <v>203</v>
      </c>
      <c r="D896" s="360" t="s">
        <v>116</v>
      </c>
      <c r="E896" s="2">
        <v>610</v>
      </c>
      <c r="F896" s="2"/>
      <c r="G896" s="311">
        <f>'Пр.4.1 ведом.23-24 '!G454</f>
        <v>371.9</v>
      </c>
      <c r="H896" s="311">
        <f>'Пр.4.1 ведом.23-24 '!H454</f>
        <v>371.9</v>
      </c>
    </row>
    <row r="897" spans="1:8" ht="47.25" x14ac:dyDescent="0.25">
      <c r="A897" s="31" t="s">
        <v>185</v>
      </c>
      <c r="B897" s="365" t="s">
        <v>506</v>
      </c>
      <c r="C897" s="360" t="s">
        <v>203</v>
      </c>
      <c r="D897" s="360" t="s">
        <v>116</v>
      </c>
      <c r="E897" s="2">
        <v>610</v>
      </c>
      <c r="F897" s="2">
        <v>903</v>
      </c>
      <c r="G897" s="311">
        <f>G896</f>
        <v>371.9</v>
      </c>
      <c r="H897" s="311">
        <f>H896</f>
        <v>371.9</v>
      </c>
    </row>
    <row r="898" spans="1:8" ht="15.75" x14ac:dyDescent="0.25">
      <c r="A898" s="364" t="s">
        <v>250</v>
      </c>
      <c r="B898" s="365" t="s">
        <v>461</v>
      </c>
      <c r="C898" s="360" t="s">
        <v>251</v>
      </c>
      <c r="D898" s="360"/>
      <c r="E898" s="2"/>
      <c r="F898" s="2"/>
      <c r="G898" s="311">
        <f t="shared" ref="G898:H901" si="127">G899</f>
        <v>579.1</v>
      </c>
      <c r="H898" s="311">
        <f t="shared" si="127"/>
        <v>579.1</v>
      </c>
    </row>
    <row r="899" spans="1:8" ht="15.75" x14ac:dyDescent="0.25">
      <c r="A899" s="364" t="s">
        <v>632</v>
      </c>
      <c r="B899" s="365" t="s">
        <v>461</v>
      </c>
      <c r="C899" s="360" t="s">
        <v>251</v>
      </c>
      <c r="D899" s="360" t="s">
        <v>116</v>
      </c>
      <c r="E899" s="2"/>
      <c r="F899" s="2"/>
      <c r="G899" s="311">
        <f t="shared" si="127"/>
        <v>579.1</v>
      </c>
      <c r="H899" s="311">
        <f t="shared" si="127"/>
        <v>579.1</v>
      </c>
    </row>
    <row r="900" spans="1:8" ht="47.25" x14ac:dyDescent="0.25">
      <c r="A900" s="31" t="s">
        <v>359</v>
      </c>
      <c r="B900" s="365" t="s">
        <v>506</v>
      </c>
      <c r="C900" s="360" t="s">
        <v>251</v>
      </c>
      <c r="D900" s="360" t="s">
        <v>116</v>
      </c>
      <c r="E900" s="2"/>
      <c r="F900" s="2"/>
      <c r="G900" s="311">
        <f t="shared" si="127"/>
        <v>579.1</v>
      </c>
      <c r="H900" s="311">
        <f t="shared" si="127"/>
        <v>579.1</v>
      </c>
    </row>
    <row r="901" spans="1:8" ht="31.5" x14ac:dyDescent="0.25">
      <c r="A901" s="22" t="s">
        <v>191</v>
      </c>
      <c r="B901" s="365" t="s">
        <v>506</v>
      </c>
      <c r="C901" s="360" t="s">
        <v>251</v>
      </c>
      <c r="D901" s="360" t="s">
        <v>116</v>
      </c>
      <c r="E901" s="2">
        <v>600</v>
      </c>
      <c r="F901" s="2"/>
      <c r="G901" s="311">
        <f t="shared" si="127"/>
        <v>579.1</v>
      </c>
      <c r="H901" s="311">
        <f t="shared" si="127"/>
        <v>579.1</v>
      </c>
    </row>
    <row r="902" spans="1:8" ht="15.75" x14ac:dyDescent="0.25">
      <c r="A902" s="111" t="s">
        <v>193</v>
      </c>
      <c r="B902" s="365" t="s">
        <v>506</v>
      </c>
      <c r="C902" s="360" t="s">
        <v>251</v>
      </c>
      <c r="D902" s="360" t="s">
        <v>116</v>
      </c>
      <c r="E902" s="2">
        <v>610</v>
      </c>
      <c r="F902" s="2"/>
      <c r="G902" s="311">
        <f>'Пр.4.1 ведом.23-24 '!G898</f>
        <v>579.1</v>
      </c>
      <c r="H902" s="311">
        <f>'Пр.4.1 ведом.23-24 '!H898</f>
        <v>579.1</v>
      </c>
    </row>
    <row r="903" spans="1:8" ht="31.5" x14ac:dyDescent="0.25">
      <c r="A903" s="31" t="s">
        <v>248</v>
      </c>
      <c r="B903" s="365" t="s">
        <v>506</v>
      </c>
      <c r="C903" s="360" t="s">
        <v>251</v>
      </c>
      <c r="D903" s="360" t="s">
        <v>116</v>
      </c>
      <c r="E903" s="2">
        <v>610</v>
      </c>
      <c r="F903" s="2">
        <v>907</v>
      </c>
      <c r="G903" s="311">
        <f>G902</f>
        <v>579.1</v>
      </c>
      <c r="H903" s="311">
        <f>H902</f>
        <v>579.1</v>
      </c>
    </row>
    <row r="904" spans="1:8" ht="15.75" x14ac:dyDescent="0.25">
      <c r="A904" s="22" t="s">
        <v>288</v>
      </c>
      <c r="B904" s="365" t="s">
        <v>461</v>
      </c>
      <c r="C904" s="360" t="s">
        <v>171</v>
      </c>
      <c r="D904" s="360"/>
      <c r="E904" s="2"/>
      <c r="F904" s="2"/>
      <c r="G904" s="311">
        <f t="shared" ref="G904:H907" si="128">G905</f>
        <v>74.900000000000006</v>
      </c>
      <c r="H904" s="311">
        <f t="shared" si="128"/>
        <v>74.900000000000006</v>
      </c>
    </row>
    <row r="905" spans="1:8" ht="15.75" x14ac:dyDescent="0.25">
      <c r="A905" s="22" t="s">
        <v>289</v>
      </c>
      <c r="B905" s="365" t="s">
        <v>461</v>
      </c>
      <c r="C905" s="360" t="s">
        <v>171</v>
      </c>
      <c r="D905" s="360" t="s">
        <v>158</v>
      </c>
      <c r="E905" s="2"/>
      <c r="F905" s="2"/>
      <c r="G905" s="311">
        <f t="shared" si="128"/>
        <v>74.900000000000006</v>
      </c>
      <c r="H905" s="311">
        <f t="shared" si="128"/>
        <v>74.900000000000006</v>
      </c>
    </row>
    <row r="906" spans="1:8" ht="31.5" x14ac:dyDescent="0.25">
      <c r="A906" s="31" t="s">
        <v>357</v>
      </c>
      <c r="B906" s="365" t="s">
        <v>462</v>
      </c>
      <c r="C906" s="360" t="s">
        <v>171</v>
      </c>
      <c r="D906" s="360" t="s">
        <v>158</v>
      </c>
      <c r="E906" s="2"/>
      <c r="F906" s="2"/>
      <c r="G906" s="311">
        <f t="shared" si="128"/>
        <v>74.900000000000006</v>
      </c>
      <c r="H906" s="311">
        <f t="shared" si="128"/>
        <v>74.900000000000006</v>
      </c>
    </row>
    <row r="907" spans="1:8" ht="31.5" x14ac:dyDescent="0.25">
      <c r="A907" s="364" t="s">
        <v>123</v>
      </c>
      <c r="B907" s="365" t="s">
        <v>462</v>
      </c>
      <c r="C907" s="360" t="s">
        <v>171</v>
      </c>
      <c r="D907" s="360" t="s">
        <v>158</v>
      </c>
      <c r="E907" s="2">
        <v>200</v>
      </c>
      <c r="F907" s="2"/>
      <c r="G907" s="311">
        <f t="shared" si="128"/>
        <v>74.900000000000006</v>
      </c>
      <c r="H907" s="311">
        <f t="shared" si="128"/>
        <v>74.900000000000006</v>
      </c>
    </row>
    <row r="908" spans="1:8" ht="31.5" x14ac:dyDescent="0.25">
      <c r="A908" s="364" t="s">
        <v>125</v>
      </c>
      <c r="B908" s="365" t="s">
        <v>462</v>
      </c>
      <c r="C908" s="360" t="s">
        <v>171</v>
      </c>
      <c r="D908" s="360" t="s">
        <v>158</v>
      </c>
      <c r="E908" s="2">
        <v>240</v>
      </c>
      <c r="F908" s="2"/>
      <c r="G908" s="311">
        <f>'Пр.4.1 ведом.23-24 '!G540</f>
        <v>74.900000000000006</v>
      </c>
      <c r="H908" s="311">
        <f>'Пр.4.1 ведом.23-24 '!H540</f>
        <v>74.900000000000006</v>
      </c>
    </row>
    <row r="909" spans="1:8" ht="47.25" x14ac:dyDescent="0.25">
      <c r="A909" s="31" t="s">
        <v>185</v>
      </c>
      <c r="B909" s="365" t="s">
        <v>462</v>
      </c>
      <c r="C909" s="360" t="s">
        <v>171</v>
      </c>
      <c r="D909" s="360" t="s">
        <v>158</v>
      </c>
      <c r="E909" s="2">
        <v>240</v>
      </c>
      <c r="F909" s="2">
        <v>903</v>
      </c>
      <c r="G909" s="311">
        <f>G906</f>
        <v>74.900000000000006</v>
      </c>
      <c r="H909" s="311">
        <f>H906</f>
        <v>74.900000000000006</v>
      </c>
    </row>
    <row r="910" spans="1:8" ht="31.5" x14ac:dyDescent="0.25">
      <c r="A910" s="322" t="s">
        <v>586</v>
      </c>
      <c r="B910" s="316" t="s">
        <v>429</v>
      </c>
      <c r="C910" s="7"/>
      <c r="D910" s="7"/>
      <c r="E910" s="3"/>
      <c r="F910" s="3"/>
      <c r="G910" s="310">
        <f t="shared" ref="G910:H912" si="129">G911</f>
        <v>15</v>
      </c>
      <c r="H910" s="310">
        <f t="shared" si="129"/>
        <v>15</v>
      </c>
    </row>
    <row r="911" spans="1:8" ht="15.75" x14ac:dyDescent="0.25">
      <c r="A911" s="149" t="s">
        <v>115</v>
      </c>
      <c r="B911" s="365" t="s">
        <v>429</v>
      </c>
      <c r="C911" s="360" t="s">
        <v>116</v>
      </c>
      <c r="D911" s="360"/>
      <c r="E911" s="2"/>
      <c r="F911" s="2"/>
      <c r="G911" s="311">
        <f t="shared" si="129"/>
        <v>15</v>
      </c>
      <c r="H911" s="311">
        <f t="shared" si="129"/>
        <v>15</v>
      </c>
    </row>
    <row r="912" spans="1:8" ht="15.75" x14ac:dyDescent="0.25">
      <c r="A912" s="149" t="s">
        <v>131</v>
      </c>
      <c r="B912" s="365" t="s">
        <v>429</v>
      </c>
      <c r="C912" s="360" t="s">
        <v>116</v>
      </c>
      <c r="D912" s="360" t="s">
        <v>132</v>
      </c>
      <c r="E912" s="2"/>
      <c r="F912" s="2"/>
      <c r="G912" s="311">
        <f t="shared" si="129"/>
        <v>15</v>
      </c>
      <c r="H912" s="311">
        <f t="shared" si="129"/>
        <v>15</v>
      </c>
    </row>
    <row r="913" spans="1:8" ht="47.25" x14ac:dyDescent="0.25">
      <c r="A913" s="174" t="s">
        <v>568</v>
      </c>
      <c r="B913" s="365" t="s">
        <v>424</v>
      </c>
      <c r="C913" s="360" t="s">
        <v>116</v>
      </c>
      <c r="D913" s="360" t="s">
        <v>132</v>
      </c>
      <c r="E913" s="2"/>
      <c r="F913" s="2"/>
      <c r="G913" s="311">
        <f t="shared" ref="G913:H914" si="130">G914</f>
        <v>15</v>
      </c>
      <c r="H913" s="311">
        <f t="shared" si="130"/>
        <v>15</v>
      </c>
    </row>
    <row r="914" spans="1:8" ht="31.5" x14ac:dyDescent="0.25">
      <c r="A914" s="364" t="s">
        <v>123</v>
      </c>
      <c r="B914" s="365" t="s">
        <v>424</v>
      </c>
      <c r="C914" s="360" t="s">
        <v>116</v>
      </c>
      <c r="D914" s="360" t="s">
        <v>132</v>
      </c>
      <c r="E914" s="2">
        <v>200</v>
      </c>
      <c r="F914" s="2"/>
      <c r="G914" s="311">
        <f t="shared" si="130"/>
        <v>15</v>
      </c>
      <c r="H914" s="311">
        <f t="shared" si="130"/>
        <v>15</v>
      </c>
    </row>
    <row r="915" spans="1:8" ht="31.5" x14ac:dyDescent="0.25">
      <c r="A915" s="364" t="s">
        <v>125</v>
      </c>
      <c r="B915" s="365" t="s">
        <v>424</v>
      </c>
      <c r="C915" s="360" t="s">
        <v>116</v>
      </c>
      <c r="D915" s="360" t="s">
        <v>132</v>
      </c>
      <c r="E915" s="2">
        <v>240</v>
      </c>
      <c r="F915" s="2"/>
      <c r="G915" s="311">
        <f>'Пр.4.1 ведом.23-24 '!G148</f>
        <v>15</v>
      </c>
      <c r="H915" s="311">
        <f>'Пр.4.1 ведом.23-24 '!H148</f>
        <v>15</v>
      </c>
    </row>
    <row r="916" spans="1:8" ht="20.25" customHeight="1" x14ac:dyDescent="0.25">
      <c r="A916" s="22" t="s">
        <v>137</v>
      </c>
      <c r="B916" s="365" t="s">
        <v>424</v>
      </c>
      <c r="C916" s="360" t="s">
        <v>116</v>
      </c>
      <c r="D916" s="360" t="s">
        <v>132</v>
      </c>
      <c r="E916" s="2">
        <v>240</v>
      </c>
      <c r="F916" s="2">
        <v>902</v>
      </c>
      <c r="G916" s="311">
        <f>G915</f>
        <v>15</v>
      </c>
      <c r="H916" s="311">
        <f>H915</f>
        <v>15</v>
      </c>
    </row>
    <row r="917" spans="1:8" ht="33" hidden="1" customHeight="1" x14ac:dyDescent="0.25">
      <c r="A917" s="315" t="s">
        <v>1017</v>
      </c>
      <c r="B917" s="316" t="s">
        <v>1018</v>
      </c>
      <c r="C917" s="7"/>
      <c r="D917" s="7"/>
      <c r="E917" s="3"/>
      <c r="F917" s="3"/>
      <c r="G917" s="310">
        <f>G918</f>
        <v>0</v>
      </c>
      <c r="H917" s="310">
        <f>H918</f>
        <v>0</v>
      </c>
    </row>
    <row r="918" spans="1:8" ht="31.5" hidden="1" x14ac:dyDescent="0.25">
      <c r="A918" s="364" t="s">
        <v>163</v>
      </c>
      <c r="B918" s="365" t="s">
        <v>1018</v>
      </c>
      <c r="C918" s="360" t="s">
        <v>159</v>
      </c>
      <c r="D918" s="360"/>
      <c r="E918" s="2"/>
      <c r="F918" s="2"/>
      <c r="G918" s="311">
        <f>G919</f>
        <v>0</v>
      </c>
      <c r="H918" s="311">
        <f>H919</f>
        <v>0</v>
      </c>
    </row>
    <row r="919" spans="1:8" ht="47.25" hidden="1" x14ac:dyDescent="0.25">
      <c r="A919" s="364" t="s">
        <v>848</v>
      </c>
      <c r="B919" s="365" t="s">
        <v>1018</v>
      </c>
      <c r="C919" s="360" t="s">
        <v>159</v>
      </c>
      <c r="D919" s="360" t="s">
        <v>174</v>
      </c>
      <c r="E919" s="2"/>
      <c r="F919" s="2"/>
      <c r="G919" s="311">
        <f>G920+G924</f>
        <v>0</v>
      </c>
      <c r="H919" s="311">
        <f>H920+H924</f>
        <v>0</v>
      </c>
    </row>
    <row r="920" spans="1:8" ht="20.25" hidden="1" customHeight="1" x14ac:dyDescent="0.25">
      <c r="A920" s="364" t="s">
        <v>165</v>
      </c>
      <c r="B920" s="365" t="s">
        <v>1019</v>
      </c>
      <c r="C920" s="360" t="s">
        <v>159</v>
      </c>
      <c r="D920" s="360" t="s">
        <v>174</v>
      </c>
      <c r="E920" s="2"/>
      <c r="F920" s="2"/>
      <c r="G920" s="311">
        <f>G921</f>
        <v>0</v>
      </c>
      <c r="H920" s="311">
        <f>H921</f>
        <v>0</v>
      </c>
    </row>
    <row r="921" spans="1:8" ht="31.5" hidden="1" x14ac:dyDescent="0.25">
      <c r="A921" s="364" t="s">
        <v>123</v>
      </c>
      <c r="B921" s="365" t="s">
        <v>1019</v>
      </c>
      <c r="C921" s="360" t="s">
        <v>159</v>
      </c>
      <c r="D921" s="360" t="s">
        <v>174</v>
      </c>
      <c r="E921" s="2">
        <v>200</v>
      </c>
      <c r="F921" s="2"/>
      <c r="G921" s="311">
        <f>G922</f>
        <v>0</v>
      </c>
      <c r="H921" s="311">
        <f>H922</f>
        <v>0</v>
      </c>
    </row>
    <row r="922" spans="1:8" ht="31.5" hidden="1" x14ac:dyDescent="0.25">
      <c r="A922" s="364" t="s">
        <v>125</v>
      </c>
      <c r="B922" s="365" t="s">
        <v>1019</v>
      </c>
      <c r="C922" s="360" t="s">
        <v>159</v>
      </c>
      <c r="D922" s="360" t="s">
        <v>174</v>
      </c>
      <c r="E922" s="2">
        <v>240</v>
      </c>
      <c r="F922" s="2"/>
      <c r="G922" s="311">
        <f>'Пр.4 ведом.22'!G193</f>
        <v>0</v>
      </c>
      <c r="H922" s="311">
        <f>'Пр.4 ведом.22'!H193</f>
        <v>0</v>
      </c>
    </row>
    <row r="923" spans="1:8" ht="15.75" hidden="1" x14ac:dyDescent="0.25">
      <c r="A923" s="22" t="s">
        <v>137</v>
      </c>
      <c r="B923" s="365" t="s">
        <v>1019</v>
      </c>
      <c r="C923" s="360" t="s">
        <v>159</v>
      </c>
      <c r="D923" s="360" t="s">
        <v>174</v>
      </c>
      <c r="E923" s="2">
        <v>240</v>
      </c>
      <c r="F923" s="2">
        <v>902</v>
      </c>
      <c r="G923" s="311">
        <f>G922</f>
        <v>0</v>
      </c>
      <c r="H923" s="311">
        <f>H922</f>
        <v>0</v>
      </c>
    </row>
    <row r="924" spans="1:8" ht="47.25" hidden="1" x14ac:dyDescent="0.25">
      <c r="A924" s="364" t="s">
        <v>1052</v>
      </c>
      <c r="B924" s="365" t="s">
        <v>1053</v>
      </c>
      <c r="C924" s="360" t="s">
        <v>159</v>
      </c>
      <c r="D924" s="360" t="s">
        <v>174</v>
      </c>
      <c r="E924" s="2"/>
      <c r="F924" s="2"/>
      <c r="G924" s="311">
        <f>G925</f>
        <v>0</v>
      </c>
      <c r="H924" s="311">
        <f>H925</f>
        <v>0</v>
      </c>
    </row>
    <row r="925" spans="1:8" ht="15.75" hidden="1" x14ac:dyDescent="0.25">
      <c r="A925" s="364" t="s">
        <v>177</v>
      </c>
      <c r="B925" s="365" t="s">
        <v>1053</v>
      </c>
      <c r="C925" s="360" t="s">
        <v>159</v>
      </c>
      <c r="D925" s="360" t="s">
        <v>174</v>
      </c>
      <c r="E925" s="2" t="s">
        <v>178</v>
      </c>
      <c r="F925" s="2"/>
      <c r="G925" s="311">
        <f>G926</f>
        <v>0</v>
      </c>
      <c r="H925" s="311">
        <f>H926</f>
        <v>0</v>
      </c>
    </row>
    <row r="926" spans="1:8" ht="31.5" hidden="1" x14ac:dyDescent="0.25">
      <c r="A926" s="364" t="s">
        <v>179</v>
      </c>
      <c r="B926" s="365" t="s">
        <v>1053</v>
      </c>
      <c r="C926" s="360" t="s">
        <v>159</v>
      </c>
      <c r="D926" s="360" t="s">
        <v>174</v>
      </c>
      <c r="E926" s="2" t="s">
        <v>180</v>
      </c>
      <c r="F926" s="2"/>
      <c r="G926" s="311">
        <f>'Пр.4 ведом.22'!G199</f>
        <v>0</v>
      </c>
      <c r="H926" s="311">
        <f>'Пр.4 ведом.22'!H199</f>
        <v>0</v>
      </c>
    </row>
    <row r="927" spans="1:8" ht="15.75" hidden="1" x14ac:dyDescent="0.25">
      <c r="A927" s="22" t="s">
        <v>137</v>
      </c>
      <c r="B927" s="365" t="s">
        <v>1053</v>
      </c>
      <c r="C927" s="360" t="s">
        <v>159</v>
      </c>
      <c r="D927" s="360" t="s">
        <v>174</v>
      </c>
      <c r="E927" s="2">
        <v>320</v>
      </c>
      <c r="F927" s="2">
        <v>902</v>
      </c>
      <c r="G927" s="311">
        <f>G926</f>
        <v>0</v>
      </c>
      <c r="H927" s="311">
        <f>H926</f>
        <v>0</v>
      </c>
    </row>
    <row r="928" spans="1:8" ht="65.25" customHeight="1" x14ac:dyDescent="0.25">
      <c r="A928" s="315" t="s">
        <v>979</v>
      </c>
      <c r="B928" s="316" t="s">
        <v>341</v>
      </c>
      <c r="C928" s="7"/>
      <c r="D928" s="7"/>
      <c r="E928" s="3"/>
      <c r="F928" s="3"/>
      <c r="G928" s="310">
        <f>G929+G936</f>
        <v>500</v>
      </c>
      <c r="H928" s="310">
        <f>H929+H936</f>
        <v>500</v>
      </c>
    </row>
    <row r="929" spans="1:8" ht="31.5" x14ac:dyDescent="0.25">
      <c r="A929" s="315" t="s">
        <v>623</v>
      </c>
      <c r="B929" s="316" t="s">
        <v>641</v>
      </c>
      <c r="C929" s="7"/>
      <c r="D929" s="7"/>
      <c r="E929" s="3"/>
      <c r="F929" s="3"/>
      <c r="G929" s="310">
        <f>G930</f>
        <v>500</v>
      </c>
      <c r="H929" s="310">
        <f>H930</f>
        <v>500</v>
      </c>
    </row>
    <row r="930" spans="1:8" ht="15.75" x14ac:dyDescent="0.25">
      <c r="A930" s="364" t="s">
        <v>231</v>
      </c>
      <c r="B930" s="365" t="s">
        <v>412</v>
      </c>
      <c r="C930" s="360" t="s">
        <v>168</v>
      </c>
      <c r="D930" s="360"/>
      <c r="E930" s="2"/>
      <c r="F930" s="2"/>
      <c r="G930" s="311">
        <f t="shared" ref="G930:H933" si="131">G931</f>
        <v>500</v>
      </c>
      <c r="H930" s="311">
        <f t="shared" si="131"/>
        <v>500</v>
      </c>
    </row>
    <row r="931" spans="1:8" ht="15.75" x14ac:dyDescent="0.25">
      <c r="A931" s="364" t="s">
        <v>272</v>
      </c>
      <c r="B931" s="365" t="s">
        <v>412</v>
      </c>
      <c r="C931" s="360" t="s">
        <v>168</v>
      </c>
      <c r="D931" s="360" t="s">
        <v>159</v>
      </c>
      <c r="E931" s="2"/>
      <c r="F931" s="2"/>
      <c r="G931" s="311">
        <f t="shared" si="131"/>
        <v>500</v>
      </c>
      <c r="H931" s="311">
        <f t="shared" si="131"/>
        <v>500</v>
      </c>
    </row>
    <row r="932" spans="1:8" ht="47.25" x14ac:dyDescent="0.25">
      <c r="A932" s="52" t="s">
        <v>333</v>
      </c>
      <c r="B932" s="365" t="s">
        <v>412</v>
      </c>
      <c r="C932" s="360" t="s">
        <v>168</v>
      </c>
      <c r="D932" s="360" t="s">
        <v>159</v>
      </c>
      <c r="E932" s="2"/>
      <c r="F932" s="2"/>
      <c r="G932" s="311">
        <f t="shared" si="131"/>
        <v>500</v>
      </c>
      <c r="H932" s="311">
        <f t="shared" si="131"/>
        <v>500</v>
      </c>
    </row>
    <row r="933" spans="1:8" ht="31.5" x14ac:dyDescent="0.25">
      <c r="A933" s="364" t="s">
        <v>123</v>
      </c>
      <c r="B933" s="365" t="s">
        <v>412</v>
      </c>
      <c r="C933" s="360" t="s">
        <v>168</v>
      </c>
      <c r="D933" s="360" t="s">
        <v>159</v>
      </c>
      <c r="E933" s="2">
        <v>200</v>
      </c>
      <c r="F933" s="2"/>
      <c r="G933" s="311">
        <f t="shared" si="131"/>
        <v>500</v>
      </c>
      <c r="H933" s="311">
        <f t="shared" si="131"/>
        <v>500</v>
      </c>
    </row>
    <row r="934" spans="1:8" ht="31.5" x14ac:dyDescent="0.25">
      <c r="A934" s="364" t="s">
        <v>125</v>
      </c>
      <c r="B934" s="365" t="s">
        <v>412</v>
      </c>
      <c r="C934" s="360" t="s">
        <v>168</v>
      </c>
      <c r="D934" s="360" t="s">
        <v>159</v>
      </c>
      <c r="E934" s="2">
        <v>240</v>
      </c>
      <c r="F934" s="2"/>
      <c r="G934" s="311">
        <f>'Пр.4.1 ведом.23-24 '!G1135</f>
        <v>500</v>
      </c>
      <c r="H934" s="311">
        <f>'Пр.4.1 ведом.23-24 '!H1135</f>
        <v>500</v>
      </c>
    </row>
    <row r="935" spans="1:8" ht="34.5" customHeight="1" x14ac:dyDescent="0.25">
      <c r="A935" s="31" t="s">
        <v>302</v>
      </c>
      <c r="B935" s="365" t="s">
        <v>412</v>
      </c>
      <c r="C935" s="360" t="s">
        <v>168</v>
      </c>
      <c r="D935" s="360" t="s">
        <v>159</v>
      </c>
      <c r="E935" s="2">
        <v>240</v>
      </c>
      <c r="F935" s="2">
        <v>908</v>
      </c>
      <c r="G935" s="311">
        <f t="shared" ref="G935:H935" si="132">G928</f>
        <v>500</v>
      </c>
      <c r="H935" s="311">
        <f t="shared" si="132"/>
        <v>500</v>
      </c>
    </row>
    <row r="936" spans="1:8" s="405" customFormat="1" ht="110.25" hidden="1" x14ac:dyDescent="0.25">
      <c r="A936" s="417" t="s">
        <v>1073</v>
      </c>
      <c r="B936" s="414" t="s">
        <v>1074</v>
      </c>
      <c r="C936" s="407"/>
      <c r="D936" s="407"/>
      <c r="E936" s="415"/>
      <c r="F936" s="415"/>
      <c r="G936" s="408">
        <f>G937</f>
        <v>0</v>
      </c>
      <c r="H936" s="408">
        <f>H937</f>
        <v>0</v>
      </c>
    </row>
    <row r="937" spans="1:8" s="405" customFormat="1" ht="15.75" hidden="1" x14ac:dyDescent="0.25">
      <c r="A937" s="399" t="s">
        <v>231</v>
      </c>
      <c r="B937" s="402" t="s">
        <v>1075</v>
      </c>
      <c r="C937" s="403" t="s">
        <v>168</v>
      </c>
      <c r="D937" s="403"/>
      <c r="E937" s="410"/>
      <c r="F937" s="410"/>
      <c r="G937" s="409">
        <f t="shared" ref="G937:H940" si="133">G938</f>
        <v>0</v>
      </c>
      <c r="H937" s="409">
        <f t="shared" si="133"/>
        <v>0</v>
      </c>
    </row>
    <row r="938" spans="1:8" s="405" customFormat="1" ht="15.75" hidden="1" x14ac:dyDescent="0.25">
      <c r="A938" s="399" t="s">
        <v>272</v>
      </c>
      <c r="B938" s="402" t="s">
        <v>1075</v>
      </c>
      <c r="C938" s="403" t="s">
        <v>168</v>
      </c>
      <c r="D938" s="403" t="s">
        <v>159</v>
      </c>
      <c r="E938" s="410"/>
      <c r="F938" s="410"/>
      <c r="G938" s="409">
        <f t="shared" si="133"/>
        <v>0</v>
      </c>
      <c r="H938" s="409">
        <f t="shared" si="133"/>
        <v>0</v>
      </c>
    </row>
    <row r="939" spans="1:8" s="405" customFormat="1" ht="94.5" hidden="1" x14ac:dyDescent="0.25">
      <c r="A939" s="418" t="s">
        <v>1096</v>
      </c>
      <c r="B939" s="402" t="s">
        <v>1075</v>
      </c>
      <c r="C939" s="403" t="s">
        <v>168</v>
      </c>
      <c r="D939" s="403" t="s">
        <v>159</v>
      </c>
      <c r="E939" s="410"/>
      <c r="F939" s="410"/>
      <c r="G939" s="409">
        <f t="shared" si="133"/>
        <v>0</v>
      </c>
      <c r="H939" s="409">
        <f t="shared" si="133"/>
        <v>0</v>
      </c>
    </row>
    <row r="940" spans="1:8" s="405" customFormat="1" ht="31.5" hidden="1" x14ac:dyDescent="0.25">
      <c r="A940" s="399" t="s">
        <v>123</v>
      </c>
      <c r="B940" s="402" t="s">
        <v>1075</v>
      </c>
      <c r="C940" s="403" t="s">
        <v>168</v>
      </c>
      <c r="D940" s="403" t="s">
        <v>159</v>
      </c>
      <c r="E940" s="410">
        <v>200</v>
      </c>
      <c r="F940" s="410"/>
      <c r="G940" s="409">
        <f t="shared" si="133"/>
        <v>0</v>
      </c>
      <c r="H940" s="409">
        <f t="shared" si="133"/>
        <v>0</v>
      </c>
    </row>
    <row r="941" spans="1:8" s="405" customFormat="1" ht="31.5" hidden="1" x14ac:dyDescent="0.25">
      <c r="A941" s="399" t="s">
        <v>125</v>
      </c>
      <c r="B941" s="402" t="s">
        <v>1075</v>
      </c>
      <c r="C941" s="403" t="s">
        <v>168</v>
      </c>
      <c r="D941" s="403" t="s">
        <v>159</v>
      </c>
      <c r="E941" s="410">
        <v>240</v>
      </c>
      <c r="F941" s="410"/>
      <c r="G941" s="409">
        <f>'Пр.4 ведом.22'!G1139</f>
        <v>0</v>
      </c>
      <c r="H941" s="409">
        <f>'Пр.4 ведом.22'!H1139</f>
        <v>0</v>
      </c>
    </row>
    <row r="942" spans="1:8" s="405" customFormat="1" ht="34.5" hidden="1" customHeight="1" x14ac:dyDescent="0.25">
      <c r="A942" s="406" t="s">
        <v>302</v>
      </c>
      <c r="B942" s="402" t="s">
        <v>1075</v>
      </c>
      <c r="C942" s="403" t="s">
        <v>168</v>
      </c>
      <c r="D942" s="403" t="s">
        <v>159</v>
      </c>
      <c r="E942" s="410">
        <v>240</v>
      </c>
      <c r="F942" s="410">
        <v>908</v>
      </c>
      <c r="G942" s="409">
        <f>'Пр.4 ведом.22'!G1139</f>
        <v>0</v>
      </c>
      <c r="H942" s="409">
        <f>'Пр.4 ведом.22'!H1139</f>
        <v>0</v>
      </c>
    </row>
    <row r="943" spans="1:8" s="114" customFormat="1" ht="63" hidden="1" x14ac:dyDescent="0.25">
      <c r="A943" s="37" t="s">
        <v>977</v>
      </c>
      <c r="B943" s="316" t="s">
        <v>360</v>
      </c>
      <c r="C943" s="7"/>
      <c r="D943" s="7"/>
      <c r="E943" s="3"/>
      <c r="F943" s="3"/>
      <c r="G943" s="310">
        <f>G945</f>
        <v>0</v>
      </c>
      <c r="H943" s="310">
        <f>H945</f>
        <v>0</v>
      </c>
    </row>
    <row r="944" spans="1:8" s="114" customFormat="1" ht="31.5" hidden="1" x14ac:dyDescent="0.25">
      <c r="A944" s="315" t="s">
        <v>501</v>
      </c>
      <c r="B944" s="316" t="s">
        <v>583</v>
      </c>
      <c r="C944" s="7"/>
      <c r="D944" s="7"/>
      <c r="E944" s="3"/>
      <c r="F944" s="3"/>
      <c r="G944" s="310">
        <f t="shared" ref="G944:H948" si="134">G945</f>
        <v>0</v>
      </c>
      <c r="H944" s="310">
        <f t="shared" si="134"/>
        <v>0</v>
      </c>
    </row>
    <row r="945" spans="1:8" ht="15.75" hidden="1" x14ac:dyDescent="0.25">
      <c r="A945" s="31" t="s">
        <v>115</v>
      </c>
      <c r="B945" s="365" t="s">
        <v>583</v>
      </c>
      <c r="C945" s="360" t="s">
        <v>116</v>
      </c>
      <c r="D945" s="360"/>
      <c r="E945" s="2"/>
      <c r="F945" s="2"/>
      <c r="G945" s="311">
        <f t="shared" si="134"/>
        <v>0</v>
      </c>
      <c r="H945" s="311">
        <f t="shared" si="134"/>
        <v>0</v>
      </c>
    </row>
    <row r="946" spans="1:8" ht="15.75" hidden="1" x14ac:dyDescent="0.25">
      <c r="A946" s="31" t="s">
        <v>131</v>
      </c>
      <c r="B946" s="365" t="s">
        <v>583</v>
      </c>
      <c r="C946" s="360" t="s">
        <v>116</v>
      </c>
      <c r="D946" s="360" t="s">
        <v>132</v>
      </c>
      <c r="E946" s="2"/>
      <c r="F946" s="2"/>
      <c r="G946" s="311">
        <f t="shared" si="134"/>
        <v>0</v>
      </c>
      <c r="H946" s="311">
        <f t="shared" si="134"/>
        <v>0</v>
      </c>
    </row>
    <row r="947" spans="1:8" ht="31.5" hidden="1" x14ac:dyDescent="0.25">
      <c r="A947" s="31" t="s">
        <v>368</v>
      </c>
      <c r="B947" s="365" t="s">
        <v>584</v>
      </c>
      <c r="C947" s="360" t="s">
        <v>116</v>
      </c>
      <c r="D947" s="360" t="s">
        <v>132</v>
      </c>
      <c r="E947" s="2"/>
      <c r="F947" s="2"/>
      <c r="G947" s="311">
        <f t="shared" si="134"/>
        <v>0</v>
      </c>
      <c r="H947" s="311">
        <f t="shared" si="134"/>
        <v>0</v>
      </c>
    </row>
    <row r="948" spans="1:8" ht="31.5" hidden="1" x14ac:dyDescent="0.25">
      <c r="A948" s="31" t="s">
        <v>123</v>
      </c>
      <c r="B948" s="365" t="s">
        <v>584</v>
      </c>
      <c r="C948" s="360" t="s">
        <v>116</v>
      </c>
      <c r="D948" s="360" t="s">
        <v>132</v>
      </c>
      <c r="E948" s="2">
        <v>200</v>
      </c>
      <c r="F948" s="2"/>
      <c r="G948" s="311">
        <f t="shared" si="134"/>
        <v>0</v>
      </c>
      <c r="H948" s="311">
        <f t="shared" si="134"/>
        <v>0</v>
      </c>
    </row>
    <row r="949" spans="1:8" ht="31.5" hidden="1" x14ac:dyDescent="0.25">
      <c r="A949" s="31" t="s">
        <v>125</v>
      </c>
      <c r="B949" s="365" t="s">
        <v>584</v>
      </c>
      <c r="C949" s="360" t="s">
        <v>116</v>
      </c>
      <c r="D949" s="360" t="s">
        <v>132</v>
      </c>
      <c r="E949" s="2">
        <v>240</v>
      </c>
      <c r="F949" s="2"/>
      <c r="G949" s="311">
        <f>'Пр.4 ведом.22'!G591</f>
        <v>0</v>
      </c>
      <c r="H949" s="311">
        <f>'Пр.4 ведом.22'!H591</f>
        <v>0</v>
      </c>
    </row>
    <row r="950" spans="1:8" ht="36.75" hidden="1" customHeight="1" x14ac:dyDescent="0.25">
      <c r="A950" s="31" t="s">
        <v>879</v>
      </c>
      <c r="B950" s="365" t="s">
        <v>584</v>
      </c>
      <c r="C950" s="360" t="s">
        <v>116</v>
      </c>
      <c r="D950" s="360" t="s">
        <v>132</v>
      </c>
      <c r="E950" s="2">
        <v>240</v>
      </c>
      <c r="F950" s="2">
        <v>905</v>
      </c>
      <c r="G950" s="311">
        <f>G943</f>
        <v>0</v>
      </c>
      <c r="H950" s="311">
        <f>H943</f>
        <v>0</v>
      </c>
    </row>
    <row r="951" spans="1:8" ht="68.25" customHeight="1" x14ac:dyDescent="0.25">
      <c r="A951" s="359" t="s">
        <v>867</v>
      </c>
      <c r="B951" s="316" t="s">
        <v>395</v>
      </c>
      <c r="C951" s="7"/>
      <c r="D951" s="7"/>
      <c r="E951" s="3"/>
      <c r="F951" s="3"/>
      <c r="G951" s="310">
        <f>G953</f>
        <v>45</v>
      </c>
      <c r="H951" s="310">
        <f>H953</f>
        <v>45</v>
      </c>
    </row>
    <row r="952" spans="1:8" ht="47.25" x14ac:dyDescent="0.25">
      <c r="A952" s="139" t="s">
        <v>430</v>
      </c>
      <c r="B952" s="316" t="s">
        <v>630</v>
      </c>
      <c r="C952" s="7"/>
      <c r="D952" s="7"/>
      <c r="E952" s="3"/>
      <c r="F952" s="3"/>
      <c r="G952" s="310">
        <f t="shared" ref="G952:H956" si="135">G953</f>
        <v>45</v>
      </c>
      <c r="H952" s="310">
        <f t="shared" si="135"/>
        <v>45</v>
      </c>
    </row>
    <row r="953" spans="1:8" ht="15.75" x14ac:dyDescent="0.25">
      <c r="A953" s="31" t="s">
        <v>115</v>
      </c>
      <c r="B953" s="365" t="s">
        <v>630</v>
      </c>
      <c r="C953" s="360" t="s">
        <v>116</v>
      </c>
      <c r="D953" s="360"/>
      <c r="E953" s="2"/>
      <c r="F953" s="2"/>
      <c r="G953" s="311">
        <f t="shared" si="135"/>
        <v>45</v>
      </c>
      <c r="H953" s="311">
        <f t="shared" si="135"/>
        <v>45</v>
      </c>
    </row>
    <row r="954" spans="1:8" ht="15.75" x14ac:dyDescent="0.25">
      <c r="A954" s="31" t="s">
        <v>131</v>
      </c>
      <c r="B954" s="365" t="s">
        <v>630</v>
      </c>
      <c r="C954" s="360" t="s">
        <v>116</v>
      </c>
      <c r="D954" s="360" t="s">
        <v>132</v>
      </c>
      <c r="E954" s="2"/>
      <c r="F954" s="2"/>
      <c r="G954" s="311">
        <f t="shared" si="135"/>
        <v>45</v>
      </c>
      <c r="H954" s="311">
        <f t="shared" si="135"/>
        <v>45</v>
      </c>
    </row>
    <row r="955" spans="1:8" ht="31.5" x14ac:dyDescent="0.25">
      <c r="A955" s="69" t="s">
        <v>145</v>
      </c>
      <c r="B955" s="365" t="s">
        <v>431</v>
      </c>
      <c r="C955" s="360" t="s">
        <v>116</v>
      </c>
      <c r="D955" s="360" t="s">
        <v>132</v>
      </c>
      <c r="E955" s="2"/>
      <c r="F955" s="2"/>
      <c r="G955" s="311">
        <f t="shared" si="135"/>
        <v>45</v>
      </c>
      <c r="H955" s="311">
        <f t="shared" si="135"/>
        <v>45</v>
      </c>
    </row>
    <row r="956" spans="1:8" ht="31.5" x14ac:dyDescent="0.25">
      <c r="A956" s="31" t="s">
        <v>123</v>
      </c>
      <c r="B956" s="365" t="s">
        <v>431</v>
      </c>
      <c r="C956" s="360" t="s">
        <v>116</v>
      </c>
      <c r="D956" s="360" t="s">
        <v>132</v>
      </c>
      <c r="E956" s="2">
        <v>200</v>
      </c>
      <c r="F956" s="2"/>
      <c r="G956" s="311">
        <f t="shared" si="135"/>
        <v>45</v>
      </c>
      <c r="H956" s="311">
        <f t="shared" si="135"/>
        <v>45</v>
      </c>
    </row>
    <row r="957" spans="1:8" ht="31.5" x14ac:dyDescent="0.25">
      <c r="A957" s="31" t="s">
        <v>125</v>
      </c>
      <c r="B957" s="365" t="s">
        <v>431</v>
      </c>
      <c r="C957" s="360" t="s">
        <v>116</v>
      </c>
      <c r="D957" s="360" t="s">
        <v>132</v>
      </c>
      <c r="E957" s="2">
        <v>240</v>
      </c>
      <c r="F957" s="2"/>
      <c r="G957" s="311">
        <f>'Пр.4.1 ведом.23-24 '!G153</f>
        <v>45</v>
      </c>
      <c r="H957" s="311">
        <f>'Пр.4.1 ведом.23-24 '!H153</f>
        <v>45</v>
      </c>
    </row>
    <row r="958" spans="1:8" ht="23.25" customHeight="1" x14ac:dyDescent="0.25">
      <c r="A958" s="22" t="s">
        <v>137</v>
      </c>
      <c r="B958" s="365" t="s">
        <v>431</v>
      </c>
      <c r="C958" s="360" t="s">
        <v>116</v>
      </c>
      <c r="D958" s="360" t="s">
        <v>132</v>
      </c>
      <c r="E958" s="2">
        <v>240</v>
      </c>
      <c r="F958" s="2">
        <v>902</v>
      </c>
      <c r="G958" s="311">
        <f>G951</f>
        <v>45</v>
      </c>
      <c r="H958" s="311">
        <f>H951</f>
        <v>45</v>
      </c>
    </row>
    <row r="959" spans="1:8" ht="63" x14ac:dyDescent="0.25">
      <c r="A959" s="359" t="s">
        <v>1317</v>
      </c>
      <c r="B959" s="316" t="s">
        <v>1307</v>
      </c>
      <c r="C959" s="7"/>
      <c r="D959" s="7"/>
      <c r="E959" s="3"/>
      <c r="F959" s="3"/>
      <c r="G959" s="310">
        <f t="shared" ref="G959:H964" si="136">G960</f>
        <v>30</v>
      </c>
      <c r="H959" s="310">
        <f t="shared" si="136"/>
        <v>30</v>
      </c>
    </row>
    <row r="960" spans="1:8" ht="47.25" x14ac:dyDescent="0.25">
      <c r="A960" s="359" t="s">
        <v>1318</v>
      </c>
      <c r="B960" s="316" t="s">
        <v>1308</v>
      </c>
      <c r="C960" s="7"/>
      <c r="D960" s="7"/>
      <c r="E960" s="3"/>
      <c r="F960" s="3"/>
      <c r="G960" s="310">
        <f t="shared" si="136"/>
        <v>30</v>
      </c>
      <c r="H960" s="310">
        <f t="shared" si="136"/>
        <v>30</v>
      </c>
    </row>
    <row r="961" spans="1:8" ht="15.75" x14ac:dyDescent="0.25">
      <c r="A961" s="31" t="s">
        <v>115</v>
      </c>
      <c r="B961" s="365" t="s">
        <v>1308</v>
      </c>
      <c r="C961" s="360" t="s">
        <v>116</v>
      </c>
      <c r="D961" s="360"/>
      <c r="E961" s="2"/>
      <c r="F961" s="2"/>
      <c r="G961" s="311">
        <f t="shared" si="136"/>
        <v>30</v>
      </c>
      <c r="H961" s="311">
        <f t="shared" si="136"/>
        <v>30</v>
      </c>
    </row>
    <row r="962" spans="1:8" ht="15.75" x14ac:dyDescent="0.25">
      <c r="A962" s="31" t="s">
        <v>131</v>
      </c>
      <c r="B962" s="365" t="s">
        <v>1308</v>
      </c>
      <c r="C962" s="360" t="s">
        <v>116</v>
      </c>
      <c r="D962" s="360" t="s">
        <v>132</v>
      </c>
      <c r="E962" s="2"/>
      <c r="F962" s="2"/>
      <c r="G962" s="311">
        <f t="shared" si="136"/>
        <v>30</v>
      </c>
      <c r="H962" s="311">
        <f t="shared" si="136"/>
        <v>30</v>
      </c>
    </row>
    <row r="963" spans="1:8" ht="31.5" x14ac:dyDescent="0.25">
      <c r="A963" s="364" t="s">
        <v>1319</v>
      </c>
      <c r="B963" s="365" t="s">
        <v>1309</v>
      </c>
      <c r="C963" s="360" t="s">
        <v>116</v>
      </c>
      <c r="D963" s="360" t="s">
        <v>132</v>
      </c>
      <c r="E963" s="2"/>
      <c r="F963" s="2"/>
      <c r="G963" s="311">
        <f t="shared" si="136"/>
        <v>30</v>
      </c>
      <c r="H963" s="311">
        <f t="shared" si="136"/>
        <v>30</v>
      </c>
    </row>
    <row r="964" spans="1:8" ht="15.75" x14ac:dyDescent="0.25">
      <c r="A964" s="560" t="s">
        <v>177</v>
      </c>
      <c r="B964" s="365" t="s">
        <v>1309</v>
      </c>
      <c r="C964" s="360" t="s">
        <v>116</v>
      </c>
      <c r="D964" s="360" t="s">
        <v>132</v>
      </c>
      <c r="E964" s="2">
        <v>300</v>
      </c>
      <c r="F964" s="2"/>
      <c r="G964" s="311">
        <f t="shared" si="136"/>
        <v>30</v>
      </c>
      <c r="H964" s="311">
        <f t="shared" si="136"/>
        <v>30</v>
      </c>
    </row>
    <row r="965" spans="1:8" ht="15.75" x14ac:dyDescent="0.25">
      <c r="A965" s="364" t="s">
        <v>1320</v>
      </c>
      <c r="B965" s="365" t="s">
        <v>1309</v>
      </c>
      <c r="C965" s="360" t="s">
        <v>116</v>
      </c>
      <c r="D965" s="360" t="s">
        <v>132</v>
      </c>
      <c r="E965" s="2">
        <v>350</v>
      </c>
      <c r="F965" s="2"/>
      <c r="G965" s="311">
        <f>'Пр.4.1 ведом.23-24 '!G158</f>
        <v>30</v>
      </c>
      <c r="H965" s="311">
        <f>'Пр.4.1 ведом.23-24 '!H158</f>
        <v>30</v>
      </c>
    </row>
    <row r="966" spans="1:8" ht="15.75" x14ac:dyDescent="0.25">
      <c r="A966" s="22" t="s">
        <v>137</v>
      </c>
      <c r="B966" s="365" t="s">
        <v>1309</v>
      </c>
      <c r="C966" s="360" t="s">
        <v>116</v>
      </c>
      <c r="D966" s="360" t="s">
        <v>132</v>
      </c>
      <c r="E966" s="2">
        <v>350</v>
      </c>
      <c r="F966" s="2">
        <v>902</v>
      </c>
      <c r="G966" s="311">
        <f>G965</f>
        <v>30</v>
      </c>
      <c r="H966" s="311">
        <f>H965</f>
        <v>30</v>
      </c>
    </row>
    <row r="967" spans="1:8" ht="63" x14ac:dyDescent="0.25">
      <c r="A967" s="359" t="s">
        <v>873</v>
      </c>
      <c r="B967" s="316" t="s">
        <v>396</v>
      </c>
      <c r="C967" s="7"/>
      <c r="D967" s="7"/>
      <c r="E967" s="3"/>
      <c r="F967" s="3"/>
      <c r="G967" s="310">
        <f>G969</f>
        <v>80</v>
      </c>
      <c r="H967" s="310">
        <f>H969</f>
        <v>80</v>
      </c>
    </row>
    <row r="968" spans="1:8" ht="31.5" x14ac:dyDescent="0.25">
      <c r="A968" s="37" t="s">
        <v>432</v>
      </c>
      <c r="B968" s="316" t="s">
        <v>440</v>
      </c>
      <c r="C968" s="7"/>
      <c r="D968" s="7"/>
      <c r="E968" s="3"/>
      <c r="F968" s="3"/>
      <c r="G968" s="310">
        <f t="shared" ref="G968:H972" si="137">G969</f>
        <v>80</v>
      </c>
      <c r="H968" s="310">
        <f t="shared" si="137"/>
        <v>80</v>
      </c>
    </row>
    <row r="969" spans="1:8" ht="15.75" x14ac:dyDescent="0.25">
      <c r="A969" s="31" t="s">
        <v>115</v>
      </c>
      <c r="B969" s="365" t="s">
        <v>440</v>
      </c>
      <c r="C969" s="360" t="s">
        <v>116</v>
      </c>
      <c r="D969" s="360"/>
      <c r="E969" s="2"/>
      <c r="F969" s="2"/>
      <c r="G969" s="311">
        <f t="shared" si="137"/>
        <v>80</v>
      </c>
      <c r="H969" s="311">
        <f t="shared" si="137"/>
        <v>80</v>
      </c>
    </row>
    <row r="970" spans="1:8" ht="15.75" x14ac:dyDescent="0.25">
      <c r="A970" s="31" t="s">
        <v>131</v>
      </c>
      <c r="B970" s="365" t="s">
        <v>440</v>
      </c>
      <c r="C970" s="360" t="s">
        <v>116</v>
      </c>
      <c r="D970" s="360" t="s">
        <v>132</v>
      </c>
      <c r="E970" s="2"/>
      <c r="F970" s="2"/>
      <c r="G970" s="311">
        <f t="shared" si="137"/>
        <v>80</v>
      </c>
      <c r="H970" s="311">
        <f t="shared" si="137"/>
        <v>80</v>
      </c>
    </row>
    <row r="971" spans="1:8" ht="15.75" x14ac:dyDescent="0.25">
      <c r="A971" s="31" t="s">
        <v>146</v>
      </c>
      <c r="B971" s="365" t="s">
        <v>433</v>
      </c>
      <c r="C971" s="360" t="s">
        <v>116</v>
      </c>
      <c r="D971" s="360" t="s">
        <v>132</v>
      </c>
      <c r="E971" s="2"/>
      <c r="F971" s="2"/>
      <c r="G971" s="311">
        <f t="shared" si="137"/>
        <v>80</v>
      </c>
      <c r="H971" s="311">
        <f t="shared" si="137"/>
        <v>80</v>
      </c>
    </row>
    <row r="972" spans="1:8" ht="31.5" x14ac:dyDescent="0.25">
      <c r="A972" s="31" t="s">
        <v>123</v>
      </c>
      <c r="B972" s="365" t="s">
        <v>433</v>
      </c>
      <c r="C972" s="360" t="s">
        <v>116</v>
      </c>
      <c r="D972" s="360" t="s">
        <v>132</v>
      </c>
      <c r="E972" s="2">
        <v>200</v>
      </c>
      <c r="F972" s="2"/>
      <c r="G972" s="311">
        <f t="shared" si="137"/>
        <v>80</v>
      </c>
      <c r="H972" s="311">
        <f t="shared" si="137"/>
        <v>80</v>
      </c>
    </row>
    <row r="973" spans="1:8" ht="31.5" x14ac:dyDescent="0.25">
      <c r="A973" s="31" t="s">
        <v>125</v>
      </c>
      <c r="B973" s="365" t="s">
        <v>433</v>
      </c>
      <c r="C973" s="360" t="s">
        <v>116</v>
      </c>
      <c r="D973" s="360" t="s">
        <v>132</v>
      </c>
      <c r="E973" s="2">
        <v>240</v>
      </c>
      <c r="F973" s="2"/>
      <c r="G973" s="311">
        <f>'Пр.4.1 ведом.23-24 '!G163</f>
        <v>80</v>
      </c>
      <c r="H973" s="311">
        <f>'Пр.4.1 ведом.23-24 '!H163</f>
        <v>80</v>
      </c>
    </row>
    <row r="974" spans="1:8" ht="23.25" customHeight="1" x14ac:dyDescent="0.25">
      <c r="A974" s="22" t="s">
        <v>137</v>
      </c>
      <c r="B974" s="365" t="s">
        <v>433</v>
      </c>
      <c r="C974" s="360" t="s">
        <v>116</v>
      </c>
      <c r="D974" s="360" t="s">
        <v>132</v>
      </c>
      <c r="E974" s="2">
        <v>240</v>
      </c>
      <c r="F974" s="2">
        <v>902</v>
      </c>
      <c r="G974" s="311">
        <f>G967</f>
        <v>80</v>
      </c>
      <c r="H974" s="311">
        <f>H967</f>
        <v>80</v>
      </c>
    </row>
    <row r="975" spans="1:8" ht="47.25" x14ac:dyDescent="0.25">
      <c r="A975" s="315" t="s">
        <v>976</v>
      </c>
      <c r="B975" s="316" t="s">
        <v>692</v>
      </c>
      <c r="C975" s="360"/>
      <c r="D975" s="360"/>
      <c r="E975" s="2"/>
      <c r="F975" s="2"/>
      <c r="G975" s="310">
        <f t="shared" ref="G975:H980" si="138">G976</f>
        <v>204</v>
      </c>
      <c r="H975" s="310">
        <f t="shared" si="138"/>
        <v>204</v>
      </c>
    </row>
    <row r="976" spans="1:8" ht="31.5" x14ac:dyDescent="0.25">
      <c r="A976" s="315" t="s">
        <v>693</v>
      </c>
      <c r="B976" s="316" t="s">
        <v>694</v>
      </c>
      <c r="C976" s="360"/>
      <c r="D976" s="360"/>
      <c r="E976" s="2"/>
      <c r="F976" s="2"/>
      <c r="G976" s="310">
        <f t="shared" si="138"/>
        <v>204</v>
      </c>
      <c r="H976" s="310">
        <f t="shared" si="138"/>
        <v>204</v>
      </c>
    </row>
    <row r="977" spans="1:14" ht="15.75" x14ac:dyDescent="0.25">
      <c r="A977" s="22" t="s">
        <v>231</v>
      </c>
      <c r="B977" s="365" t="s">
        <v>694</v>
      </c>
      <c r="C977" s="360" t="s">
        <v>168</v>
      </c>
      <c r="D977" s="360"/>
      <c r="E977" s="2"/>
      <c r="F977" s="2"/>
      <c r="G977" s="311">
        <f t="shared" si="138"/>
        <v>204</v>
      </c>
      <c r="H977" s="311">
        <f t="shared" si="138"/>
        <v>204</v>
      </c>
    </row>
    <row r="978" spans="1:14" ht="15.75" x14ac:dyDescent="0.25">
      <c r="A978" s="22" t="s">
        <v>262</v>
      </c>
      <c r="B978" s="365" t="s">
        <v>694</v>
      </c>
      <c r="C978" s="360" t="s">
        <v>168</v>
      </c>
      <c r="D978" s="360" t="s">
        <v>158</v>
      </c>
      <c r="E978" s="2"/>
      <c r="F978" s="2"/>
      <c r="G978" s="311">
        <f t="shared" si="138"/>
        <v>204</v>
      </c>
      <c r="H978" s="311">
        <f t="shared" si="138"/>
        <v>204</v>
      </c>
    </row>
    <row r="979" spans="1:14" ht="15.75" x14ac:dyDescent="0.25">
      <c r="A979" s="22" t="s">
        <v>696</v>
      </c>
      <c r="B979" s="365" t="s">
        <v>695</v>
      </c>
      <c r="C979" s="360" t="s">
        <v>168</v>
      </c>
      <c r="D979" s="360" t="s">
        <v>158</v>
      </c>
      <c r="E979" s="2"/>
      <c r="F979" s="2"/>
      <c r="G979" s="311">
        <f t="shared" si="138"/>
        <v>204</v>
      </c>
      <c r="H979" s="311">
        <f t="shared" si="138"/>
        <v>204</v>
      </c>
    </row>
    <row r="980" spans="1:14" ht="31.5" x14ac:dyDescent="0.25">
      <c r="A980" s="31" t="s">
        <v>123</v>
      </c>
      <c r="B980" s="365" t="s">
        <v>695</v>
      </c>
      <c r="C980" s="360" t="s">
        <v>168</v>
      </c>
      <c r="D980" s="360" t="s">
        <v>158</v>
      </c>
      <c r="E980" s="2">
        <v>200</v>
      </c>
      <c r="F980" s="2"/>
      <c r="G980" s="311">
        <f t="shared" si="138"/>
        <v>204</v>
      </c>
      <c r="H980" s="311">
        <f t="shared" si="138"/>
        <v>204</v>
      </c>
    </row>
    <row r="981" spans="1:14" ht="31.5" x14ac:dyDescent="0.25">
      <c r="A981" s="31" t="s">
        <v>125</v>
      </c>
      <c r="B981" s="365" t="s">
        <v>695</v>
      </c>
      <c r="C981" s="360" t="s">
        <v>168</v>
      </c>
      <c r="D981" s="360" t="s">
        <v>158</v>
      </c>
      <c r="E981" s="2">
        <v>240</v>
      </c>
      <c r="F981" s="2"/>
      <c r="G981" s="311">
        <f>'Пр.4.1 ведом.23-24 '!G1077</f>
        <v>204</v>
      </c>
      <c r="H981" s="311">
        <f>'Пр.4.1 ведом.23-24 '!H1077</f>
        <v>204</v>
      </c>
    </row>
    <row r="982" spans="1:14" ht="31.5" x14ac:dyDescent="0.25">
      <c r="A982" s="31" t="s">
        <v>302</v>
      </c>
      <c r="B982" s="365" t="s">
        <v>695</v>
      </c>
      <c r="C982" s="360" t="s">
        <v>168</v>
      </c>
      <c r="D982" s="360" t="s">
        <v>158</v>
      </c>
      <c r="E982" s="2">
        <v>240</v>
      </c>
      <c r="F982" s="2">
        <v>908</v>
      </c>
      <c r="G982" s="311">
        <f>'Пр.4 ведом.22'!G1077</f>
        <v>204</v>
      </c>
      <c r="H982" s="311">
        <f>'Пр.4 ведом.22'!H1077</f>
        <v>0</v>
      </c>
    </row>
    <row r="983" spans="1:14" ht="15.75" x14ac:dyDescent="0.25">
      <c r="A983" s="47" t="s">
        <v>309</v>
      </c>
      <c r="B983" s="47"/>
      <c r="C983" s="47"/>
      <c r="D983" s="47"/>
      <c r="E983" s="47"/>
      <c r="F983" s="47"/>
      <c r="G983" s="76">
        <f>G967+G951+G943+G928+G855+G828+G763+G690+G639+G480+G404+G396+G362+G354+G147+G30+G9+G778+G975+G959</f>
        <v>508078.75</v>
      </c>
      <c r="H983" s="76">
        <f>H967+H951+H943+H928+H855+H828+H763+H690+H639+H480+H404+H396+H362+H354+H147+H30+H9+H778+H975+H959</f>
        <v>464372.29999999993</v>
      </c>
      <c r="I983" s="16"/>
      <c r="N983" s="156"/>
    </row>
    <row r="985" spans="1:14" x14ac:dyDescent="0.25">
      <c r="G985" s="74">
        <f>'Пр.4.1 ведом.23-24 '!G1272</f>
        <v>508078.75</v>
      </c>
      <c r="H985" s="74">
        <f>'Пр.4.1 ведом.23-24 '!H1272</f>
        <v>464372.3</v>
      </c>
    </row>
    <row r="986" spans="1:14" x14ac:dyDescent="0.25">
      <c r="G986" s="74">
        <f>G985-G983</f>
        <v>0</v>
      </c>
      <c r="H986" s="74">
        <f>H985-H983</f>
        <v>0</v>
      </c>
    </row>
  </sheetData>
  <mergeCells count="4">
    <mergeCell ref="A5:G5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44.28515625" customWidth="1"/>
    <col min="2" max="2" width="15.5703125" style="131" customWidth="1"/>
    <col min="3" max="3" width="7.140625" customWidth="1"/>
    <col min="4" max="4" width="6.28515625" customWidth="1"/>
    <col min="5" max="5" width="7.28515625" style="131" customWidth="1"/>
    <col min="6" max="6" width="10.140625" customWidth="1"/>
    <col min="7" max="7" width="12.5703125" style="16" customWidth="1"/>
  </cols>
  <sheetData>
    <row r="1" spans="1:7" ht="18.75" customHeight="1" x14ac:dyDescent="0.25">
      <c r="A1" s="604"/>
      <c r="B1" s="604"/>
      <c r="C1" s="604"/>
      <c r="D1" s="41"/>
      <c r="E1" s="41"/>
      <c r="F1" s="605" t="s">
        <v>296</v>
      </c>
      <c r="G1" s="605"/>
    </row>
    <row r="2" spans="1:7" ht="18.75" customHeight="1" x14ac:dyDescent="0.25">
      <c r="A2" s="604"/>
      <c r="B2" s="604"/>
      <c r="C2" s="604"/>
      <c r="D2" s="41"/>
      <c r="E2" s="41"/>
      <c r="F2" s="605" t="s">
        <v>0</v>
      </c>
      <c r="G2" s="605"/>
    </row>
    <row r="3" spans="1:7" ht="15.75" x14ac:dyDescent="0.25">
      <c r="A3" s="41"/>
      <c r="B3" s="41"/>
      <c r="C3" s="41"/>
      <c r="D3" s="41"/>
      <c r="E3" s="41"/>
      <c r="F3" s="605" t="s">
        <v>1199</v>
      </c>
      <c r="G3" s="605"/>
    </row>
    <row r="4" spans="1:7" s="131" customFormat="1" ht="15.75" x14ac:dyDescent="0.25">
      <c r="A4" s="41"/>
      <c r="B4" s="41"/>
      <c r="C4" s="41"/>
      <c r="D4" s="41"/>
      <c r="E4" s="41"/>
      <c r="F4" s="41"/>
      <c r="G4" s="184"/>
    </row>
    <row r="5" spans="1:7" s="131" customFormat="1" ht="15.75" x14ac:dyDescent="0.25">
      <c r="A5" s="41"/>
      <c r="B5" s="41"/>
      <c r="C5" s="41"/>
      <c r="D5" s="41"/>
      <c r="E5" s="41"/>
      <c r="F5" s="41"/>
      <c r="G5" s="184"/>
    </row>
    <row r="6" spans="1:7" x14ac:dyDescent="0.25">
      <c r="A6" s="603" t="s">
        <v>1158</v>
      </c>
      <c r="B6" s="603"/>
      <c r="C6" s="603"/>
      <c r="D6" s="603"/>
      <c r="E6" s="603"/>
      <c r="F6" s="603"/>
      <c r="G6" s="603"/>
    </row>
    <row r="7" spans="1:7" x14ac:dyDescent="0.25">
      <c r="A7" s="603"/>
      <c r="B7" s="603"/>
      <c r="C7" s="603"/>
      <c r="D7" s="603"/>
      <c r="E7" s="603"/>
      <c r="F7" s="603"/>
      <c r="G7" s="603"/>
    </row>
    <row r="8" spans="1:7" ht="16.5" x14ac:dyDescent="0.25">
      <c r="A8" s="162"/>
      <c r="B8" s="162"/>
      <c r="C8" s="162"/>
      <c r="D8" s="162"/>
      <c r="E8" s="162"/>
      <c r="F8" s="162"/>
      <c r="G8" s="262"/>
    </row>
    <row r="9" spans="1:7" ht="15.75" x14ac:dyDescent="0.25">
      <c r="A9" s="41"/>
      <c r="B9" s="41"/>
      <c r="C9" s="41"/>
      <c r="D9" s="41"/>
      <c r="E9" s="41"/>
      <c r="F9" s="43"/>
      <c r="G9" s="238" t="s">
        <v>1</v>
      </c>
    </row>
    <row r="10" spans="1:7" ht="53.65" customHeight="1" x14ac:dyDescent="0.25">
      <c r="A10" s="44" t="s">
        <v>295</v>
      </c>
      <c r="B10" s="44" t="s">
        <v>646</v>
      </c>
      <c r="C10" s="44" t="s">
        <v>644</v>
      </c>
      <c r="D10" s="44" t="s">
        <v>111</v>
      </c>
      <c r="E10" s="44" t="s">
        <v>645</v>
      </c>
      <c r="F10" s="44" t="s">
        <v>109</v>
      </c>
      <c r="G10" s="263" t="s">
        <v>590</v>
      </c>
    </row>
    <row r="11" spans="1:7" s="131" customFormat="1" ht="33.4" customHeight="1" x14ac:dyDescent="0.25">
      <c r="A11" s="19" t="s">
        <v>176</v>
      </c>
      <c r="B11" s="15" t="s">
        <v>456</v>
      </c>
      <c r="C11" s="44"/>
      <c r="D11" s="44"/>
      <c r="E11" s="44"/>
      <c r="F11" s="44"/>
      <c r="G11" s="263">
        <f>G12</f>
        <v>9913.5</v>
      </c>
    </row>
    <row r="12" spans="1:7" s="131" customFormat="1" ht="18.399999999999999" customHeight="1" x14ac:dyDescent="0.25">
      <c r="A12" s="19" t="s">
        <v>173</v>
      </c>
      <c r="B12" s="15" t="s">
        <v>456</v>
      </c>
      <c r="C12" s="44">
        <v>10</v>
      </c>
      <c r="D12" s="44"/>
      <c r="E12" s="44"/>
      <c r="F12" s="44"/>
      <c r="G12" s="263">
        <f>G13</f>
        <v>9913.5</v>
      </c>
    </row>
    <row r="13" spans="1:7" s="131" customFormat="1" ht="18.399999999999999" customHeight="1" x14ac:dyDescent="0.25">
      <c r="A13" s="19" t="s">
        <v>175</v>
      </c>
      <c r="B13" s="15" t="s">
        <v>456</v>
      </c>
      <c r="C13" s="44">
        <v>10</v>
      </c>
      <c r="D13" s="28" t="s">
        <v>116</v>
      </c>
      <c r="E13" s="44"/>
      <c r="F13" s="44"/>
      <c r="G13" s="263">
        <f>G14</f>
        <v>9913.5</v>
      </c>
    </row>
    <row r="14" spans="1:7" s="131" customFormat="1" ht="28.15" customHeight="1" x14ac:dyDescent="0.25">
      <c r="A14" s="22" t="s">
        <v>177</v>
      </c>
      <c r="B14" s="15" t="s">
        <v>456</v>
      </c>
      <c r="C14" s="44">
        <v>10</v>
      </c>
      <c r="D14" s="28" t="s">
        <v>116</v>
      </c>
      <c r="E14" s="44">
        <v>300</v>
      </c>
      <c r="F14" s="44"/>
      <c r="G14" s="263">
        <f>G15</f>
        <v>9913.5</v>
      </c>
    </row>
    <row r="15" spans="1:7" s="131" customFormat="1" ht="34.700000000000003" customHeight="1" x14ac:dyDescent="0.25">
      <c r="A15" s="19" t="s">
        <v>216</v>
      </c>
      <c r="B15" s="15" t="s">
        <v>456</v>
      </c>
      <c r="C15" s="44">
        <v>10</v>
      </c>
      <c r="D15" s="28" t="s">
        <v>116</v>
      </c>
      <c r="E15" s="44">
        <v>310</v>
      </c>
      <c r="F15" s="44"/>
      <c r="G15" s="263">
        <f>'Пр.4 ведом.22'!G230</f>
        <v>9913.5</v>
      </c>
    </row>
    <row r="16" spans="1:7" s="131" customFormat="1" ht="37.35" customHeight="1" x14ac:dyDescent="0.25">
      <c r="A16" s="237" t="s">
        <v>137</v>
      </c>
      <c r="B16" s="15" t="s">
        <v>456</v>
      </c>
      <c r="C16" s="44">
        <v>10</v>
      </c>
      <c r="D16" s="28" t="s">
        <v>116</v>
      </c>
      <c r="E16" s="44">
        <v>310</v>
      </c>
      <c r="F16" s="44">
        <v>902</v>
      </c>
      <c r="G16" s="263">
        <f>G11</f>
        <v>9913.5</v>
      </c>
    </row>
    <row r="17" spans="1:7" s="131" customFormat="1" ht="63" hidden="1" x14ac:dyDescent="0.25">
      <c r="A17" s="155" t="s">
        <v>596</v>
      </c>
      <c r="B17" s="15" t="s">
        <v>608</v>
      </c>
      <c r="C17" s="28"/>
      <c r="D17" s="28"/>
      <c r="E17" s="28"/>
      <c r="F17" s="5"/>
      <c r="G17" s="6">
        <f>G18</f>
        <v>0</v>
      </c>
    </row>
    <row r="18" spans="1:7" s="131" customFormat="1" ht="15.75" hidden="1" x14ac:dyDescent="0.25">
      <c r="A18" s="31" t="s">
        <v>186</v>
      </c>
      <c r="B18" s="15" t="s">
        <v>608</v>
      </c>
      <c r="C18" s="28" t="s">
        <v>187</v>
      </c>
      <c r="D18" s="28"/>
      <c r="E18" s="122"/>
      <c r="F18" s="5"/>
      <c r="G18" s="6">
        <f>G19</f>
        <v>0</v>
      </c>
    </row>
    <row r="19" spans="1:7" s="131" customFormat="1" ht="31.5" hidden="1" x14ac:dyDescent="0.25">
      <c r="A19" s="31" t="s">
        <v>246</v>
      </c>
      <c r="B19" s="15" t="s">
        <v>608</v>
      </c>
      <c r="C19" s="28" t="s">
        <v>187</v>
      </c>
      <c r="D19" s="28" t="s">
        <v>187</v>
      </c>
      <c r="E19" s="122"/>
      <c r="F19" s="5"/>
      <c r="G19" s="6">
        <f>G20</f>
        <v>0</v>
      </c>
    </row>
    <row r="20" spans="1:7" ht="31.5" hidden="1" x14ac:dyDescent="0.25">
      <c r="A20" s="22" t="s">
        <v>177</v>
      </c>
      <c r="B20" s="15" t="s">
        <v>608</v>
      </c>
      <c r="C20" s="28" t="s">
        <v>187</v>
      </c>
      <c r="D20" s="28" t="s">
        <v>187</v>
      </c>
      <c r="E20" s="28" t="s">
        <v>178</v>
      </c>
      <c r="F20" s="5"/>
      <c r="G20" s="6">
        <f>G21</f>
        <v>0</v>
      </c>
    </row>
    <row r="21" spans="1:7" ht="38.1" hidden="1" customHeight="1" x14ac:dyDescent="0.25">
      <c r="A21" s="22" t="s">
        <v>736</v>
      </c>
      <c r="B21" s="15" t="s">
        <v>608</v>
      </c>
      <c r="C21" s="28" t="s">
        <v>187</v>
      </c>
      <c r="D21" s="28" t="s">
        <v>187</v>
      </c>
      <c r="E21" s="28" t="s">
        <v>735</v>
      </c>
      <c r="F21" s="5"/>
      <c r="G21" s="6">
        <f>G22</f>
        <v>0</v>
      </c>
    </row>
    <row r="22" spans="1:7" s="131" customFormat="1" ht="46.9" hidden="1" customHeight="1" x14ac:dyDescent="0.25">
      <c r="A22" s="31" t="s">
        <v>310</v>
      </c>
      <c r="B22" s="15" t="s">
        <v>608</v>
      </c>
      <c r="C22" s="28" t="s">
        <v>187</v>
      </c>
      <c r="D22" s="28" t="s">
        <v>187</v>
      </c>
      <c r="E22" s="28" t="s">
        <v>735</v>
      </c>
      <c r="F22" s="5">
        <v>903</v>
      </c>
      <c r="G22" s="6"/>
    </row>
    <row r="23" spans="1:7" s="131" customFormat="1" ht="18.399999999999999" customHeight="1" x14ac:dyDescent="0.25">
      <c r="A23" s="19" t="s">
        <v>598</v>
      </c>
      <c r="B23" s="15" t="s">
        <v>479</v>
      </c>
      <c r="C23" s="28"/>
      <c r="D23" s="28"/>
      <c r="E23" s="28"/>
      <c r="F23" s="5"/>
      <c r="G23" s="6">
        <f>G24</f>
        <v>420</v>
      </c>
    </row>
    <row r="24" spans="1:7" s="131" customFormat="1" ht="20.25" customHeight="1" x14ac:dyDescent="0.25">
      <c r="A24" s="19" t="s">
        <v>638</v>
      </c>
      <c r="B24" s="15" t="s">
        <v>479</v>
      </c>
      <c r="C24" s="28" t="s">
        <v>174</v>
      </c>
      <c r="D24" s="28"/>
      <c r="E24" s="28"/>
      <c r="F24" s="5"/>
      <c r="G24" s="6">
        <f>G25</f>
        <v>420</v>
      </c>
    </row>
    <row r="25" spans="1:7" s="131" customFormat="1" ht="19.7" customHeight="1" x14ac:dyDescent="0.25">
      <c r="A25" s="22" t="s">
        <v>181</v>
      </c>
      <c r="B25" s="15" t="s">
        <v>479</v>
      </c>
      <c r="C25" s="28" t="s">
        <v>174</v>
      </c>
      <c r="D25" s="28" t="s">
        <v>159</v>
      </c>
      <c r="E25" s="28"/>
      <c r="F25" s="5"/>
      <c r="G25" s="6">
        <f>G26</f>
        <v>420</v>
      </c>
    </row>
    <row r="26" spans="1:7" s="131" customFormat="1" ht="33.75" customHeight="1" x14ac:dyDescent="0.25">
      <c r="A26" s="19" t="s">
        <v>177</v>
      </c>
      <c r="B26" s="15" t="s">
        <v>479</v>
      </c>
      <c r="C26" s="28" t="s">
        <v>174</v>
      </c>
      <c r="D26" s="28" t="s">
        <v>159</v>
      </c>
      <c r="E26" s="28" t="s">
        <v>178</v>
      </c>
      <c r="F26" s="5"/>
      <c r="G26" s="6">
        <f>G27</f>
        <v>420</v>
      </c>
    </row>
    <row r="27" spans="1:7" s="131" customFormat="1" ht="31.9" customHeight="1" x14ac:dyDescent="0.25">
      <c r="A27" s="19" t="s">
        <v>216</v>
      </c>
      <c r="B27" s="15" t="s">
        <v>479</v>
      </c>
      <c r="C27" s="28" t="s">
        <v>174</v>
      </c>
      <c r="D27" s="28" t="s">
        <v>159</v>
      </c>
      <c r="E27" s="28" t="s">
        <v>217</v>
      </c>
      <c r="F27" s="5"/>
      <c r="G27" s="6">
        <f>G28</f>
        <v>420</v>
      </c>
    </row>
    <row r="28" spans="1:7" s="131" customFormat="1" ht="55.7" customHeight="1" x14ac:dyDescent="0.25">
      <c r="A28" s="31" t="s">
        <v>310</v>
      </c>
      <c r="B28" s="15" t="s">
        <v>479</v>
      </c>
      <c r="C28" s="28" t="s">
        <v>174</v>
      </c>
      <c r="D28" s="28" t="s">
        <v>159</v>
      </c>
      <c r="E28" s="28" t="s">
        <v>217</v>
      </c>
      <c r="F28" s="5">
        <v>903</v>
      </c>
      <c r="G28" s="6">
        <f>'Пр.4 ведом.22'!G520</f>
        <v>420</v>
      </c>
    </row>
    <row r="29" spans="1:7" s="131" customFormat="1" ht="61.15" customHeight="1" x14ac:dyDescent="0.25">
      <c r="A29" s="70" t="s">
        <v>601</v>
      </c>
      <c r="B29" s="15" t="s">
        <v>481</v>
      </c>
      <c r="C29" s="28"/>
      <c r="D29" s="28"/>
      <c r="E29" s="28"/>
      <c r="F29" s="5"/>
      <c r="G29" s="6">
        <f>G30</f>
        <v>630</v>
      </c>
    </row>
    <row r="30" spans="1:7" ht="15.75" x14ac:dyDescent="0.25">
      <c r="A30" s="52" t="s">
        <v>173</v>
      </c>
      <c r="B30" s="15" t="s">
        <v>481</v>
      </c>
      <c r="C30" s="9" t="s">
        <v>174</v>
      </c>
      <c r="D30" s="9"/>
      <c r="E30" s="9"/>
      <c r="F30" s="9"/>
      <c r="G30" s="10">
        <f>G31</f>
        <v>630</v>
      </c>
    </row>
    <row r="31" spans="1:7" ht="19.149999999999999" customHeight="1" x14ac:dyDescent="0.25">
      <c r="A31" s="22" t="s">
        <v>181</v>
      </c>
      <c r="B31" s="15" t="s">
        <v>481</v>
      </c>
      <c r="C31" s="28" t="s">
        <v>174</v>
      </c>
      <c r="D31" s="28" t="s">
        <v>159</v>
      </c>
      <c r="E31" s="28"/>
      <c r="F31" s="5"/>
      <c r="G31" s="6">
        <f>G32</f>
        <v>630</v>
      </c>
    </row>
    <row r="32" spans="1:7" ht="31.5" x14ac:dyDescent="0.25">
      <c r="A32" s="22" t="s">
        <v>177</v>
      </c>
      <c r="B32" s="15" t="s">
        <v>481</v>
      </c>
      <c r="C32" s="28" t="s">
        <v>174</v>
      </c>
      <c r="D32" s="28" t="s">
        <v>159</v>
      </c>
      <c r="E32" s="28" t="s">
        <v>178</v>
      </c>
      <c r="F32" s="5"/>
      <c r="G32" s="6">
        <f>G33</f>
        <v>630</v>
      </c>
    </row>
    <row r="33" spans="1:7" ht="31.5" x14ac:dyDescent="0.25">
      <c r="A33" s="22" t="s">
        <v>216</v>
      </c>
      <c r="B33" s="15" t="s">
        <v>481</v>
      </c>
      <c r="C33" s="28" t="s">
        <v>174</v>
      </c>
      <c r="D33" s="28" t="s">
        <v>159</v>
      </c>
      <c r="E33" s="53" t="s">
        <v>217</v>
      </c>
      <c r="F33" s="5"/>
      <c r="G33" s="6">
        <f>G34</f>
        <v>630</v>
      </c>
    </row>
    <row r="34" spans="1:7" s="131" customFormat="1" ht="46.9" customHeight="1" x14ac:dyDescent="0.25">
      <c r="A34" s="31" t="s">
        <v>310</v>
      </c>
      <c r="B34" s="15" t="s">
        <v>481</v>
      </c>
      <c r="C34" s="28" t="s">
        <v>174</v>
      </c>
      <c r="D34" s="28" t="s">
        <v>159</v>
      </c>
      <c r="E34" s="53" t="s">
        <v>217</v>
      </c>
      <c r="F34" s="5">
        <v>903</v>
      </c>
      <c r="G34" s="6">
        <f>'Пр.4 ведом.22'!G510</f>
        <v>630</v>
      </c>
    </row>
    <row r="35" spans="1:7" ht="31.5" x14ac:dyDescent="0.25">
      <c r="A35" s="19" t="s">
        <v>561</v>
      </c>
      <c r="B35" s="15" t="s">
        <v>482</v>
      </c>
      <c r="C35" s="28"/>
      <c r="D35" s="28"/>
      <c r="E35" s="28"/>
      <c r="F35" s="5"/>
      <c r="G35" s="6">
        <f>G36</f>
        <v>257</v>
      </c>
    </row>
    <row r="36" spans="1:7" s="131" customFormat="1" ht="15.75" x14ac:dyDescent="0.25">
      <c r="A36" s="52" t="s">
        <v>173</v>
      </c>
      <c r="B36" s="15" t="s">
        <v>482</v>
      </c>
      <c r="C36" s="28" t="s">
        <v>174</v>
      </c>
      <c r="D36" s="28"/>
      <c r="E36" s="28"/>
      <c r="F36" s="5"/>
      <c r="G36" s="6">
        <f>G37</f>
        <v>257</v>
      </c>
    </row>
    <row r="37" spans="1:7" ht="17.649999999999999" customHeight="1" x14ac:dyDescent="0.25">
      <c r="A37" s="22" t="s">
        <v>181</v>
      </c>
      <c r="B37" s="15" t="s">
        <v>482</v>
      </c>
      <c r="C37" s="28" t="s">
        <v>174</v>
      </c>
      <c r="D37" s="28" t="s">
        <v>159</v>
      </c>
      <c r="E37" s="28"/>
      <c r="F37" s="5"/>
      <c r="G37" s="6">
        <f>G38</f>
        <v>257</v>
      </c>
    </row>
    <row r="38" spans="1:7" ht="31.5" x14ac:dyDescent="0.25">
      <c r="A38" s="22" t="s">
        <v>177</v>
      </c>
      <c r="B38" s="15" t="s">
        <v>482</v>
      </c>
      <c r="C38" s="28" t="s">
        <v>174</v>
      </c>
      <c r="D38" s="28" t="s">
        <v>159</v>
      </c>
      <c r="E38" s="28" t="s">
        <v>178</v>
      </c>
      <c r="F38" s="5"/>
      <c r="G38" s="6">
        <f>G39</f>
        <v>257</v>
      </c>
    </row>
    <row r="39" spans="1:7" ht="31.5" x14ac:dyDescent="0.25">
      <c r="A39" s="22" t="s">
        <v>216</v>
      </c>
      <c r="B39" s="15" t="s">
        <v>482</v>
      </c>
      <c r="C39" s="28" t="s">
        <v>174</v>
      </c>
      <c r="D39" s="28" t="s">
        <v>159</v>
      </c>
      <c r="E39" s="28" t="s">
        <v>217</v>
      </c>
      <c r="F39" s="5"/>
      <c r="G39" s="6">
        <f>G40</f>
        <v>257</v>
      </c>
    </row>
    <row r="40" spans="1:7" s="131" customFormat="1" ht="57.2" customHeight="1" x14ac:dyDescent="0.25">
      <c r="A40" s="31" t="s">
        <v>310</v>
      </c>
      <c r="B40" s="15" t="s">
        <v>482</v>
      </c>
      <c r="C40" s="28" t="s">
        <v>174</v>
      </c>
      <c r="D40" s="28" t="s">
        <v>159</v>
      </c>
      <c r="E40" s="28" t="s">
        <v>217</v>
      </c>
      <c r="F40" s="5">
        <v>903</v>
      </c>
      <c r="G40" s="6">
        <f>'Пр.4 ведом.22'!G516</f>
        <v>257</v>
      </c>
    </row>
    <row r="41" spans="1:7" s="131" customFormat="1" ht="63" hidden="1" x14ac:dyDescent="0.25">
      <c r="A41" s="19" t="s">
        <v>602</v>
      </c>
      <c r="B41" s="15" t="s">
        <v>483</v>
      </c>
      <c r="C41" s="28"/>
      <c r="D41" s="28"/>
      <c r="E41" s="28"/>
      <c r="F41" s="5"/>
      <c r="G41" s="6">
        <f>G42</f>
        <v>0</v>
      </c>
    </row>
    <row r="42" spans="1:7" s="131" customFormat="1" ht="15.75" hidden="1" x14ac:dyDescent="0.25">
      <c r="A42" s="52" t="s">
        <v>173</v>
      </c>
      <c r="B42" s="15" t="s">
        <v>483</v>
      </c>
      <c r="C42" s="28" t="s">
        <v>174</v>
      </c>
      <c r="D42" s="28"/>
      <c r="E42" s="28"/>
      <c r="F42" s="5"/>
      <c r="G42" s="6">
        <f>G43</f>
        <v>0</v>
      </c>
    </row>
    <row r="43" spans="1:7" ht="15.75" hidden="1" x14ac:dyDescent="0.25">
      <c r="A43" s="22" t="s">
        <v>181</v>
      </c>
      <c r="B43" s="15" t="s">
        <v>483</v>
      </c>
      <c r="C43" s="28" t="s">
        <v>174</v>
      </c>
      <c r="D43" s="28" t="s">
        <v>159</v>
      </c>
      <c r="E43" s="28"/>
      <c r="F43" s="5">
        <v>903</v>
      </c>
      <c r="G43" s="6">
        <f>G44</f>
        <v>0</v>
      </c>
    </row>
    <row r="44" spans="1:7" ht="31.5" hidden="1" x14ac:dyDescent="0.25">
      <c r="A44" s="22" t="s">
        <v>177</v>
      </c>
      <c r="B44" s="15" t="s">
        <v>483</v>
      </c>
      <c r="C44" s="28" t="s">
        <v>174</v>
      </c>
      <c r="D44" s="28" t="s">
        <v>159</v>
      </c>
      <c r="E44" s="28" t="s">
        <v>178</v>
      </c>
      <c r="F44" s="5">
        <v>903</v>
      </c>
      <c r="G44" s="6">
        <f>G45</f>
        <v>0</v>
      </c>
    </row>
    <row r="45" spans="1:7" ht="31.5" hidden="1" x14ac:dyDescent="0.25">
      <c r="A45" s="22" t="s">
        <v>216</v>
      </c>
      <c r="B45" s="15" t="s">
        <v>483</v>
      </c>
      <c r="C45" s="28" t="s">
        <v>174</v>
      </c>
      <c r="D45" s="28" t="s">
        <v>159</v>
      </c>
      <c r="E45" s="28" t="s">
        <v>217</v>
      </c>
      <c r="F45" s="5">
        <v>903</v>
      </c>
      <c r="G45" s="6"/>
    </row>
    <row r="46" spans="1:7" s="131" customFormat="1" ht="47.25" hidden="1" x14ac:dyDescent="0.25">
      <c r="A46" s="31" t="s">
        <v>310</v>
      </c>
      <c r="B46" s="15" t="s">
        <v>483</v>
      </c>
      <c r="C46" s="28" t="s">
        <v>174</v>
      </c>
      <c r="D46" s="28" t="s">
        <v>159</v>
      </c>
      <c r="E46" s="28" t="s">
        <v>217</v>
      </c>
      <c r="F46" s="5">
        <v>903</v>
      </c>
      <c r="G46" s="6"/>
    </row>
    <row r="47" spans="1:7" ht="15.75" x14ac:dyDescent="0.25">
      <c r="A47" s="29" t="s">
        <v>309</v>
      </c>
      <c r="B47" s="163"/>
      <c r="C47" s="163"/>
      <c r="D47" s="163"/>
      <c r="E47" s="163"/>
      <c r="F47" s="29"/>
      <c r="G47" s="38">
        <f>G17+G23+G29+G35+G41+G11</f>
        <v>11220.5</v>
      </c>
    </row>
  </sheetData>
  <mergeCells count="5"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2" zoomScaleNormal="100" zoomScaleSheetLayoutView="100" workbookViewId="0">
      <selection activeCell="N52" sqref="N52"/>
    </sheetView>
  </sheetViews>
  <sheetFormatPr defaultColWidth="8.85546875" defaultRowHeight="15" x14ac:dyDescent="0.25"/>
  <cols>
    <col min="1" max="1" width="44.28515625" style="362" customWidth="1"/>
    <col min="2" max="2" width="15.5703125" style="362" customWidth="1"/>
    <col min="3" max="3" width="7.140625" style="362" customWidth="1"/>
    <col min="4" max="4" width="6.28515625" style="362" customWidth="1"/>
    <col min="5" max="5" width="7.28515625" style="362" customWidth="1"/>
    <col min="6" max="6" width="10.140625" style="362" customWidth="1"/>
    <col min="7" max="8" width="12.5703125" style="16" customWidth="1"/>
    <col min="9" max="16384" width="8.85546875" style="362"/>
  </cols>
  <sheetData>
    <row r="1" spans="1:8" ht="18.75" customHeight="1" x14ac:dyDescent="0.25">
      <c r="A1" s="604"/>
      <c r="B1" s="604"/>
      <c r="C1" s="604"/>
      <c r="D1" s="41"/>
      <c r="E1" s="41"/>
      <c r="F1" s="439"/>
      <c r="G1" s="576" t="s">
        <v>1186</v>
      </c>
      <c r="H1" s="576"/>
    </row>
    <row r="2" spans="1:8" ht="18.75" customHeight="1" x14ac:dyDescent="0.25">
      <c r="A2" s="604"/>
      <c r="B2" s="604"/>
      <c r="C2" s="604"/>
      <c r="D2" s="41"/>
      <c r="E2" s="41"/>
      <c r="F2" s="439"/>
      <c r="G2" s="576" t="s">
        <v>0</v>
      </c>
      <c r="H2" s="576"/>
    </row>
    <row r="3" spans="1:8" ht="15.75" x14ac:dyDescent="0.25">
      <c r="A3" s="41"/>
      <c r="B3" s="41"/>
      <c r="C3" s="41"/>
      <c r="D3" s="41"/>
      <c r="E3" s="41"/>
      <c r="F3" s="439"/>
      <c r="G3" s="576" t="s">
        <v>1178</v>
      </c>
      <c r="H3" s="576"/>
    </row>
    <row r="4" spans="1:8" ht="15.75" x14ac:dyDescent="0.25">
      <c r="A4" s="41"/>
      <c r="B4" s="41"/>
      <c r="C4" s="41"/>
      <c r="D4" s="41"/>
      <c r="E4" s="41"/>
      <c r="F4" s="41"/>
      <c r="G4" s="432"/>
      <c r="H4" s="432"/>
    </row>
    <row r="5" spans="1:8" ht="15.75" x14ac:dyDescent="0.25">
      <c r="A5" s="41"/>
      <c r="B5" s="41"/>
      <c r="C5" s="41"/>
      <c r="D5" s="41"/>
      <c r="E5" s="41"/>
      <c r="F5" s="41"/>
      <c r="G5" s="432"/>
      <c r="H5" s="432"/>
    </row>
    <row r="6" spans="1:8" ht="14.45" customHeight="1" x14ac:dyDescent="0.25">
      <c r="A6" s="603" t="s">
        <v>1187</v>
      </c>
      <c r="B6" s="603"/>
      <c r="C6" s="603"/>
      <c r="D6" s="603"/>
      <c r="E6" s="603"/>
      <c r="F6" s="603"/>
      <c r="G6" s="603"/>
      <c r="H6" s="603"/>
    </row>
    <row r="7" spans="1:8" ht="14.45" customHeight="1" x14ac:dyDescent="0.25">
      <c r="A7" s="603"/>
      <c r="B7" s="603"/>
      <c r="C7" s="603"/>
      <c r="D7" s="603"/>
      <c r="E7" s="603"/>
      <c r="F7" s="603"/>
      <c r="G7" s="603"/>
      <c r="H7" s="603"/>
    </row>
    <row r="8" spans="1:8" ht="16.5" x14ac:dyDescent="0.25">
      <c r="A8" s="162"/>
      <c r="B8" s="162"/>
      <c r="C8" s="162"/>
      <c r="D8" s="162"/>
      <c r="E8" s="162"/>
      <c r="F8" s="162"/>
      <c r="G8" s="262"/>
      <c r="H8" s="262"/>
    </row>
    <row r="9" spans="1:8" ht="15.75" x14ac:dyDescent="0.25">
      <c r="A9" s="41"/>
      <c r="B9" s="41"/>
      <c r="C9" s="41"/>
      <c r="D9" s="41"/>
      <c r="E9" s="41"/>
      <c r="F9" s="43"/>
      <c r="G9" s="438"/>
      <c r="H9" s="438" t="s">
        <v>1</v>
      </c>
    </row>
    <row r="10" spans="1:8" ht="53.65" customHeight="1" x14ac:dyDescent="0.25">
      <c r="A10" s="44" t="s">
        <v>295</v>
      </c>
      <c r="B10" s="44" t="s">
        <v>646</v>
      </c>
      <c r="C10" s="44" t="s">
        <v>644</v>
      </c>
      <c r="D10" s="44" t="s">
        <v>111</v>
      </c>
      <c r="E10" s="44" t="s">
        <v>645</v>
      </c>
      <c r="F10" s="44" t="s">
        <v>109</v>
      </c>
      <c r="G10" s="263" t="s">
        <v>807</v>
      </c>
      <c r="H10" s="263" t="s">
        <v>1157</v>
      </c>
    </row>
    <row r="11" spans="1:8" ht="33.4" customHeight="1" x14ac:dyDescent="0.25">
      <c r="A11" s="364" t="s">
        <v>176</v>
      </c>
      <c r="B11" s="365" t="s">
        <v>456</v>
      </c>
      <c r="C11" s="44"/>
      <c r="D11" s="44"/>
      <c r="E11" s="44"/>
      <c r="F11" s="44"/>
      <c r="G11" s="263">
        <f t="shared" ref="G11:H14" si="0">G12</f>
        <v>9913.5</v>
      </c>
      <c r="H11" s="263">
        <f t="shared" si="0"/>
        <v>9913.5</v>
      </c>
    </row>
    <row r="12" spans="1:8" ht="18.399999999999999" customHeight="1" x14ac:dyDescent="0.25">
      <c r="A12" s="364" t="s">
        <v>173</v>
      </c>
      <c r="B12" s="365" t="s">
        <v>456</v>
      </c>
      <c r="C12" s="44">
        <v>10</v>
      </c>
      <c r="D12" s="44"/>
      <c r="E12" s="44"/>
      <c r="F12" s="44"/>
      <c r="G12" s="263">
        <f t="shared" si="0"/>
        <v>9913.5</v>
      </c>
      <c r="H12" s="263">
        <f t="shared" si="0"/>
        <v>9913.5</v>
      </c>
    </row>
    <row r="13" spans="1:8" ht="18.399999999999999" customHeight="1" x14ac:dyDescent="0.25">
      <c r="A13" s="364" t="s">
        <v>175</v>
      </c>
      <c r="B13" s="365" t="s">
        <v>456</v>
      </c>
      <c r="C13" s="44">
        <v>10</v>
      </c>
      <c r="D13" s="360" t="s">
        <v>116</v>
      </c>
      <c r="E13" s="44"/>
      <c r="F13" s="44"/>
      <c r="G13" s="263">
        <f t="shared" si="0"/>
        <v>9913.5</v>
      </c>
      <c r="H13" s="263">
        <f t="shared" si="0"/>
        <v>9913.5</v>
      </c>
    </row>
    <row r="14" spans="1:8" ht="28.15" customHeight="1" x14ac:dyDescent="0.25">
      <c r="A14" s="22" t="s">
        <v>177</v>
      </c>
      <c r="B14" s="365" t="s">
        <v>456</v>
      </c>
      <c r="C14" s="44">
        <v>10</v>
      </c>
      <c r="D14" s="360" t="s">
        <v>116</v>
      </c>
      <c r="E14" s="44">
        <v>300</v>
      </c>
      <c r="F14" s="44"/>
      <c r="G14" s="263">
        <f t="shared" si="0"/>
        <v>9913.5</v>
      </c>
      <c r="H14" s="263">
        <f t="shared" si="0"/>
        <v>9913.5</v>
      </c>
    </row>
    <row r="15" spans="1:8" ht="34.700000000000003" customHeight="1" x14ac:dyDescent="0.25">
      <c r="A15" s="364" t="s">
        <v>216</v>
      </c>
      <c r="B15" s="365" t="s">
        <v>456</v>
      </c>
      <c r="C15" s="44">
        <v>10</v>
      </c>
      <c r="D15" s="360" t="s">
        <v>116</v>
      </c>
      <c r="E15" s="44">
        <v>310</v>
      </c>
      <c r="F15" s="44"/>
      <c r="G15" s="263">
        <f>'Пр.4.1 ведом.23-24 '!G231</f>
        <v>9913.5</v>
      </c>
      <c r="H15" s="263">
        <f>'Пр.4.1 ведом.23-24 '!H231</f>
        <v>9913.5</v>
      </c>
    </row>
    <row r="16" spans="1:8" ht="37.35" customHeight="1" x14ac:dyDescent="0.25">
      <c r="A16" s="237" t="s">
        <v>137</v>
      </c>
      <c r="B16" s="365" t="s">
        <v>456</v>
      </c>
      <c r="C16" s="44">
        <v>10</v>
      </c>
      <c r="D16" s="360" t="s">
        <v>116</v>
      </c>
      <c r="E16" s="44">
        <v>310</v>
      </c>
      <c r="F16" s="44">
        <v>902</v>
      </c>
      <c r="G16" s="263">
        <f>G11</f>
        <v>9913.5</v>
      </c>
      <c r="H16" s="263">
        <f>H11</f>
        <v>9913.5</v>
      </c>
    </row>
    <row r="17" spans="1:8" ht="63" hidden="1" x14ac:dyDescent="0.25">
      <c r="A17" s="155" t="s">
        <v>596</v>
      </c>
      <c r="B17" s="365" t="s">
        <v>608</v>
      </c>
      <c r="C17" s="360"/>
      <c r="D17" s="360"/>
      <c r="E17" s="360"/>
      <c r="F17" s="5"/>
      <c r="G17" s="311">
        <f t="shared" ref="G17:H21" si="1">G18</f>
        <v>0</v>
      </c>
      <c r="H17" s="311">
        <f t="shared" si="1"/>
        <v>0</v>
      </c>
    </row>
    <row r="18" spans="1:8" ht="15.75" hidden="1" x14ac:dyDescent="0.25">
      <c r="A18" s="31" t="s">
        <v>186</v>
      </c>
      <c r="B18" s="365" t="s">
        <v>608</v>
      </c>
      <c r="C18" s="360" t="s">
        <v>187</v>
      </c>
      <c r="D18" s="360"/>
      <c r="E18" s="122"/>
      <c r="F18" s="5"/>
      <c r="G18" s="311">
        <f t="shared" si="1"/>
        <v>0</v>
      </c>
      <c r="H18" s="311">
        <f t="shared" si="1"/>
        <v>0</v>
      </c>
    </row>
    <row r="19" spans="1:8" ht="31.5" hidden="1" x14ac:dyDescent="0.25">
      <c r="A19" s="31" t="s">
        <v>246</v>
      </c>
      <c r="B19" s="365" t="s">
        <v>608</v>
      </c>
      <c r="C19" s="360" t="s">
        <v>187</v>
      </c>
      <c r="D19" s="360" t="s">
        <v>187</v>
      </c>
      <c r="E19" s="122"/>
      <c r="F19" s="5"/>
      <c r="G19" s="311">
        <f t="shared" si="1"/>
        <v>0</v>
      </c>
      <c r="H19" s="311">
        <f t="shared" si="1"/>
        <v>0</v>
      </c>
    </row>
    <row r="20" spans="1:8" ht="31.5" hidden="1" x14ac:dyDescent="0.25">
      <c r="A20" s="22" t="s">
        <v>177</v>
      </c>
      <c r="B20" s="365" t="s">
        <v>608</v>
      </c>
      <c r="C20" s="360" t="s">
        <v>187</v>
      </c>
      <c r="D20" s="360" t="s">
        <v>187</v>
      </c>
      <c r="E20" s="360" t="s">
        <v>178</v>
      </c>
      <c r="F20" s="5"/>
      <c r="G20" s="311">
        <f t="shared" si="1"/>
        <v>0</v>
      </c>
      <c r="H20" s="311">
        <f t="shared" si="1"/>
        <v>0</v>
      </c>
    </row>
    <row r="21" spans="1:8" ht="38.1" hidden="1" customHeight="1" x14ac:dyDescent="0.25">
      <c r="A21" s="22" t="s">
        <v>736</v>
      </c>
      <c r="B21" s="365" t="s">
        <v>608</v>
      </c>
      <c r="C21" s="360" t="s">
        <v>187</v>
      </c>
      <c r="D21" s="360" t="s">
        <v>187</v>
      </c>
      <c r="E21" s="360" t="s">
        <v>735</v>
      </c>
      <c r="F21" s="5"/>
      <c r="G21" s="311">
        <f t="shared" si="1"/>
        <v>0</v>
      </c>
      <c r="H21" s="311">
        <f t="shared" si="1"/>
        <v>0</v>
      </c>
    </row>
    <row r="22" spans="1:8" ht="46.9" hidden="1" customHeight="1" x14ac:dyDescent="0.25">
      <c r="A22" s="31" t="s">
        <v>310</v>
      </c>
      <c r="B22" s="365" t="s">
        <v>608</v>
      </c>
      <c r="C22" s="360" t="s">
        <v>187</v>
      </c>
      <c r="D22" s="360" t="s">
        <v>187</v>
      </c>
      <c r="E22" s="360" t="s">
        <v>735</v>
      </c>
      <c r="F22" s="5">
        <v>903</v>
      </c>
      <c r="G22" s="311"/>
      <c r="H22" s="311"/>
    </row>
    <row r="23" spans="1:8" ht="18.399999999999999" customHeight="1" x14ac:dyDescent="0.25">
      <c r="A23" s="364" t="s">
        <v>598</v>
      </c>
      <c r="B23" s="365" t="s">
        <v>479</v>
      </c>
      <c r="C23" s="360"/>
      <c r="D23" s="360"/>
      <c r="E23" s="360"/>
      <c r="F23" s="5"/>
      <c r="G23" s="311">
        <f t="shared" ref="G23:H26" si="2">G24</f>
        <v>420</v>
      </c>
      <c r="H23" s="311">
        <f t="shared" si="2"/>
        <v>420</v>
      </c>
    </row>
    <row r="24" spans="1:8" ht="20.25" customHeight="1" x14ac:dyDescent="0.25">
      <c r="A24" s="364" t="s">
        <v>638</v>
      </c>
      <c r="B24" s="365" t="s">
        <v>479</v>
      </c>
      <c r="C24" s="360" t="s">
        <v>174</v>
      </c>
      <c r="D24" s="360"/>
      <c r="E24" s="360"/>
      <c r="F24" s="5"/>
      <c r="G24" s="311">
        <f t="shared" si="2"/>
        <v>420</v>
      </c>
      <c r="H24" s="311">
        <f t="shared" si="2"/>
        <v>420</v>
      </c>
    </row>
    <row r="25" spans="1:8" ht="19.7" customHeight="1" x14ac:dyDescent="0.25">
      <c r="A25" s="22" t="s">
        <v>181</v>
      </c>
      <c r="B25" s="365" t="s">
        <v>479</v>
      </c>
      <c r="C25" s="360" t="s">
        <v>174</v>
      </c>
      <c r="D25" s="360" t="s">
        <v>159</v>
      </c>
      <c r="E25" s="360"/>
      <c r="F25" s="5"/>
      <c r="G25" s="311">
        <f t="shared" si="2"/>
        <v>420</v>
      </c>
      <c r="H25" s="311">
        <f t="shared" si="2"/>
        <v>420</v>
      </c>
    </row>
    <row r="26" spans="1:8" ht="33.75" customHeight="1" x14ac:dyDescent="0.25">
      <c r="A26" s="364" t="s">
        <v>177</v>
      </c>
      <c r="B26" s="365" t="s">
        <v>479</v>
      </c>
      <c r="C26" s="360" t="s">
        <v>174</v>
      </c>
      <c r="D26" s="360" t="s">
        <v>159</v>
      </c>
      <c r="E26" s="360" t="s">
        <v>178</v>
      </c>
      <c r="F26" s="5"/>
      <c r="G26" s="311">
        <f t="shared" si="2"/>
        <v>420</v>
      </c>
      <c r="H26" s="311">
        <f t="shared" si="2"/>
        <v>420</v>
      </c>
    </row>
    <row r="27" spans="1:8" ht="31.9" customHeight="1" x14ac:dyDescent="0.25">
      <c r="A27" s="364" t="s">
        <v>216</v>
      </c>
      <c r="B27" s="365" t="s">
        <v>479</v>
      </c>
      <c r="C27" s="360" t="s">
        <v>174</v>
      </c>
      <c r="D27" s="360" t="s">
        <v>159</v>
      </c>
      <c r="E27" s="360" t="s">
        <v>217</v>
      </c>
      <c r="F27" s="5"/>
      <c r="G27" s="311">
        <f>'Пр.4.1 ведом.23-24 '!G520</f>
        <v>420</v>
      </c>
      <c r="H27" s="311">
        <f>'Пр.4.1 ведом.23-24 '!H520</f>
        <v>420</v>
      </c>
    </row>
    <row r="28" spans="1:8" ht="55.7" customHeight="1" x14ac:dyDescent="0.25">
      <c r="A28" s="31" t="s">
        <v>310</v>
      </c>
      <c r="B28" s="365" t="s">
        <v>479</v>
      </c>
      <c r="C28" s="360" t="s">
        <v>174</v>
      </c>
      <c r="D28" s="360" t="s">
        <v>159</v>
      </c>
      <c r="E28" s="360" t="s">
        <v>217</v>
      </c>
      <c r="F28" s="5">
        <v>903</v>
      </c>
      <c r="G28" s="311">
        <f>'Пр.4 ведом.22'!G520</f>
        <v>420</v>
      </c>
      <c r="H28" s="311">
        <f>'Пр.4 ведом.22'!H520</f>
        <v>0</v>
      </c>
    </row>
    <row r="29" spans="1:8" ht="61.15" customHeight="1" x14ac:dyDescent="0.25">
      <c r="A29" s="70" t="s">
        <v>601</v>
      </c>
      <c r="B29" s="365" t="s">
        <v>481</v>
      </c>
      <c r="C29" s="360"/>
      <c r="D29" s="360"/>
      <c r="E29" s="360"/>
      <c r="F29" s="5"/>
      <c r="G29" s="311">
        <f t="shared" ref="G29:H32" si="3">G30</f>
        <v>630</v>
      </c>
      <c r="H29" s="311">
        <f t="shared" si="3"/>
        <v>630</v>
      </c>
    </row>
    <row r="30" spans="1:8" ht="15.75" x14ac:dyDescent="0.25">
      <c r="A30" s="52" t="s">
        <v>173</v>
      </c>
      <c r="B30" s="365" t="s">
        <v>481</v>
      </c>
      <c r="C30" s="9" t="s">
        <v>174</v>
      </c>
      <c r="D30" s="9"/>
      <c r="E30" s="9"/>
      <c r="F30" s="9"/>
      <c r="G30" s="10">
        <f t="shared" si="3"/>
        <v>630</v>
      </c>
      <c r="H30" s="10">
        <f t="shared" si="3"/>
        <v>630</v>
      </c>
    </row>
    <row r="31" spans="1:8" ht="19.149999999999999" customHeight="1" x14ac:dyDescent="0.25">
      <c r="A31" s="22" t="s">
        <v>181</v>
      </c>
      <c r="B31" s="365" t="s">
        <v>481</v>
      </c>
      <c r="C31" s="360" t="s">
        <v>174</v>
      </c>
      <c r="D31" s="360" t="s">
        <v>159</v>
      </c>
      <c r="E31" s="360"/>
      <c r="F31" s="5"/>
      <c r="G31" s="311">
        <f t="shared" si="3"/>
        <v>630</v>
      </c>
      <c r="H31" s="311">
        <f t="shared" si="3"/>
        <v>630</v>
      </c>
    </row>
    <row r="32" spans="1:8" ht="31.5" x14ac:dyDescent="0.25">
      <c r="A32" s="22" t="s">
        <v>177</v>
      </c>
      <c r="B32" s="365" t="s">
        <v>481</v>
      </c>
      <c r="C32" s="360" t="s">
        <v>174</v>
      </c>
      <c r="D32" s="360" t="s">
        <v>159</v>
      </c>
      <c r="E32" s="360" t="s">
        <v>178</v>
      </c>
      <c r="F32" s="5"/>
      <c r="G32" s="311">
        <f t="shared" si="3"/>
        <v>630</v>
      </c>
      <c r="H32" s="311">
        <f t="shared" si="3"/>
        <v>630</v>
      </c>
    </row>
    <row r="33" spans="1:8" ht="31.5" x14ac:dyDescent="0.25">
      <c r="A33" s="22" t="s">
        <v>216</v>
      </c>
      <c r="B33" s="365" t="s">
        <v>481</v>
      </c>
      <c r="C33" s="360" t="s">
        <v>174</v>
      </c>
      <c r="D33" s="360" t="s">
        <v>159</v>
      </c>
      <c r="E33" s="53" t="s">
        <v>217</v>
      </c>
      <c r="F33" s="5"/>
      <c r="G33" s="311">
        <f>'Пр.4.1 ведом.23-24 '!G510</f>
        <v>630</v>
      </c>
      <c r="H33" s="311">
        <f>'Пр.4.1 ведом.23-24 '!H510</f>
        <v>630</v>
      </c>
    </row>
    <row r="34" spans="1:8" ht="46.9" customHeight="1" x14ac:dyDescent="0.25">
      <c r="A34" s="31" t="s">
        <v>310</v>
      </c>
      <c r="B34" s="365" t="s">
        <v>481</v>
      </c>
      <c r="C34" s="360" t="s">
        <v>174</v>
      </c>
      <c r="D34" s="360" t="s">
        <v>159</v>
      </c>
      <c r="E34" s="53" t="s">
        <v>217</v>
      </c>
      <c r="F34" s="5">
        <v>903</v>
      </c>
      <c r="G34" s="311">
        <f>'Пр.4 ведом.22'!G510</f>
        <v>630</v>
      </c>
      <c r="H34" s="311">
        <f>'Пр.4 ведом.22'!H510</f>
        <v>0</v>
      </c>
    </row>
    <row r="35" spans="1:8" ht="31.5" x14ac:dyDescent="0.25">
      <c r="A35" s="364" t="s">
        <v>561</v>
      </c>
      <c r="B35" s="365" t="s">
        <v>482</v>
      </c>
      <c r="C35" s="360"/>
      <c r="D35" s="360"/>
      <c r="E35" s="360"/>
      <c r="F35" s="5"/>
      <c r="G35" s="311">
        <f t="shared" ref="G35:H38" si="4">G36</f>
        <v>257</v>
      </c>
      <c r="H35" s="311">
        <f t="shared" si="4"/>
        <v>257</v>
      </c>
    </row>
    <row r="36" spans="1:8" ht="15.75" x14ac:dyDescent="0.25">
      <c r="A36" s="52" t="s">
        <v>173</v>
      </c>
      <c r="B36" s="365" t="s">
        <v>482</v>
      </c>
      <c r="C36" s="360" t="s">
        <v>174</v>
      </c>
      <c r="D36" s="360"/>
      <c r="E36" s="360"/>
      <c r="F36" s="5"/>
      <c r="G36" s="311">
        <f t="shared" si="4"/>
        <v>257</v>
      </c>
      <c r="H36" s="311">
        <f t="shared" si="4"/>
        <v>257</v>
      </c>
    </row>
    <row r="37" spans="1:8" ht="17.649999999999999" customHeight="1" x14ac:dyDescent="0.25">
      <c r="A37" s="22" t="s">
        <v>181</v>
      </c>
      <c r="B37" s="365" t="s">
        <v>482</v>
      </c>
      <c r="C37" s="360" t="s">
        <v>174</v>
      </c>
      <c r="D37" s="360" t="s">
        <v>159</v>
      </c>
      <c r="E37" s="360"/>
      <c r="F37" s="5"/>
      <c r="G37" s="311">
        <f t="shared" si="4"/>
        <v>257</v>
      </c>
      <c r="H37" s="311">
        <f t="shared" si="4"/>
        <v>257</v>
      </c>
    </row>
    <row r="38" spans="1:8" ht="31.5" x14ac:dyDescent="0.25">
      <c r="A38" s="22" t="s">
        <v>177</v>
      </c>
      <c r="B38" s="365" t="s">
        <v>482</v>
      </c>
      <c r="C38" s="360" t="s">
        <v>174</v>
      </c>
      <c r="D38" s="360" t="s">
        <v>159</v>
      </c>
      <c r="E38" s="360" t="s">
        <v>178</v>
      </c>
      <c r="F38" s="5"/>
      <c r="G38" s="311">
        <f t="shared" si="4"/>
        <v>257</v>
      </c>
      <c r="H38" s="311">
        <f t="shared" si="4"/>
        <v>257</v>
      </c>
    </row>
    <row r="39" spans="1:8" ht="31.5" x14ac:dyDescent="0.25">
      <c r="A39" s="22" t="s">
        <v>216</v>
      </c>
      <c r="B39" s="365" t="s">
        <v>482</v>
      </c>
      <c r="C39" s="360" t="s">
        <v>174</v>
      </c>
      <c r="D39" s="360" t="s">
        <v>159</v>
      </c>
      <c r="E39" s="360" t="s">
        <v>217</v>
      </c>
      <c r="F39" s="5"/>
      <c r="G39" s="311">
        <f>'Пр.4.1 ведом.23-24 '!G516</f>
        <v>257</v>
      </c>
      <c r="H39" s="311">
        <f>'Пр.4.1 ведом.23-24 '!H516</f>
        <v>257</v>
      </c>
    </row>
    <row r="40" spans="1:8" ht="57.2" customHeight="1" x14ac:dyDescent="0.25">
      <c r="A40" s="31" t="s">
        <v>310</v>
      </c>
      <c r="B40" s="365" t="s">
        <v>482</v>
      </c>
      <c r="C40" s="360" t="s">
        <v>174</v>
      </c>
      <c r="D40" s="360" t="s">
        <v>159</v>
      </c>
      <c r="E40" s="360" t="s">
        <v>217</v>
      </c>
      <c r="F40" s="5">
        <v>903</v>
      </c>
      <c r="G40" s="311">
        <f>'Пр.4 ведом.22'!G516</f>
        <v>257</v>
      </c>
      <c r="H40" s="311">
        <f>'Пр.4 ведом.22'!H516</f>
        <v>0</v>
      </c>
    </row>
    <row r="41" spans="1:8" ht="63" hidden="1" x14ac:dyDescent="0.25">
      <c r="A41" s="364" t="s">
        <v>602</v>
      </c>
      <c r="B41" s="365" t="s">
        <v>483</v>
      </c>
      <c r="C41" s="360"/>
      <c r="D41" s="360"/>
      <c r="E41" s="360"/>
      <c r="F41" s="5"/>
      <c r="G41" s="311">
        <f t="shared" ref="G41:H44" si="5">G42</f>
        <v>0</v>
      </c>
      <c r="H41" s="311">
        <f t="shared" si="5"/>
        <v>0</v>
      </c>
    </row>
    <row r="42" spans="1:8" ht="15.75" hidden="1" x14ac:dyDescent="0.25">
      <c r="A42" s="52" t="s">
        <v>173</v>
      </c>
      <c r="B42" s="365" t="s">
        <v>483</v>
      </c>
      <c r="C42" s="360" t="s">
        <v>174</v>
      </c>
      <c r="D42" s="360"/>
      <c r="E42" s="360"/>
      <c r="F42" s="5"/>
      <c r="G42" s="311">
        <f t="shared" si="5"/>
        <v>0</v>
      </c>
      <c r="H42" s="311">
        <f t="shared" si="5"/>
        <v>0</v>
      </c>
    </row>
    <row r="43" spans="1:8" ht="15.75" hidden="1" x14ac:dyDescent="0.25">
      <c r="A43" s="22" t="s">
        <v>181</v>
      </c>
      <c r="B43" s="365" t="s">
        <v>483</v>
      </c>
      <c r="C43" s="360" t="s">
        <v>174</v>
      </c>
      <c r="D43" s="360" t="s">
        <v>159</v>
      </c>
      <c r="E43" s="360"/>
      <c r="F43" s="5">
        <v>903</v>
      </c>
      <c r="G43" s="311">
        <f t="shared" si="5"/>
        <v>0</v>
      </c>
      <c r="H43" s="311">
        <f t="shared" si="5"/>
        <v>0</v>
      </c>
    </row>
    <row r="44" spans="1:8" ht="31.5" hidden="1" x14ac:dyDescent="0.25">
      <c r="A44" s="22" t="s">
        <v>177</v>
      </c>
      <c r="B44" s="365" t="s">
        <v>483</v>
      </c>
      <c r="C44" s="360" t="s">
        <v>174</v>
      </c>
      <c r="D44" s="360" t="s">
        <v>159</v>
      </c>
      <c r="E44" s="360" t="s">
        <v>178</v>
      </c>
      <c r="F44" s="5">
        <v>903</v>
      </c>
      <c r="G44" s="311">
        <f t="shared" si="5"/>
        <v>0</v>
      </c>
      <c r="H44" s="311">
        <f t="shared" si="5"/>
        <v>0</v>
      </c>
    </row>
    <row r="45" spans="1:8" ht="31.5" hidden="1" x14ac:dyDescent="0.25">
      <c r="A45" s="22" t="s">
        <v>216</v>
      </c>
      <c r="B45" s="365" t="s">
        <v>483</v>
      </c>
      <c r="C45" s="360" t="s">
        <v>174</v>
      </c>
      <c r="D45" s="360" t="s">
        <v>159</v>
      </c>
      <c r="E45" s="360" t="s">
        <v>217</v>
      </c>
      <c r="F45" s="5">
        <v>903</v>
      </c>
      <c r="G45" s="311"/>
      <c r="H45" s="311"/>
    </row>
    <row r="46" spans="1:8" ht="47.25" hidden="1" x14ac:dyDescent="0.25">
      <c r="A46" s="31" t="s">
        <v>310</v>
      </c>
      <c r="B46" s="365" t="s">
        <v>483</v>
      </c>
      <c r="C46" s="360" t="s">
        <v>174</v>
      </c>
      <c r="D46" s="360" t="s">
        <v>159</v>
      </c>
      <c r="E46" s="360" t="s">
        <v>217</v>
      </c>
      <c r="F46" s="5">
        <v>903</v>
      </c>
      <c r="G46" s="311"/>
      <c r="H46" s="311"/>
    </row>
    <row r="47" spans="1:8" ht="15.75" x14ac:dyDescent="0.25">
      <c r="A47" s="359" t="s">
        <v>309</v>
      </c>
      <c r="B47" s="163"/>
      <c r="C47" s="163"/>
      <c r="D47" s="163"/>
      <c r="E47" s="163"/>
      <c r="F47" s="359"/>
      <c r="G47" s="38">
        <f>G17+G23+G29+G35+G41+G11</f>
        <v>11220.5</v>
      </c>
      <c r="H47" s="38">
        <f>H17+H23+H29+H35+H41+H11</f>
        <v>11220.5</v>
      </c>
    </row>
  </sheetData>
  <mergeCells count="5">
    <mergeCell ref="A1:C2"/>
    <mergeCell ref="G1:H1"/>
    <mergeCell ref="G2:H2"/>
    <mergeCell ref="G3:H3"/>
    <mergeCell ref="A6:H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93" zoomScaleNormal="100" zoomScaleSheetLayoutView="93" workbookViewId="0">
      <selection activeCell="A6" sqref="A6:C6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  <col min="4" max="8" width="0" hidden="1" customWidth="1"/>
  </cols>
  <sheetData>
    <row r="1" spans="1:4" ht="15.75" x14ac:dyDescent="0.25">
      <c r="A1" s="12"/>
      <c r="B1" s="612" t="s">
        <v>1372</v>
      </c>
      <c r="C1" s="612"/>
    </row>
    <row r="2" spans="1:4" ht="15.75" x14ac:dyDescent="0.25">
      <c r="A2" s="12"/>
      <c r="B2" s="612" t="s">
        <v>1371</v>
      </c>
      <c r="C2" s="612"/>
    </row>
    <row r="3" spans="1:4" ht="15.75" x14ac:dyDescent="0.25">
      <c r="A3" s="12"/>
      <c r="B3" s="610" t="s">
        <v>1370</v>
      </c>
      <c r="C3" s="610"/>
    </row>
    <row r="4" spans="1:4" s="131" customFormat="1" ht="15.75" x14ac:dyDescent="0.25">
      <c r="A4" s="12"/>
      <c r="B4" s="12"/>
      <c r="C4" s="270"/>
    </row>
    <row r="5" spans="1:4" ht="16.5" x14ac:dyDescent="0.25">
      <c r="A5" s="606" t="s">
        <v>311</v>
      </c>
      <c r="B5" s="606"/>
      <c r="C5" s="606"/>
    </row>
    <row r="6" spans="1:4" ht="16.5" x14ac:dyDescent="0.25">
      <c r="A6" s="606" t="s">
        <v>1150</v>
      </c>
      <c r="B6" s="606"/>
      <c r="C6" s="606"/>
    </row>
    <row r="7" spans="1:4" ht="15.75" x14ac:dyDescent="0.25">
      <c r="A7" s="54"/>
      <c r="B7" s="54"/>
    </row>
    <row r="8" spans="1:4" ht="15.75" x14ac:dyDescent="0.25">
      <c r="A8" s="12"/>
      <c r="B8" s="12"/>
      <c r="C8" s="55" t="s">
        <v>1</v>
      </c>
    </row>
    <row r="9" spans="1:4" ht="28.5" customHeight="1" x14ac:dyDescent="0.25">
      <c r="A9" s="51" t="s">
        <v>312</v>
      </c>
      <c r="B9" s="51" t="s">
        <v>313</v>
      </c>
      <c r="C9" s="105" t="s">
        <v>590</v>
      </c>
    </row>
    <row r="10" spans="1:4" ht="33" x14ac:dyDescent="0.25">
      <c r="A10" s="56" t="s">
        <v>314</v>
      </c>
      <c r="B10" s="57" t="s">
        <v>315</v>
      </c>
      <c r="C10" s="266">
        <f>C11-C13</f>
        <v>29643.878999999841</v>
      </c>
    </row>
    <row r="11" spans="1:4" ht="33" customHeight="1" x14ac:dyDescent="0.25">
      <c r="A11" s="58" t="s">
        <v>316</v>
      </c>
      <c r="B11" s="59" t="s">
        <v>317</v>
      </c>
      <c r="C11" s="267">
        <f>C12</f>
        <v>31425.07</v>
      </c>
    </row>
    <row r="12" spans="1:4" ht="31.5" x14ac:dyDescent="0.25">
      <c r="A12" s="60" t="s">
        <v>318</v>
      </c>
      <c r="B12" s="61" t="s">
        <v>319</v>
      </c>
      <c r="C12" s="268">
        <v>31425.07</v>
      </c>
      <c r="D12" t="s">
        <v>1306</v>
      </c>
    </row>
    <row r="13" spans="1:4" ht="32.25" customHeight="1" x14ac:dyDescent="0.25">
      <c r="A13" s="58" t="s">
        <v>320</v>
      </c>
      <c r="B13" s="59" t="s">
        <v>321</v>
      </c>
      <c r="C13" s="266">
        <f>C14</f>
        <v>1781.191000000159</v>
      </c>
    </row>
    <row r="14" spans="1:4" ht="32.65" customHeight="1" x14ac:dyDescent="0.25">
      <c r="A14" s="60" t="s">
        <v>322</v>
      </c>
      <c r="B14" s="61" t="s">
        <v>323</v>
      </c>
      <c r="C14" s="268">
        <f>C12+C20</f>
        <v>1781.191000000159</v>
      </c>
    </row>
    <row r="15" spans="1:4" ht="16.5" x14ac:dyDescent="0.25">
      <c r="A15" s="58" t="s">
        <v>309</v>
      </c>
      <c r="B15" s="61"/>
      <c r="C15" s="269">
        <f>C12-C14</f>
        <v>29643.878999999841</v>
      </c>
    </row>
    <row r="17" spans="1:4" x14ac:dyDescent="0.25">
      <c r="A17" s="611" t="s">
        <v>1369</v>
      </c>
      <c r="B17" s="611"/>
      <c r="C17" s="611"/>
    </row>
    <row r="18" spans="1:4" x14ac:dyDescent="0.25">
      <c r="B18" t="s">
        <v>324</v>
      </c>
      <c r="C18">
        <f>пр.1дох.22!C199</f>
        <v>804238.68400000001</v>
      </c>
    </row>
    <row r="19" spans="1:4" x14ac:dyDescent="0.25">
      <c r="B19" t="s">
        <v>325</v>
      </c>
      <c r="C19" s="16">
        <f>'Пр.4 ведом.22'!G1212</f>
        <v>833882.56299999985</v>
      </c>
    </row>
    <row r="20" spans="1:4" x14ac:dyDescent="0.25">
      <c r="B20" t="s">
        <v>326</v>
      </c>
      <c r="C20" s="16">
        <f>C18-C19</f>
        <v>-29643.878999999841</v>
      </c>
    </row>
    <row r="22" spans="1:4" x14ac:dyDescent="0.25">
      <c r="D22" s="16"/>
    </row>
    <row r="24" spans="1:4" x14ac:dyDescent="0.25">
      <c r="C24" s="16"/>
    </row>
  </sheetData>
  <mergeCells count="6">
    <mergeCell ref="B1:C1"/>
    <mergeCell ref="A5:C5"/>
    <mergeCell ref="A6:C6"/>
    <mergeCell ref="B3:C3"/>
    <mergeCell ref="A17:C17"/>
    <mergeCell ref="B2:C2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7" workbookViewId="0">
      <selection activeCell="D19" sqref="D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131"/>
      <c r="D1" s="124" t="s">
        <v>639</v>
      </c>
    </row>
    <row r="2" spans="1:4" ht="15.75" x14ac:dyDescent="0.25">
      <c r="A2" s="12"/>
      <c r="B2" s="12"/>
      <c r="D2" s="124" t="s">
        <v>0</v>
      </c>
    </row>
    <row r="3" spans="1:4" ht="15.75" x14ac:dyDescent="0.25">
      <c r="A3" s="12"/>
      <c r="B3" s="12"/>
      <c r="C3" s="131"/>
    </row>
    <row r="4" spans="1:4" ht="16.5" x14ac:dyDescent="0.25">
      <c r="A4" s="606" t="s">
        <v>311</v>
      </c>
      <c r="B4" s="606"/>
      <c r="C4" s="606"/>
      <c r="D4" s="606"/>
    </row>
    <row r="5" spans="1:4" ht="16.5" x14ac:dyDescent="0.25">
      <c r="A5" s="606" t="s">
        <v>1284</v>
      </c>
      <c r="B5" s="606"/>
      <c r="C5" s="606"/>
      <c r="D5" s="606"/>
    </row>
    <row r="6" spans="1:4" ht="15.75" x14ac:dyDescent="0.25">
      <c r="A6" s="54"/>
      <c r="B6" s="54"/>
      <c r="C6" s="131"/>
    </row>
    <row r="7" spans="1:4" ht="15.75" x14ac:dyDescent="0.25">
      <c r="A7" s="12"/>
      <c r="B7" s="12"/>
      <c r="D7" s="55" t="s">
        <v>1</v>
      </c>
    </row>
    <row r="8" spans="1:4" ht="30" x14ac:dyDescent="0.25">
      <c r="A8" s="51" t="s">
        <v>312</v>
      </c>
      <c r="B8" s="51" t="s">
        <v>313</v>
      </c>
      <c r="C8" s="105" t="s">
        <v>807</v>
      </c>
      <c r="D8" s="105" t="s">
        <v>1283</v>
      </c>
    </row>
    <row r="9" spans="1:4" ht="44.45" customHeight="1" x14ac:dyDescent="0.25">
      <c r="A9" s="56" t="s">
        <v>314</v>
      </c>
      <c r="B9" s="57" t="s">
        <v>315</v>
      </c>
      <c r="C9" s="157">
        <f>C10-C12</f>
        <v>0</v>
      </c>
      <c r="D9" s="157">
        <f>D10-D12</f>
        <v>0</v>
      </c>
    </row>
    <row r="10" spans="1:4" ht="33.75" customHeight="1" x14ac:dyDescent="0.25">
      <c r="A10" s="58" t="s">
        <v>316</v>
      </c>
      <c r="B10" s="59" t="s">
        <v>317</v>
      </c>
      <c r="C10" s="207">
        <f>C11</f>
        <v>0</v>
      </c>
      <c r="D10" s="157">
        <f>D11</f>
        <v>0</v>
      </c>
    </row>
    <row r="11" spans="1:4" ht="36.75" customHeight="1" x14ac:dyDescent="0.25">
      <c r="A11" s="60" t="s">
        <v>318</v>
      </c>
      <c r="B11" s="61" t="s">
        <v>319</v>
      </c>
      <c r="C11" s="187">
        <f>C19*(-1)</f>
        <v>0</v>
      </c>
      <c r="D11" s="158">
        <f>D19*(-1)</f>
        <v>0</v>
      </c>
    </row>
    <row r="12" spans="1:4" ht="33" customHeight="1" x14ac:dyDescent="0.25">
      <c r="A12" s="58" t="s">
        <v>320</v>
      </c>
      <c r="B12" s="59" t="s">
        <v>321</v>
      </c>
      <c r="C12" s="157">
        <f>C13</f>
        <v>0</v>
      </c>
      <c r="D12" s="157">
        <f t="shared" ref="D12:D13" si="0">C12</f>
        <v>0</v>
      </c>
    </row>
    <row r="13" spans="1:4" ht="30.75" customHeight="1" x14ac:dyDescent="0.25">
      <c r="A13" s="60" t="s">
        <v>322</v>
      </c>
      <c r="B13" s="61" t="s">
        <v>323</v>
      </c>
      <c r="C13" s="187">
        <f>C11+C19</f>
        <v>0</v>
      </c>
      <c r="D13" s="158">
        <f t="shared" si="0"/>
        <v>0</v>
      </c>
    </row>
    <row r="14" spans="1:4" ht="16.5" x14ac:dyDescent="0.25">
      <c r="A14" s="58" t="s">
        <v>309</v>
      </c>
      <c r="B14" s="61"/>
      <c r="C14" s="188">
        <f>C11-C13</f>
        <v>0</v>
      </c>
      <c r="D14" s="188">
        <f>D11-D13</f>
        <v>0</v>
      </c>
    </row>
    <row r="15" spans="1:4" x14ac:dyDescent="0.25">
      <c r="A15" s="131"/>
      <c r="B15" s="131"/>
      <c r="C15" s="131"/>
    </row>
    <row r="16" spans="1:4" x14ac:dyDescent="0.25">
      <c r="A16" s="131"/>
      <c r="B16" s="131"/>
      <c r="C16" s="131"/>
    </row>
    <row r="17" spans="1:4" x14ac:dyDescent="0.25">
      <c r="A17" s="131"/>
      <c r="B17" s="131" t="s">
        <v>324</v>
      </c>
      <c r="C17" s="206">
        <f>'Пр.1.1. дох.23-24'!C159</f>
        <v>807747.37199999997</v>
      </c>
      <c r="D17" s="206">
        <f>'Пр.1.1. дох.23-24'!D159</f>
        <v>777654.58000000007</v>
      </c>
    </row>
    <row r="18" spans="1:4" x14ac:dyDescent="0.25">
      <c r="A18" s="131"/>
      <c r="B18" s="131" t="s">
        <v>325</v>
      </c>
      <c r="C18" s="206">
        <f>'Пр.4.1 ведом.23-24 '!G1212</f>
        <v>807747.37200000009</v>
      </c>
      <c r="D18" s="206">
        <f>'Пр.4.1 ведом.23-24 '!H1212</f>
        <v>777654.58000000007</v>
      </c>
    </row>
    <row r="19" spans="1:4" x14ac:dyDescent="0.25">
      <c r="A19" s="131"/>
      <c r="B19" s="131" t="s">
        <v>326</v>
      </c>
      <c r="C19" s="206">
        <f t="shared" ref="C19:D19" si="1">C17-C18</f>
        <v>0</v>
      </c>
      <c r="D19" s="206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view="pageBreakPreview" zoomScale="80" zoomScaleNormal="100" zoomScaleSheetLayoutView="80" workbookViewId="0">
      <selection activeCell="A5" sqref="A5:D5"/>
    </sheetView>
  </sheetViews>
  <sheetFormatPr defaultColWidth="9.140625" defaultRowHeight="15" x14ac:dyDescent="0.25"/>
  <cols>
    <col min="1" max="1" width="25" style="363" customWidth="1"/>
    <col min="2" max="2" width="71.7109375" style="363" customWidth="1"/>
    <col min="3" max="4" width="17.28515625" style="74" customWidth="1"/>
    <col min="5" max="5" width="12.5703125" style="309" customWidth="1"/>
    <col min="6" max="6" width="14.28515625" style="309" customWidth="1"/>
    <col min="7" max="7" width="16.28515625" style="309" customWidth="1"/>
    <col min="8" max="9" width="10.28515625" style="309" customWidth="1"/>
    <col min="10" max="10" width="11.140625" style="309" customWidth="1"/>
    <col min="11" max="11" width="9" style="309" customWidth="1"/>
    <col min="12" max="16384" width="9.140625" style="309"/>
  </cols>
  <sheetData>
    <row r="1" spans="1:11" ht="15.75" x14ac:dyDescent="0.25">
      <c r="A1" s="79"/>
      <c r="B1" s="79"/>
      <c r="C1" s="588" t="s">
        <v>1351</v>
      </c>
      <c r="D1" s="588"/>
    </row>
    <row r="2" spans="1:11" ht="15.75" x14ac:dyDescent="0.25">
      <c r="A2" s="79"/>
      <c r="B2" s="79"/>
      <c r="C2" s="588" t="s">
        <v>1353</v>
      </c>
      <c r="D2" s="588"/>
    </row>
    <row r="3" spans="1:11" ht="15.75" x14ac:dyDescent="0.25">
      <c r="A3" s="79"/>
      <c r="B3" s="80"/>
      <c r="C3" s="588" t="s">
        <v>1352</v>
      </c>
      <c r="D3" s="588"/>
    </row>
    <row r="4" spans="1:11" s="362" customFormat="1" ht="15.75" x14ac:dyDescent="0.25">
      <c r="A4" s="79"/>
      <c r="B4" s="80"/>
      <c r="C4" s="575"/>
      <c r="D4" s="575"/>
    </row>
    <row r="5" spans="1:11" ht="15.75" x14ac:dyDescent="0.25">
      <c r="A5" s="579" t="s">
        <v>685</v>
      </c>
      <c r="B5" s="579"/>
      <c r="C5" s="579"/>
      <c r="D5" s="579"/>
    </row>
    <row r="6" spans="1:11" ht="15.75" x14ac:dyDescent="0.25">
      <c r="A6" s="579" t="s">
        <v>840</v>
      </c>
      <c r="B6" s="579"/>
      <c r="C6" s="579"/>
      <c r="D6" s="579"/>
    </row>
    <row r="7" spans="1:11" ht="15.75" x14ac:dyDescent="0.25">
      <c r="A7" s="579" t="s">
        <v>1156</v>
      </c>
      <c r="B7" s="579"/>
      <c r="C7" s="579"/>
      <c r="D7" s="579"/>
    </row>
    <row r="8" spans="1:11" ht="15.75" x14ac:dyDescent="0.25">
      <c r="A8" s="81"/>
      <c r="B8" s="81"/>
      <c r="C8" s="248"/>
      <c r="D8" s="563" t="s">
        <v>336</v>
      </c>
    </row>
    <row r="9" spans="1:11" ht="33" customHeight="1" x14ac:dyDescent="0.25">
      <c r="A9" s="82" t="s">
        <v>2</v>
      </c>
      <c r="B9" s="83" t="s">
        <v>3</v>
      </c>
      <c r="C9" s="249" t="s">
        <v>807</v>
      </c>
      <c r="D9" s="10" t="s">
        <v>1157</v>
      </c>
      <c r="H9" s="586"/>
      <c r="I9" s="586"/>
      <c r="J9" s="586"/>
      <c r="K9" s="586"/>
    </row>
    <row r="10" spans="1:11" ht="18.75" x14ac:dyDescent="0.25">
      <c r="A10" s="84" t="s">
        <v>4</v>
      </c>
      <c r="B10" s="372" t="s">
        <v>5</v>
      </c>
      <c r="C10" s="227">
        <f>C11+C18+C23+C33+C41+C44+C50+C57+C60+C65+C75</f>
        <v>342703.24000000005</v>
      </c>
      <c r="D10" s="227">
        <f>D11+D18+D23+D33+D41+D44+D50+D57+D60+D65+D75</f>
        <v>362876.71000000008</v>
      </c>
      <c r="E10" s="16"/>
      <c r="F10" s="16"/>
    </row>
    <row r="11" spans="1:11" ht="18.75" x14ac:dyDescent="0.25">
      <c r="A11" s="86" t="s">
        <v>6</v>
      </c>
      <c r="B11" s="372" t="s">
        <v>7</v>
      </c>
      <c r="C11" s="227">
        <f t="shared" ref="C11:D11" si="0">C12</f>
        <v>273148.7</v>
      </c>
      <c r="D11" s="227">
        <f t="shared" si="0"/>
        <v>291830.10000000003</v>
      </c>
      <c r="I11" s="219"/>
      <c r="J11" s="218"/>
      <c r="K11" s="219"/>
    </row>
    <row r="12" spans="1:11" ht="18.75" x14ac:dyDescent="0.25">
      <c r="A12" s="87" t="s">
        <v>8</v>
      </c>
      <c r="B12" s="88" t="s">
        <v>9</v>
      </c>
      <c r="C12" s="227">
        <f>SUM(C13:C17)</f>
        <v>273148.7</v>
      </c>
      <c r="D12" s="227">
        <f>SUM(D13:D17)</f>
        <v>291830.10000000003</v>
      </c>
    </row>
    <row r="13" spans="1:11" ht="64.5" customHeight="1" x14ac:dyDescent="0.25">
      <c r="A13" s="129" t="s">
        <v>10</v>
      </c>
      <c r="B13" s="94" t="s">
        <v>11</v>
      </c>
      <c r="C13" s="232">
        <v>262634</v>
      </c>
      <c r="D13" s="232">
        <v>280251.40000000002</v>
      </c>
    </row>
    <row r="14" spans="1:11" ht="110.25" x14ac:dyDescent="0.25">
      <c r="A14" s="129" t="s">
        <v>12</v>
      </c>
      <c r="B14" s="94" t="s">
        <v>13</v>
      </c>
      <c r="C14" s="232">
        <v>59</v>
      </c>
      <c r="D14" s="232">
        <v>63</v>
      </c>
    </row>
    <row r="15" spans="1:11" ht="47.25" x14ac:dyDescent="0.25">
      <c r="A15" s="129" t="s">
        <v>14</v>
      </c>
      <c r="B15" s="94" t="s">
        <v>15</v>
      </c>
      <c r="C15" s="232">
        <v>1397</v>
      </c>
      <c r="D15" s="232">
        <v>1886</v>
      </c>
    </row>
    <row r="16" spans="1:11" ht="78.75" customHeight="1" x14ac:dyDescent="0.25">
      <c r="A16" s="129" t="s">
        <v>16</v>
      </c>
      <c r="B16" s="94" t="s">
        <v>17</v>
      </c>
      <c r="C16" s="232">
        <v>857</v>
      </c>
      <c r="D16" s="232">
        <v>916</v>
      </c>
    </row>
    <row r="17" spans="1:11" s="362" customFormat="1" ht="94.5" x14ac:dyDescent="0.25">
      <c r="A17" s="129" t="s">
        <v>1116</v>
      </c>
      <c r="B17" s="371" t="s">
        <v>1172</v>
      </c>
      <c r="C17" s="232">
        <v>8201.7000000000007</v>
      </c>
      <c r="D17" s="232">
        <v>8713.7000000000007</v>
      </c>
    </row>
    <row r="18" spans="1:11" ht="31.5" x14ac:dyDescent="0.25">
      <c r="A18" s="369" t="s">
        <v>18</v>
      </c>
      <c r="B18" s="92" t="s">
        <v>19</v>
      </c>
      <c r="C18" s="227">
        <f t="shared" ref="C18:D18" si="1">C19</f>
        <v>3048.74</v>
      </c>
      <c r="D18" s="227">
        <f t="shared" si="1"/>
        <v>3226.21</v>
      </c>
      <c r="H18" s="219"/>
      <c r="I18" s="219"/>
      <c r="J18" s="219"/>
      <c r="K18" s="219"/>
    </row>
    <row r="19" spans="1:11" ht="31.5" x14ac:dyDescent="0.25">
      <c r="A19" s="109" t="s">
        <v>20</v>
      </c>
      <c r="B19" s="373" t="s">
        <v>21</v>
      </c>
      <c r="C19" s="227">
        <f t="shared" ref="C19:D19" si="2">SUM(C20:C22)</f>
        <v>3048.74</v>
      </c>
      <c r="D19" s="227">
        <f t="shared" si="2"/>
        <v>3226.21</v>
      </c>
      <c r="K19" s="218"/>
    </row>
    <row r="20" spans="1:11" ht="63" x14ac:dyDescent="0.25">
      <c r="A20" s="93" t="s">
        <v>1081</v>
      </c>
      <c r="B20" s="94" t="s">
        <v>1082</v>
      </c>
      <c r="C20" s="232">
        <f>1364-71</f>
        <v>1293</v>
      </c>
      <c r="D20" s="232">
        <f>1420.46-76.46</f>
        <v>1344</v>
      </c>
      <c r="K20" s="218"/>
    </row>
    <row r="21" spans="1:11" ht="78.75" x14ac:dyDescent="0.25">
      <c r="A21" s="436" t="s">
        <v>1083</v>
      </c>
      <c r="B21" s="94" t="s">
        <v>1084</v>
      </c>
      <c r="C21" s="232">
        <f>7.64-0.64</f>
        <v>7</v>
      </c>
      <c r="D21" s="232">
        <f>8.2-0.4</f>
        <v>7.7999999999999989</v>
      </c>
      <c r="K21" s="218"/>
    </row>
    <row r="22" spans="1:11" ht="63" x14ac:dyDescent="0.25">
      <c r="A22" s="436" t="s">
        <v>1085</v>
      </c>
      <c r="B22" s="94" t="s">
        <v>1086</v>
      </c>
      <c r="C22" s="232">
        <f>1846.12-97.38</f>
        <v>1748.7399999999998</v>
      </c>
      <c r="D22" s="232">
        <f>1979.84-105.43</f>
        <v>1874.4099999999999</v>
      </c>
      <c r="K22" s="218"/>
    </row>
    <row r="23" spans="1:11" ht="18.75" x14ac:dyDescent="0.25">
      <c r="A23" s="87" t="s">
        <v>22</v>
      </c>
      <c r="B23" s="88" t="s">
        <v>23</v>
      </c>
      <c r="C23" s="227">
        <f>SUM(C24+C29+C31)</f>
        <v>15238</v>
      </c>
      <c r="D23" s="227">
        <f>SUM(D24+D29+D31)</f>
        <v>16351</v>
      </c>
      <c r="K23" s="218"/>
    </row>
    <row r="24" spans="1:11" ht="31.5" x14ac:dyDescent="0.25">
      <c r="A24" s="84" t="s">
        <v>24</v>
      </c>
      <c r="B24" s="88" t="s">
        <v>25</v>
      </c>
      <c r="C24" s="227">
        <f>C25+C27</f>
        <v>12235</v>
      </c>
      <c r="D24" s="227">
        <f>D25+D27</f>
        <v>13128</v>
      </c>
      <c r="H24" s="219"/>
      <c r="I24" s="219"/>
      <c r="J24" s="219"/>
      <c r="K24" s="219"/>
    </row>
    <row r="25" spans="1:11" ht="31.5" x14ac:dyDescent="0.25">
      <c r="A25" s="84" t="s">
        <v>669</v>
      </c>
      <c r="B25" s="374" t="s">
        <v>27</v>
      </c>
      <c r="C25" s="227">
        <f>C26</f>
        <v>11813</v>
      </c>
      <c r="D25" s="227">
        <f>D26</f>
        <v>12675</v>
      </c>
      <c r="K25" s="218"/>
    </row>
    <row r="26" spans="1:11" ht="31.5" x14ac:dyDescent="0.25">
      <c r="A26" s="82" t="s">
        <v>26</v>
      </c>
      <c r="B26" s="94" t="s">
        <v>27</v>
      </c>
      <c r="C26" s="232">
        <v>11813</v>
      </c>
      <c r="D26" s="232">
        <v>12675</v>
      </c>
      <c r="K26" s="218"/>
    </row>
    <row r="27" spans="1:11" ht="47.25" x14ac:dyDescent="0.25">
      <c r="A27" s="84" t="s">
        <v>668</v>
      </c>
      <c r="B27" s="375" t="s">
        <v>667</v>
      </c>
      <c r="C27" s="227">
        <f>C28</f>
        <v>422</v>
      </c>
      <c r="D27" s="227">
        <f>D28</f>
        <v>453</v>
      </c>
      <c r="K27" s="218"/>
    </row>
    <row r="28" spans="1:11" ht="63" x14ac:dyDescent="0.25">
      <c r="A28" s="82" t="s">
        <v>28</v>
      </c>
      <c r="B28" s="94" t="s">
        <v>29</v>
      </c>
      <c r="C28" s="232">
        <v>422</v>
      </c>
      <c r="D28" s="232">
        <v>453</v>
      </c>
      <c r="K28" s="218"/>
    </row>
    <row r="29" spans="1:11" ht="31.5" hidden="1" x14ac:dyDescent="0.25">
      <c r="A29" s="84" t="s">
        <v>30</v>
      </c>
      <c r="B29" s="88" t="s">
        <v>31</v>
      </c>
      <c r="C29" s="227">
        <f t="shared" ref="C29:D29" si="3">SUM(C30:C30)</f>
        <v>0</v>
      </c>
      <c r="D29" s="227">
        <f t="shared" si="3"/>
        <v>0</v>
      </c>
      <c r="K29" s="218"/>
    </row>
    <row r="30" spans="1:11" ht="21.75" hidden="1" customHeight="1" x14ac:dyDescent="0.25">
      <c r="A30" s="129" t="s">
        <v>32</v>
      </c>
      <c r="B30" s="161" t="s">
        <v>31</v>
      </c>
      <c r="C30" s="232">
        <v>0</v>
      </c>
      <c r="D30" s="232">
        <v>0</v>
      </c>
      <c r="E30" s="150"/>
      <c r="K30" s="218"/>
    </row>
    <row r="31" spans="1:11" ht="36" customHeight="1" x14ac:dyDescent="0.25">
      <c r="A31" s="84" t="s">
        <v>678</v>
      </c>
      <c r="B31" s="95" t="s">
        <v>670</v>
      </c>
      <c r="C31" s="227">
        <f>C32</f>
        <v>3003</v>
      </c>
      <c r="D31" s="232">
        <f>D32</f>
        <v>3223</v>
      </c>
      <c r="K31" s="218"/>
    </row>
    <row r="32" spans="1:11" ht="31.5" x14ac:dyDescent="0.25">
      <c r="A32" s="82" t="s">
        <v>33</v>
      </c>
      <c r="B32" s="160" t="s">
        <v>34</v>
      </c>
      <c r="C32" s="232">
        <v>3003</v>
      </c>
      <c r="D32" s="232">
        <v>3223</v>
      </c>
      <c r="K32" s="218"/>
    </row>
    <row r="33" spans="1:11" ht="18.75" x14ac:dyDescent="0.25">
      <c r="A33" s="87" t="s">
        <v>35</v>
      </c>
      <c r="B33" s="88" t="s">
        <v>36</v>
      </c>
      <c r="C33" s="227">
        <f>C34+C36</f>
        <v>1781</v>
      </c>
      <c r="D33" s="227">
        <f t="shared" ref="D33" si="4">D34+D36</f>
        <v>1805</v>
      </c>
      <c r="K33" s="218"/>
    </row>
    <row r="34" spans="1:11" ht="18.75" x14ac:dyDescent="0.25">
      <c r="A34" s="87" t="s">
        <v>37</v>
      </c>
      <c r="B34" s="88" t="s">
        <v>38</v>
      </c>
      <c r="C34" s="227">
        <f t="shared" ref="C34:D34" si="5">C35</f>
        <v>1141</v>
      </c>
      <c r="D34" s="227">
        <f t="shared" si="5"/>
        <v>1152</v>
      </c>
      <c r="K34" s="218"/>
    </row>
    <row r="35" spans="1:11" ht="47.25" x14ac:dyDescent="0.25">
      <c r="A35" s="129" t="s">
        <v>39</v>
      </c>
      <c r="B35" s="94" t="s">
        <v>40</v>
      </c>
      <c r="C35" s="232">
        <v>1141</v>
      </c>
      <c r="D35" s="232">
        <v>1152</v>
      </c>
      <c r="K35" s="218"/>
    </row>
    <row r="36" spans="1:11" ht="18.75" x14ac:dyDescent="0.25">
      <c r="A36" s="87" t="s">
        <v>41</v>
      </c>
      <c r="B36" s="88" t="s">
        <v>42</v>
      </c>
      <c r="C36" s="227">
        <f>C37+C39</f>
        <v>640</v>
      </c>
      <c r="D36" s="227">
        <f>D37+D39</f>
        <v>653</v>
      </c>
      <c r="K36" s="219"/>
    </row>
    <row r="37" spans="1:11" ht="18.75" x14ac:dyDescent="0.25">
      <c r="A37" s="87" t="s">
        <v>680</v>
      </c>
      <c r="B37" s="88" t="s">
        <v>679</v>
      </c>
      <c r="C37" s="227">
        <f>C38</f>
        <v>511</v>
      </c>
      <c r="D37" s="227">
        <f>D38</f>
        <v>519</v>
      </c>
      <c r="K37" s="218"/>
    </row>
    <row r="38" spans="1:11" ht="31.5" x14ac:dyDescent="0.25">
      <c r="A38" s="129" t="s">
        <v>43</v>
      </c>
      <c r="B38" s="94" t="s">
        <v>44</v>
      </c>
      <c r="C38" s="232">
        <v>511</v>
      </c>
      <c r="D38" s="232">
        <v>519</v>
      </c>
      <c r="K38" s="218"/>
    </row>
    <row r="39" spans="1:11" ht="18.75" x14ac:dyDescent="0.25">
      <c r="A39" s="87" t="s">
        <v>682</v>
      </c>
      <c r="B39" s="88" t="s">
        <v>681</v>
      </c>
      <c r="C39" s="227">
        <f>C40</f>
        <v>129</v>
      </c>
      <c r="D39" s="227">
        <f>D40</f>
        <v>134</v>
      </c>
      <c r="K39" s="218"/>
    </row>
    <row r="40" spans="1:11" ht="31.5" x14ac:dyDescent="0.25">
      <c r="A40" s="129" t="s">
        <v>45</v>
      </c>
      <c r="B40" s="94" t="s">
        <v>46</v>
      </c>
      <c r="C40" s="232">
        <v>129</v>
      </c>
      <c r="D40" s="232">
        <v>134</v>
      </c>
      <c r="K40" s="218"/>
    </row>
    <row r="41" spans="1:11" ht="18.75" x14ac:dyDescent="0.25">
      <c r="A41" s="87" t="s">
        <v>47</v>
      </c>
      <c r="B41" s="88" t="s">
        <v>48</v>
      </c>
      <c r="C41" s="227">
        <f t="shared" ref="C41:D42" si="6">C42</f>
        <v>1334</v>
      </c>
      <c r="D41" s="227">
        <f t="shared" si="6"/>
        <v>1388</v>
      </c>
      <c r="K41" s="218"/>
    </row>
    <row r="42" spans="1:11" ht="31.5" x14ac:dyDescent="0.25">
      <c r="A42" s="87" t="s">
        <v>49</v>
      </c>
      <c r="B42" s="88" t="s">
        <v>50</v>
      </c>
      <c r="C42" s="227">
        <f t="shared" si="6"/>
        <v>1334</v>
      </c>
      <c r="D42" s="227">
        <f t="shared" si="6"/>
        <v>1388</v>
      </c>
      <c r="K42" s="218"/>
    </row>
    <row r="43" spans="1:11" ht="47.25" x14ac:dyDescent="0.25">
      <c r="A43" s="129" t="s">
        <v>51</v>
      </c>
      <c r="B43" s="94" t="s">
        <v>52</v>
      </c>
      <c r="C43" s="232">
        <v>1334</v>
      </c>
      <c r="D43" s="232">
        <v>1388</v>
      </c>
      <c r="K43" s="218"/>
    </row>
    <row r="44" spans="1:11" ht="47.25" x14ac:dyDescent="0.25">
      <c r="A44" s="87" t="s">
        <v>53</v>
      </c>
      <c r="B44" s="88" t="s">
        <v>54</v>
      </c>
      <c r="C44" s="227">
        <f t="shared" ref="C44:D44" si="7">C45</f>
        <v>44000</v>
      </c>
      <c r="D44" s="227">
        <f t="shared" si="7"/>
        <v>44000</v>
      </c>
      <c r="E44" s="16"/>
      <c r="F44" s="16"/>
      <c r="H44" s="156"/>
      <c r="I44" s="156"/>
      <c r="J44" s="156"/>
      <c r="K44" s="219"/>
    </row>
    <row r="45" spans="1:11" ht="78.75" x14ac:dyDescent="0.25">
      <c r="A45" s="87" t="s">
        <v>55</v>
      </c>
      <c r="B45" s="88" t="s">
        <v>56</v>
      </c>
      <c r="C45" s="227">
        <f t="shared" ref="C45:D45" si="8">C46+C48</f>
        <v>44000</v>
      </c>
      <c r="D45" s="227">
        <f t="shared" si="8"/>
        <v>44000</v>
      </c>
      <c r="K45" s="218"/>
    </row>
    <row r="46" spans="1:11" ht="63" x14ac:dyDescent="0.25">
      <c r="A46" s="87" t="s">
        <v>57</v>
      </c>
      <c r="B46" s="88" t="s">
        <v>58</v>
      </c>
      <c r="C46" s="227">
        <f t="shared" ref="C46:D46" si="9">C47</f>
        <v>40000</v>
      </c>
      <c r="D46" s="227">
        <f t="shared" si="9"/>
        <v>40000</v>
      </c>
      <c r="K46" s="218"/>
    </row>
    <row r="47" spans="1:11" ht="78.75" x14ac:dyDescent="0.25">
      <c r="A47" s="129" t="s">
        <v>59</v>
      </c>
      <c r="B47" s="94" t="s">
        <v>60</v>
      </c>
      <c r="C47" s="232">
        <v>40000</v>
      </c>
      <c r="D47" s="232">
        <v>40000</v>
      </c>
      <c r="K47" s="218"/>
    </row>
    <row r="48" spans="1:11" ht="47.25" x14ac:dyDescent="0.25">
      <c r="A48" s="87" t="s">
        <v>61</v>
      </c>
      <c r="B48" s="88" t="s">
        <v>62</v>
      </c>
      <c r="C48" s="227">
        <f t="shared" ref="C48:D48" si="10">C49</f>
        <v>4000</v>
      </c>
      <c r="D48" s="227">
        <f t="shared" si="10"/>
        <v>4000</v>
      </c>
      <c r="K48" s="218"/>
    </row>
    <row r="49" spans="1:11" ht="31.5" x14ac:dyDescent="0.25">
      <c r="A49" s="129" t="s">
        <v>63</v>
      </c>
      <c r="B49" s="94" t="s">
        <v>64</v>
      </c>
      <c r="C49" s="232">
        <v>4000</v>
      </c>
      <c r="D49" s="232">
        <v>4000</v>
      </c>
      <c r="K49" s="218"/>
    </row>
    <row r="50" spans="1:11" ht="26.45" customHeight="1" x14ac:dyDescent="0.25">
      <c r="A50" s="87" t="s">
        <v>65</v>
      </c>
      <c r="B50" s="97" t="s">
        <v>66</v>
      </c>
      <c r="C50" s="227">
        <f t="shared" ref="C50:D50" si="11">SUM(C51)</f>
        <v>3065.8999999999996</v>
      </c>
      <c r="D50" s="227">
        <f t="shared" si="11"/>
        <v>3188.4999999999995</v>
      </c>
      <c r="H50" s="156"/>
      <c r="I50" s="156"/>
      <c r="J50" s="156"/>
      <c r="K50" s="219"/>
    </row>
    <row r="51" spans="1:11" ht="18.75" x14ac:dyDescent="0.25">
      <c r="A51" s="87" t="s">
        <v>67</v>
      </c>
      <c r="B51" s="88" t="s">
        <v>68</v>
      </c>
      <c r="C51" s="227">
        <f>C52+C53+C54</f>
        <v>3065.8999999999996</v>
      </c>
      <c r="D51" s="227">
        <f>D52+D53+D54</f>
        <v>3188.4999999999995</v>
      </c>
      <c r="K51" s="218"/>
    </row>
    <row r="52" spans="1:11" ht="31.5" x14ac:dyDescent="0.25">
      <c r="A52" s="87" t="s">
        <v>69</v>
      </c>
      <c r="B52" s="88" t="s">
        <v>70</v>
      </c>
      <c r="C52" s="227">
        <v>167.4</v>
      </c>
      <c r="D52" s="227">
        <v>174.1</v>
      </c>
      <c r="K52" s="218"/>
    </row>
    <row r="53" spans="1:11" ht="18.75" x14ac:dyDescent="0.25">
      <c r="A53" s="87" t="s">
        <v>71</v>
      </c>
      <c r="B53" s="88" t="s">
        <v>72</v>
      </c>
      <c r="C53" s="227">
        <v>172.7</v>
      </c>
      <c r="D53" s="227">
        <v>179.6</v>
      </c>
      <c r="K53" s="218"/>
    </row>
    <row r="54" spans="1:11" ht="36" customHeight="1" x14ac:dyDescent="0.25">
      <c r="A54" s="87" t="s">
        <v>923</v>
      </c>
      <c r="B54" s="97" t="s">
        <v>671</v>
      </c>
      <c r="C54" s="227">
        <f>C55+C56</f>
        <v>2725.7999999999997</v>
      </c>
      <c r="D54" s="227">
        <f>D55+D56</f>
        <v>2834.7999999999997</v>
      </c>
      <c r="K54" s="218"/>
    </row>
    <row r="55" spans="1:11" ht="18.75" x14ac:dyDescent="0.25">
      <c r="A55" s="129" t="s">
        <v>373</v>
      </c>
      <c r="B55" s="94" t="s">
        <v>374</v>
      </c>
      <c r="C55" s="232">
        <v>2465.6</v>
      </c>
      <c r="D55" s="232">
        <v>2564.1999999999998</v>
      </c>
      <c r="K55" s="218"/>
    </row>
    <row r="56" spans="1:11" ht="18.75" x14ac:dyDescent="0.25">
      <c r="A56" s="129" t="s">
        <v>375</v>
      </c>
      <c r="B56" s="94" t="s">
        <v>376</v>
      </c>
      <c r="C56" s="232">
        <v>260.2</v>
      </c>
      <c r="D56" s="232">
        <v>270.60000000000002</v>
      </c>
      <c r="K56" s="218"/>
    </row>
    <row r="57" spans="1:11" ht="31.5" x14ac:dyDescent="0.25">
      <c r="A57" s="87" t="s">
        <v>73</v>
      </c>
      <c r="B57" s="88" t="s">
        <v>74</v>
      </c>
      <c r="C57" s="227">
        <f>C59</f>
        <v>833.9</v>
      </c>
      <c r="D57" s="227">
        <f>D59</f>
        <v>833.9</v>
      </c>
      <c r="K57" s="218"/>
    </row>
    <row r="58" spans="1:11" ht="18.75" x14ac:dyDescent="0.25">
      <c r="A58" s="87" t="s">
        <v>75</v>
      </c>
      <c r="B58" s="88" t="s">
        <v>76</v>
      </c>
      <c r="C58" s="227">
        <f>C59</f>
        <v>833.9</v>
      </c>
      <c r="D58" s="227">
        <f>D59</f>
        <v>833.9</v>
      </c>
      <c r="K58" s="218"/>
    </row>
    <row r="59" spans="1:11" ht="31.5" x14ac:dyDescent="0.25">
      <c r="A59" s="129" t="s">
        <v>77</v>
      </c>
      <c r="B59" s="94" t="s">
        <v>78</v>
      </c>
      <c r="C59" s="232">
        <v>833.9</v>
      </c>
      <c r="D59" s="232">
        <v>833.9</v>
      </c>
      <c r="E59" s="309" t="s">
        <v>1287</v>
      </c>
      <c r="K59" s="218"/>
    </row>
    <row r="60" spans="1:11" ht="31.5" x14ac:dyDescent="0.25">
      <c r="A60" s="87" t="s">
        <v>79</v>
      </c>
      <c r="B60" s="88" t="s">
        <v>80</v>
      </c>
      <c r="C60" s="227">
        <f t="shared" ref="C60:D60" si="12">SUM(C61+C63)</f>
        <v>236</v>
      </c>
      <c r="D60" s="227">
        <f t="shared" si="12"/>
        <v>236</v>
      </c>
      <c r="K60" s="218"/>
    </row>
    <row r="61" spans="1:11" ht="78.75" x14ac:dyDescent="0.25">
      <c r="A61" s="87" t="s">
        <v>81</v>
      </c>
      <c r="B61" s="88" t="s">
        <v>82</v>
      </c>
      <c r="C61" s="227">
        <f t="shared" ref="C61:D61" si="13">C62</f>
        <v>235</v>
      </c>
      <c r="D61" s="227">
        <f t="shared" si="13"/>
        <v>235</v>
      </c>
      <c r="K61" s="218"/>
    </row>
    <row r="62" spans="1:11" ht="94.5" x14ac:dyDescent="0.25">
      <c r="A62" s="129" t="s">
        <v>83</v>
      </c>
      <c r="B62" s="94" t="s">
        <v>337</v>
      </c>
      <c r="C62" s="232">
        <v>235</v>
      </c>
      <c r="D62" s="232">
        <v>235</v>
      </c>
      <c r="K62" s="218"/>
    </row>
    <row r="63" spans="1:11" ht="31.5" x14ac:dyDescent="0.25">
      <c r="A63" s="87" t="s">
        <v>84</v>
      </c>
      <c r="B63" s="88" t="s">
        <v>85</v>
      </c>
      <c r="C63" s="227">
        <f t="shared" ref="C63:D63" si="14">SUM(C64)</f>
        <v>1</v>
      </c>
      <c r="D63" s="227">
        <f t="shared" si="14"/>
        <v>1</v>
      </c>
      <c r="K63" s="218"/>
    </row>
    <row r="64" spans="1:11" ht="47.25" x14ac:dyDescent="0.25">
      <c r="A64" s="129" t="s">
        <v>86</v>
      </c>
      <c r="B64" s="94" t="s">
        <v>87</v>
      </c>
      <c r="C64" s="232">
        <v>1</v>
      </c>
      <c r="D64" s="232">
        <v>1</v>
      </c>
      <c r="K64" s="218"/>
    </row>
    <row r="65" spans="1:11" ht="18.75" x14ac:dyDescent="0.25">
      <c r="A65" s="87" t="s">
        <v>88</v>
      </c>
      <c r="B65" s="88" t="s">
        <v>89</v>
      </c>
      <c r="C65" s="227">
        <f>C66</f>
        <v>17</v>
      </c>
      <c r="D65" s="227">
        <f>D66</f>
        <v>18</v>
      </c>
      <c r="K65" s="218"/>
    </row>
    <row r="66" spans="1:11" ht="31.5" x14ac:dyDescent="0.25">
      <c r="A66" s="87" t="s">
        <v>650</v>
      </c>
      <c r="B66" s="97" t="s">
        <v>90</v>
      </c>
      <c r="C66" s="246">
        <f>C67+C69+C73+C71</f>
        <v>17</v>
      </c>
      <c r="D66" s="246">
        <f>D67+D69+D73+D71</f>
        <v>18</v>
      </c>
      <c r="K66" s="218"/>
    </row>
    <row r="67" spans="1:11" ht="63" x14ac:dyDescent="0.25">
      <c r="A67" s="87" t="s">
        <v>664</v>
      </c>
      <c r="B67" s="376" t="s">
        <v>663</v>
      </c>
      <c r="C67" s="246">
        <f>C68</f>
        <v>11</v>
      </c>
      <c r="D67" s="246">
        <f>D68</f>
        <v>12</v>
      </c>
      <c r="K67" s="218"/>
    </row>
    <row r="68" spans="1:11" ht="83.25" customHeight="1" x14ac:dyDescent="0.25">
      <c r="A68" s="129" t="s">
        <v>652</v>
      </c>
      <c r="B68" s="377" t="s">
        <v>658</v>
      </c>
      <c r="C68" s="242">
        <v>11</v>
      </c>
      <c r="D68" s="242">
        <v>12</v>
      </c>
      <c r="K68" s="218"/>
    </row>
    <row r="69" spans="1:11" ht="78.75" x14ac:dyDescent="0.25">
      <c r="A69" s="87" t="s">
        <v>666</v>
      </c>
      <c r="B69" s="376" t="s">
        <v>665</v>
      </c>
      <c r="C69" s="246">
        <f>C70</f>
        <v>2.5</v>
      </c>
      <c r="D69" s="246">
        <f>D70</f>
        <v>2.5</v>
      </c>
      <c r="K69" s="218"/>
    </row>
    <row r="70" spans="1:11" ht="103.5" customHeight="1" x14ac:dyDescent="0.25">
      <c r="A70" s="129" t="s">
        <v>651</v>
      </c>
      <c r="B70" s="377" t="s">
        <v>659</v>
      </c>
      <c r="C70" s="242">
        <v>2.5</v>
      </c>
      <c r="D70" s="242">
        <v>2.5</v>
      </c>
      <c r="K70" s="218"/>
    </row>
    <row r="71" spans="1:11" s="114" customFormat="1" ht="61.5" customHeight="1" x14ac:dyDescent="0.25">
      <c r="A71" s="87" t="s">
        <v>1173</v>
      </c>
      <c r="B71" s="378" t="s">
        <v>1175</v>
      </c>
      <c r="C71" s="246">
        <f>C72</f>
        <v>0.5</v>
      </c>
      <c r="D71" s="246">
        <f>D72</f>
        <v>0.5</v>
      </c>
      <c r="K71" s="370"/>
    </row>
    <row r="72" spans="1:11" s="362" customFormat="1" ht="81.75" customHeight="1" x14ac:dyDescent="0.25">
      <c r="A72" s="129" t="s">
        <v>1174</v>
      </c>
      <c r="B72" s="377" t="s">
        <v>1176</v>
      </c>
      <c r="C72" s="242">
        <v>0.5</v>
      </c>
      <c r="D72" s="242">
        <v>0.5</v>
      </c>
      <c r="K72" s="218"/>
    </row>
    <row r="73" spans="1:11" ht="75.2" customHeight="1" x14ac:dyDescent="0.25">
      <c r="A73" s="87" t="s">
        <v>662</v>
      </c>
      <c r="B73" s="378" t="s">
        <v>661</v>
      </c>
      <c r="C73" s="246">
        <f>C74</f>
        <v>3</v>
      </c>
      <c r="D73" s="246">
        <f>D74</f>
        <v>3</v>
      </c>
    </row>
    <row r="74" spans="1:11" ht="87.75" customHeight="1" x14ac:dyDescent="0.25">
      <c r="A74" s="129" t="s">
        <v>655</v>
      </c>
      <c r="B74" s="379" t="s">
        <v>660</v>
      </c>
      <c r="C74" s="232">
        <v>3</v>
      </c>
      <c r="D74" s="232">
        <v>3</v>
      </c>
      <c r="F74" s="156">
        <v>260551131.97999999</v>
      </c>
      <c r="G74" s="156">
        <v>210284770</v>
      </c>
    </row>
    <row r="75" spans="1:11" ht="18.75" hidden="1" x14ac:dyDescent="0.25">
      <c r="A75" s="3" t="s">
        <v>653</v>
      </c>
      <c r="B75" s="380" t="s">
        <v>347</v>
      </c>
      <c r="C75" s="227">
        <f>C76</f>
        <v>0</v>
      </c>
      <c r="D75" s="227">
        <f>D76</f>
        <v>0</v>
      </c>
    </row>
    <row r="76" spans="1:11" ht="18.75" hidden="1" x14ac:dyDescent="0.25">
      <c r="A76" s="3" t="s">
        <v>654</v>
      </c>
      <c r="B76" s="380" t="s">
        <v>348</v>
      </c>
      <c r="C76" s="227">
        <f t="shared" ref="C76:D76" si="15">SUM(C77)</f>
        <v>0</v>
      </c>
      <c r="D76" s="227">
        <f t="shared" si="15"/>
        <v>0</v>
      </c>
    </row>
    <row r="77" spans="1:11" ht="18.75" hidden="1" x14ac:dyDescent="0.25">
      <c r="A77" s="2" t="s">
        <v>349</v>
      </c>
      <c r="B77" s="381" t="s">
        <v>350</v>
      </c>
      <c r="C77" s="232">
        <v>0</v>
      </c>
      <c r="D77" s="232">
        <v>0</v>
      </c>
    </row>
    <row r="78" spans="1:11" ht="18.75" x14ac:dyDescent="0.25">
      <c r="A78" s="87" t="s">
        <v>91</v>
      </c>
      <c r="B78" s="88" t="s">
        <v>92</v>
      </c>
      <c r="C78" s="227">
        <f>SUM(C79+C153)</f>
        <v>465044.13199999998</v>
      </c>
      <c r="D78" s="227">
        <f>SUM(D79+D153)</f>
        <v>414777.87</v>
      </c>
      <c r="E78" s="16"/>
      <c r="F78" s="557">
        <f>C78-C80</f>
        <v>260551.13199999998</v>
      </c>
      <c r="G78" s="557">
        <f>D78-D80</f>
        <v>210284.87</v>
      </c>
    </row>
    <row r="79" spans="1:11" ht="31.5" x14ac:dyDescent="0.25">
      <c r="A79" s="87" t="s">
        <v>93</v>
      </c>
      <c r="B79" s="88" t="s">
        <v>94</v>
      </c>
      <c r="C79" s="227">
        <f>SUM(C80+C85+C119+C145)</f>
        <v>465044.13199999998</v>
      </c>
      <c r="D79" s="227">
        <f>SUM(D80+D85+D119+D145)</f>
        <v>414777.87</v>
      </c>
    </row>
    <row r="80" spans="1:11" ht="18.75" x14ac:dyDescent="0.25">
      <c r="A80" s="87" t="s">
        <v>392</v>
      </c>
      <c r="B80" s="97" t="s">
        <v>95</v>
      </c>
      <c r="C80" s="227">
        <f>C81+C83</f>
        <v>204493</v>
      </c>
      <c r="D80" s="227">
        <f>D81+D83</f>
        <v>204493</v>
      </c>
      <c r="E80" s="16"/>
    </row>
    <row r="81" spans="1:6" ht="31.5" x14ac:dyDescent="0.25">
      <c r="A81" s="87" t="s">
        <v>684</v>
      </c>
      <c r="B81" s="97" t="s">
        <v>683</v>
      </c>
      <c r="C81" s="227">
        <f>C82</f>
        <v>193111</v>
      </c>
      <c r="D81" s="227">
        <f t="shared" ref="D81" si="16">D82</f>
        <v>193111</v>
      </c>
    </row>
    <row r="82" spans="1:6" ht="36.75" customHeight="1" x14ac:dyDescent="0.25">
      <c r="A82" s="129" t="s">
        <v>391</v>
      </c>
      <c r="B82" s="94" t="s">
        <v>691</v>
      </c>
      <c r="C82" s="232">
        <v>193111</v>
      </c>
      <c r="D82" s="232">
        <v>193111</v>
      </c>
    </row>
    <row r="83" spans="1:6" ht="31.5" x14ac:dyDescent="0.25">
      <c r="A83" s="84" t="s">
        <v>938</v>
      </c>
      <c r="B83" s="88" t="s">
        <v>939</v>
      </c>
      <c r="C83" s="227">
        <f>C84</f>
        <v>11382</v>
      </c>
      <c r="D83" s="227">
        <f>D84</f>
        <v>11382</v>
      </c>
    </row>
    <row r="84" spans="1:6" ht="31.5" x14ac:dyDescent="0.25">
      <c r="A84" s="82" t="s">
        <v>940</v>
      </c>
      <c r="B84" s="94" t="s">
        <v>941</v>
      </c>
      <c r="C84" s="232">
        <v>11382</v>
      </c>
      <c r="D84" s="232">
        <v>11382</v>
      </c>
    </row>
    <row r="85" spans="1:6" ht="31.5" x14ac:dyDescent="0.25">
      <c r="A85" s="87" t="s">
        <v>390</v>
      </c>
      <c r="B85" s="88" t="s">
        <v>96</v>
      </c>
      <c r="C85" s="227">
        <f>C95+C100+C103+C96+C98+C92+C90+C86+C88</f>
        <v>26380.112000000001</v>
      </c>
      <c r="D85" s="227">
        <f>D95+D100+D103+D96+D98+D92+D90+D86+D88</f>
        <v>17846.45</v>
      </c>
    </row>
    <row r="86" spans="1:6" ht="47.25" hidden="1" x14ac:dyDescent="0.25">
      <c r="A86" s="433" t="s">
        <v>706</v>
      </c>
      <c r="B86" s="375" t="s">
        <v>708</v>
      </c>
      <c r="C86" s="229">
        <f>C87</f>
        <v>0</v>
      </c>
      <c r="D86" s="229">
        <f>D87</f>
        <v>0</v>
      </c>
    </row>
    <row r="87" spans="1:6" ht="47.25" hidden="1" x14ac:dyDescent="0.25">
      <c r="A87" s="129" t="s">
        <v>705</v>
      </c>
      <c r="B87" s="172" t="s">
        <v>707</v>
      </c>
      <c r="C87" s="232">
        <v>0</v>
      </c>
      <c r="D87" s="232">
        <v>0</v>
      </c>
    </row>
    <row r="88" spans="1:6" ht="53.45" customHeight="1" x14ac:dyDescent="0.25">
      <c r="A88" s="87" t="s">
        <v>953</v>
      </c>
      <c r="B88" s="442" t="s">
        <v>1169</v>
      </c>
      <c r="C88" s="227">
        <f>C89</f>
        <v>2245</v>
      </c>
      <c r="D88" s="227">
        <f>D89</f>
        <v>0</v>
      </c>
    </row>
    <row r="89" spans="1:6" ht="45.75" customHeight="1" x14ac:dyDescent="0.25">
      <c r="A89" s="129" t="s">
        <v>954</v>
      </c>
      <c r="B89" s="382" t="s">
        <v>1117</v>
      </c>
      <c r="C89" s="232">
        <f>2245.1-0.1</f>
        <v>2245</v>
      </c>
      <c r="D89" s="232">
        <v>0</v>
      </c>
      <c r="E89" s="156" t="s">
        <v>1212</v>
      </c>
      <c r="F89" s="156"/>
    </row>
    <row r="90" spans="1:6" ht="47.25" hidden="1" x14ac:dyDescent="0.25">
      <c r="A90" s="87" t="s">
        <v>709</v>
      </c>
      <c r="B90" s="374" t="s">
        <v>712</v>
      </c>
      <c r="C90" s="227">
        <f>C91</f>
        <v>0</v>
      </c>
      <c r="D90" s="227">
        <f>D91</f>
        <v>0</v>
      </c>
    </row>
    <row r="91" spans="1:6" ht="47.25" hidden="1" x14ac:dyDescent="0.25">
      <c r="A91" s="129" t="s">
        <v>710</v>
      </c>
      <c r="B91" s="172" t="s">
        <v>711</v>
      </c>
      <c r="C91" s="232">
        <v>0</v>
      </c>
      <c r="D91" s="232">
        <v>0</v>
      </c>
    </row>
    <row r="92" spans="1:6" ht="18.75" hidden="1" x14ac:dyDescent="0.25">
      <c r="A92" s="433"/>
      <c r="B92" s="235" t="s">
        <v>806</v>
      </c>
      <c r="C92" s="227">
        <f>C93</f>
        <v>0</v>
      </c>
      <c r="D92" s="227">
        <f>D93</f>
        <v>0</v>
      </c>
    </row>
    <row r="93" spans="1:6" ht="18.75" hidden="1" x14ac:dyDescent="0.25">
      <c r="A93" s="436"/>
      <c r="B93" s="236"/>
      <c r="C93" s="232">
        <v>0</v>
      </c>
      <c r="D93" s="227">
        <v>0</v>
      </c>
      <c r="E93" s="156"/>
    </row>
    <row r="94" spans="1:6" ht="34.5" customHeight="1" x14ac:dyDescent="0.25">
      <c r="A94" s="433" t="s">
        <v>1163</v>
      </c>
      <c r="B94" s="88" t="s">
        <v>1170</v>
      </c>
      <c r="C94" s="227">
        <f>C95</f>
        <v>177.97499999999999</v>
      </c>
      <c r="D94" s="227">
        <f>D95</f>
        <v>142.35</v>
      </c>
    </row>
    <row r="95" spans="1:6" ht="37.5" customHeight="1" x14ac:dyDescent="0.25">
      <c r="A95" s="436" t="s">
        <v>370</v>
      </c>
      <c r="B95" s="94" t="s">
        <v>1171</v>
      </c>
      <c r="C95" s="232">
        <f>178.1-0.125</f>
        <v>177.97499999999999</v>
      </c>
      <c r="D95" s="232">
        <f>142.4-0.05</f>
        <v>142.35</v>
      </c>
      <c r="E95" s="558" t="s">
        <v>1219</v>
      </c>
      <c r="F95" s="156"/>
    </row>
    <row r="96" spans="1:6" ht="40.700000000000003" hidden="1" customHeight="1" x14ac:dyDescent="0.25">
      <c r="A96" s="433" t="s">
        <v>672</v>
      </c>
      <c r="B96" s="88" t="s">
        <v>403</v>
      </c>
      <c r="C96" s="227">
        <f>C97</f>
        <v>0</v>
      </c>
      <c r="D96" s="227">
        <f>D97</f>
        <v>0</v>
      </c>
      <c r="E96" s="559"/>
    </row>
    <row r="97" spans="1:6" ht="39.75" hidden="1" customHeight="1" x14ac:dyDescent="0.25">
      <c r="A97" s="436" t="s">
        <v>402</v>
      </c>
      <c r="B97" s="94" t="s">
        <v>403</v>
      </c>
      <c r="C97" s="232">
        <v>0</v>
      </c>
      <c r="D97" s="232">
        <v>0</v>
      </c>
      <c r="E97" s="559"/>
    </row>
    <row r="98" spans="1:6" ht="19.5" hidden="1" customHeight="1" x14ac:dyDescent="0.25">
      <c r="A98" s="180" t="s">
        <v>702</v>
      </c>
      <c r="B98" s="181" t="s">
        <v>703</v>
      </c>
      <c r="C98" s="227">
        <f>C99</f>
        <v>0</v>
      </c>
      <c r="D98" s="227">
        <f>D99</f>
        <v>0</v>
      </c>
      <c r="E98" s="559"/>
    </row>
    <row r="99" spans="1:6" ht="87.75" hidden="1" customHeight="1" x14ac:dyDescent="0.25">
      <c r="A99" s="182" t="s">
        <v>700</v>
      </c>
      <c r="B99" s="172" t="s">
        <v>729</v>
      </c>
      <c r="C99" s="232">
        <v>0</v>
      </c>
      <c r="D99" s="232">
        <v>0</v>
      </c>
      <c r="E99" s="559"/>
    </row>
    <row r="100" spans="1:6" ht="54" customHeight="1" x14ac:dyDescent="0.25">
      <c r="A100" s="433" t="s">
        <v>929</v>
      </c>
      <c r="B100" s="88" t="s">
        <v>930</v>
      </c>
      <c r="C100" s="227">
        <f t="shared" ref="C100:D102" si="17">SUM(C101)</f>
        <v>4931.5999999999995</v>
      </c>
      <c r="D100" s="227">
        <f t="shared" si="17"/>
        <v>5080.5999999999995</v>
      </c>
      <c r="E100" s="559"/>
    </row>
    <row r="101" spans="1:6" ht="68.25" customHeight="1" x14ac:dyDescent="0.25">
      <c r="A101" s="436" t="s">
        <v>931</v>
      </c>
      <c r="B101" s="94" t="s">
        <v>912</v>
      </c>
      <c r="C101" s="232">
        <f>4931.7-0.1</f>
        <v>4931.5999999999995</v>
      </c>
      <c r="D101" s="232">
        <f>5080.7-0.1</f>
        <v>5080.5999999999995</v>
      </c>
      <c r="E101" s="558" t="s">
        <v>1316</v>
      </c>
      <c r="F101" s="156"/>
    </row>
    <row r="102" spans="1:6" ht="18.75" x14ac:dyDescent="0.25">
      <c r="A102" s="433" t="s">
        <v>676</v>
      </c>
      <c r="B102" s="88" t="s">
        <v>675</v>
      </c>
      <c r="C102" s="227">
        <f t="shared" si="17"/>
        <v>19025.537</v>
      </c>
      <c r="D102" s="227">
        <f t="shared" si="17"/>
        <v>12623.5</v>
      </c>
    </row>
    <row r="103" spans="1:6" ht="18.75" x14ac:dyDescent="0.25">
      <c r="A103" s="129" t="s">
        <v>388</v>
      </c>
      <c r="B103" s="94" t="s">
        <v>97</v>
      </c>
      <c r="C103" s="239">
        <f>C104+C105+C106+C108+C109+C112+C113+C114+C115+C116+C118+C111+C117+C107</f>
        <v>19025.537</v>
      </c>
      <c r="D103" s="239">
        <f>D104+D105+D106+D108+D109+D112+D113+D114+D115+D116+D118+D111+D117+D107</f>
        <v>12623.5</v>
      </c>
    </row>
    <row r="104" spans="1:6" ht="63" hidden="1" customHeight="1" x14ac:dyDescent="0.25">
      <c r="A104" s="583"/>
      <c r="B104" s="94"/>
      <c r="C104" s="232"/>
      <c r="D104" s="232"/>
      <c r="E104" s="219"/>
      <c r="F104" s="219"/>
    </row>
    <row r="105" spans="1:6" ht="134.25" customHeight="1" x14ac:dyDescent="0.25">
      <c r="A105" s="584"/>
      <c r="B105" s="230" t="s">
        <v>1133</v>
      </c>
      <c r="C105" s="285">
        <v>652</v>
      </c>
      <c r="D105" s="240">
        <v>652</v>
      </c>
      <c r="E105" s="223"/>
      <c r="F105" s="223"/>
    </row>
    <row r="106" spans="1:6" ht="143.44999999999999" hidden="1" customHeight="1" x14ac:dyDescent="0.25">
      <c r="A106" s="584"/>
      <c r="B106" s="179" t="s">
        <v>704</v>
      </c>
      <c r="C106" s="240">
        <v>0</v>
      </c>
      <c r="D106" s="240">
        <v>0</v>
      </c>
      <c r="E106" s="156"/>
      <c r="F106" s="156"/>
    </row>
    <row r="107" spans="1:6" ht="101.25" customHeight="1" x14ac:dyDescent="0.25">
      <c r="A107" s="584"/>
      <c r="B107" s="179" t="s">
        <v>1129</v>
      </c>
      <c r="C107" s="240">
        <v>200</v>
      </c>
      <c r="D107" s="240">
        <v>200</v>
      </c>
      <c r="E107" s="156"/>
      <c r="F107" s="156"/>
    </row>
    <row r="108" spans="1:6" ht="31.5" x14ac:dyDescent="0.25">
      <c r="A108" s="584"/>
      <c r="B108" s="383" t="s">
        <v>1087</v>
      </c>
      <c r="C108" s="241">
        <v>4278.5</v>
      </c>
      <c r="D108" s="241">
        <v>4449.6000000000004</v>
      </c>
      <c r="E108" s="219"/>
      <c r="F108" s="219"/>
    </row>
    <row r="109" spans="1:6" ht="67.7" hidden="1" customHeight="1" x14ac:dyDescent="0.25">
      <c r="A109" s="584"/>
      <c r="B109" s="230" t="s">
        <v>910</v>
      </c>
      <c r="C109" s="242"/>
      <c r="D109" s="242"/>
    </row>
    <row r="110" spans="1:6" ht="116.45" hidden="1" customHeight="1" x14ac:dyDescent="0.25">
      <c r="A110" s="584"/>
      <c r="B110" s="384" t="s">
        <v>380</v>
      </c>
      <c r="C110" s="243">
        <v>0</v>
      </c>
      <c r="D110" s="243">
        <v>0</v>
      </c>
    </row>
    <row r="111" spans="1:6" ht="47.25" x14ac:dyDescent="0.25">
      <c r="A111" s="584"/>
      <c r="B111" s="354" t="s">
        <v>1033</v>
      </c>
      <c r="C111" s="232">
        <v>200</v>
      </c>
      <c r="D111" s="232">
        <v>200</v>
      </c>
      <c r="E111" s="223"/>
      <c r="F111" s="223"/>
    </row>
    <row r="112" spans="1:6" ht="32.65" customHeight="1" x14ac:dyDescent="0.25">
      <c r="A112" s="584"/>
      <c r="B112" s="94" t="s">
        <v>1120</v>
      </c>
      <c r="C112" s="232">
        <v>2373.8000000000002</v>
      </c>
      <c r="D112" s="232">
        <v>2446.1</v>
      </c>
      <c r="E112" s="223"/>
      <c r="F112" s="223"/>
    </row>
    <row r="113" spans="1:7" ht="98.25" customHeight="1" x14ac:dyDescent="0.25">
      <c r="A113" s="584"/>
      <c r="B113" s="94" t="s">
        <v>1140</v>
      </c>
      <c r="C113" s="232">
        <f>255-255</f>
        <v>0</v>
      </c>
      <c r="D113" s="232">
        <v>255</v>
      </c>
      <c r="E113" s="223">
        <v>-255</v>
      </c>
      <c r="F113" s="223"/>
    </row>
    <row r="114" spans="1:7" ht="126" x14ac:dyDescent="0.25">
      <c r="A114" s="584"/>
      <c r="B114" s="354" t="s">
        <v>1146</v>
      </c>
      <c r="C114" s="232">
        <f>6900.5-0.063</f>
        <v>6900.4369999999999</v>
      </c>
      <c r="D114" s="232">
        <v>0</v>
      </c>
      <c r="E114" s="556" t="s">
        <v>1315</v>
      </c>
      <c r="F114" s="223"/>
    </row>
    <row r="115" spans="1:7" ht="95.25" hidden="1" customHeight="1" x14ac:dyDescent="0.25">
      <c r="A115" s="584"/>
      <c r="B115" s="172" t="s">
        <v>713</v>
      </c>
      <c r="C115" s="250"/>
      <c r="D115" s="232"/>
    </row>
    <row r="116" spans="1:7" ht="57.75" customHeight="1" x14ac:dyDescent="0.25">
      <c r="A116" s="584"/>
      <c r="B116" s="354" t="s">
        <v>1126</v>
      </c>
      <c r="C116" s="239">
        <v>247.3</v>
      </c>
      <c r="D116" s="239">
        <v>247.3</v>
      </c>
      <c r="E116" s="223"/>
      <c r="F116" s="223"/>
      <c r="G116" s="218"/>
    </row>
    <row r="117" spans="1:7" ht="31.5" x14ac:dyDescent="0.25">
      <c r="A117" s="584"/>
      <c r="B117" s="385" t="s">
        <v>1071</v>
      </c>
      <c r="C117" s="239">
        <v>4173.5</v>
      </c>
      <c r="D117" s="239">
        <v>4173.5</v>
      </c>
      <c r="E117" s="223"/>
      <c r="F117" s="223"/>
    </row>
    <row r="118" spans="1:7" ht="63" hidden="1" x14ac:dyDescent="0.25">
      <c r="A118" s="585"/>
      <c r="B118" s="443" t="s">
        <v>912</v>
      </c>
      <c r="C118" s="239">
        <v>0</v>
      </c>
      <c r="D118" s="239">
        <v>0</v>
      </c>
      <c r="E118" s="219"/>
      <c r="F118" s="219"/>
    </row>
    <row r="119" spans="1:7" ht="24.75" customHeight="1" x14ac:dyDescent="0.25">
      <c r="A119" s="87" t="s">
        <v>387</v>
      </c>
      <c r="B119" s="97" t="s">
        <v>99</v>
      </c>
      <c r="C119" s="227">
        <f>C143+C120+C141</f>
        <v>226749.62</v>
      </c>
      <c r="D119" s="227">
        <f>D143+D120+D141</f>
        <v>185017.01999999996</v>
      </c>
    </row>
    <row r="120" spans="1:7" ht="31.5" x14ac:dyDescent="0.25">
      <c r="A120" s="87" t="s">
        <v>386</v>
      </c>
      <c r="B120" s="88" t="s">
        <v>100</v>
      </c>
      <c r="C120" s="227">
        <f>C121</f>
        <v>226148.41999999998</v>
      </c>
      <c r="D120" s="227">
        <f t="shared" ref="D120" si="18">D121</f>
        <v>184392.81999999995</v>
      </c>
    </row>
    <row r="121" spans="1:7" ht="31.5" x14ac:dyDescent="0.25">
      <c r="A121" s="129" t="s">
        <v>385</v>
      </c>
      <c r="B121" s="94" t="s">
        <v>101</v>
      </c>
      <c r="C121" s="232">
        <f>C122+C123+C128+C131+C132+C133+C134+C135+C137</f>
        <v>226148.41999999998</v>
      </c>
      <c r="D121" s="232">
        <f>D122+D123+D128+D131+D132+D133+D134+D135+D137</f>
        <v>184392.81999999995</v>
      </c>
    </row>
    <row r="122" spans="1:7" ht="54.75" customHeight="1" x14ac:dyDescent="0.25">
      <c r="A122" s="583"/>
      <c r="B122" s="230" t="s">
        <v>1104</v>
      </c>
      <c r="C122" s="242">
        <f>204296.3-0.08</f>
        <v>204296.22</v>
      </c>
      <c r="D122" s="242">
        <f>162319.9+0.02</f>
        <v>162319.91999999998</v>
      </c>
      <c r="E122" s="556" t="s">
        <v>1331</v>
      </c>
      <c r="F122" s="223"/>
    </row>
    <row r="123" spans="1:7" ht="148.5" customHeight="1" x14ac:dyDescent="0.25">
      <c r="A123" s="584"/>
      <c r="B123" s="94" t="s">
        <v>1088</v>
      </c>
      <c r="C123" s="242">
        <v>328.5</v>
      </c>
      <c r="D123" s="242">
        <v>341.7</v>
      </c>
      <c r="E123" s="223"/>
      <c r="F123" s="223"/>
    </row>
    <row r="124" spans="1:7" ht="145.5" hidden="1" customHeight="1" x14ac:dyDescent="0.25">
      <c r="A124" s="584"/>
      <c r="B124" s="94"/>
      <c r="C124" s="242"/>
      <c r="D124" s="242"/>
      <c r="E124" s="225"/>
      <c r="F124" s="225"/>
      <c r="G124" s="226"/>
    </row>
    <row r="125" spans="1:7" ht="64.5" hidden="1" customHeight="1" x14ac:dyDescent="0.25">
      <c r="A125" s="584"/>
      <c r="B125" s="94"/>
      <c r="C125" s="242"/>
      <c r="D125" s="242"/>
      <c r="E125" s="223"/>
      <c r="F125" s="223"/>
    </row>
    <row r="126" spans="1:7" ht="46.9" hidden="1" customHeight="1" x14ac:dyDescent="0.25">
      <c r="A126" s="584"/>
      <c r="B126" s="94"/>
      <c r="C126" s="242"/>
      <c r="D126" s="242"/>
      <c r="E126" s="223"/>
      <c r="F126" s="223"/>
    </row>
    <row r="127" spans="1:7" ht="18.75" hidden="1" x14ac:dyDescent="0.25">
      <c r="A127" s="584"/>
      <c r="B127" s="94"/>
      <c r="C127" s="242"/>
      <c r="D127" s="242"/>
      <c r="E127" s="223"/>
      <c r="F127" s="223"/>
    </row>
    <row r="128" spans="1:7" ht="54.75" customHeight="1" x14ac:dyDescent="0.25">
      <c r="A128" s="584"/>
      <c r="B128" s="94" t="s">
        <v>1155</v>
      </c>
      <c r="C128" s="242">
        <f>SUM(C129:C130)</f>
        <v>3693.7000000000003</v>
      </c>
      <c r="D128" s="242">
        <f>SUM(D129:D130)</f>
        <v>3841.5</v>
      </c>
      <c r="E128" s="219"/>
      <c r="F128" s="219"/>
      <c r="G128" s="219"/>
    </row>
    <row r="129" spans="1:6" ht="93.75" customHeight="1" x14ac:dyDescent="0.25">
      <c r="A129" s="584"/>
      <c r="B129" s="392" t="s">
        <v>996</v>
      </c>
      <c r="C129" s="242">
        <v>3283.3</v>
      </c>
      <c r="D129" s="242">
        <v>3414.7</v>
      </c>
    </row>
    <row r="130" spans="1:6" ht="167.25" customHeight="1" x14ac:dyDescent="0.25">
      <c r="A130" s="584"/>
      <c r="B130" s="392" t="s">
        <v>997</v>
      </c>
      <c r="C130" s="242">
        <v>410.4</v>
      </c>
      <c r="D130" s="242">
        <v>426.8</v>
      </c>
    </row>
    <row r="131" spans="1:6" ht="149.25" customHeight="1" x14ac:dyDescent="0.25">
      <c r="A131" s="584"/>
      <c r="B131" s="94" t="s">
        <v>1144</v>
      </c>
      <c r="C131" s="242">
        <v>384.5</v>
      </c>
      <c r="D131" s="242">
        <v>384.5</v>
      </c>
      <c r="E131" s="223"/>
      <c r="F131" s="223"/>
    </row>
    <row r="132" spans="1:6" ht="119.25" customHeight="1" x14ac:dyDescent="0.25">
      <c r="A132" s="584"/>
      <c r="B132" s="94" t="s">
        <v>1143</v>
      </c>
      <c r="C132" s="242">
        <v>909.3</v>
      </c>
      <c r="D132" s="242">
        <v>909.3</v>
      </c>
      <c r="E132" s="223"/>
      <c r="F132" s="223"/>
    </row>
    <row r="133" spans="1:6" ht="47.25" customHeight="1" x14ac:dyDescent="0.25">
      <c r="A133" s="584"/>
      <c r="B133" s="94" t="s">
        <v>1089</v>
      </c>
      <c r="C133" s="242">
        <v>1477.7</v>
      </c>
      <c r="D133" s="242">
        <v>1536.8</v>
      </c>
      <c r="E133" s="223"/>
      <c r="F133" s="223"/>
    </row>
    <row r="134" spans="1:6" ht="157.5" x14ac:dyDescent="0.25">
      <c r="A134" s="584"/>
      <c r="B134" s="22" t="s">
        <v>1141</v>
      </c>
      <c r="C134" s="242">
        <v>17.3</v>
      </c>
      <c r="D134" s="242">
        <v>17.899999999999999</v>
      </c>
      <c r="E134" s="223"/>
      <c r="F134" s="223"/>
    </row>
    <row r="135" spans="1:6" ht="65.25" customHeight="1" x14ac:dyDescent="0.25">
      <c r="A135" s="584"/>
      <c r="B135" s="94" t="s">
        <v>932</v>
      </c>
      <c r="C135" s="242">
        <v>2145.8000000000002</v>
      </c>
      <c r="D135" s="242">
        <v>2145.8000000000002</v>
      </c>
      <c r="E135" s="223"/>
      <c r="F135" s="223"/>
    </row>
    <row r="136" spans="1:6" ht="63" hidden="1" x14ac:dyDescent="0.25">
      <c r="A136" s="584"/>
      <c r="B136" s="94" t="s">
        <v>932</v>
      </c>
      <c r="C136" s="242"/>
      <c r="D136" s="242"/>
      <c r="E136" s="223"/>
      <c r="F136" s="223"/>
    </row>
    <row r="137" spans="1:6" ht="71.25" customHeight="1" x14ac:dyDescent="0.25">
      <c r="A137" s="584"/>
      <c r="B137" s="386" t="s">
        <v>1090</v>
      </c>
      <c r="C137" s="244">
        <f>C138+C139+C140</f>
        <v>12895.4</v>
      </c>
      <c r="D137" s="244">
        <f>D138+D139+D140</f>
        <v>12895.4</v>
      </c>
      <c r="E137" s="156"/>
      <c r="F137" s="156"/>
    </row>
    <row r="138" spans="1:6" ht="55.5" customHeight="1" x14ac:dyDescent="0.25">
      <c r="A138" s="584"/>
      <c r="B138" s="210" t="s">
        <v>933</v>
      </c>
      <c r="C138" s="245">
        <v>9911</v>
      </c>
      <c r="D138" s="242">
        <v>9911</v>
      </c>
      <c r="E138" s="223"/>
      <c r="F138" s="223"/>
    </row>
    <row r="139" spans="1:6" ht="77.25" customHeight="1" x14ac:dyDescent="0.25">
      <c r="A139" s="584"/>
      <c r="B139" s="210" t="s">
        <v>934</v>
      </c>
      <c r="C139" s="245">
        <v>2100.5</v>
      </c>
      <c r="D139" s="242">
        <v>2100.5</v>
      </c>
      <c r="E139" s="223"/>
      <c r="F139" s="223"/>
    </row>
    <row r="140" spans="1:6" ht="64.5" customHeight="1" x14ac:dyDescent="0.25">
      <c r="A140" s="585"/>
      <c r="B140" s="210" t="s">
        <v>935</v>
      </c>
      <c r="C140" s="245">
        <v>883.9</v>
      </c>
      <c r="D140" s="242">
        <v>883.9</v>
      </c>
      <c r="E140" s="223"/>
      <c r="F140" s="223"/>
    </row>
    <row r="141" spans="1:6" ht="63" hidden="1" x14ac:dyDescent="0.25">
      <c r="A141" s="87" t="s">
        <v>714</v>
      </c>
      <c r="B141" s="374" t="s">
        <v>716</v>
      </c>
      <c r="C141" s="246">
        <f>C142</f>
        <v>0</v>
      </c>
      <c r="D141" s="246">
        <f>D142</f>
        <v>0</v>
      </c>
    </row>
    <row r="142" spans="1:6" ht="63" hidden="1" x14ac:dyDescent="0.25">
      <c r="A142" s="129" t="s">
        <v>715</v>
      </c>
      <c r="B142" s="172" t="s">
        <v>716</v>
      </c>
      <c r="C142" s="242">
        <v>0</v>
      </c>
      <c r="D142" s="242">
        <v>0</v>
      </c>
      <c r="E142" s="156"/>
      <c r="F142" s="156"/>
    </row>
    <row r="143" spans="1:6" ht="31.5" x14ac:dyDescent="0.25">
      <c r="A143" s="87" t="s">
        <v>384</v>
      </c>
      <c r="B143" s="88" t="s">
        <v>102</v>
      </c>
      <c r="C143" s="227">
        <f t="shared" ref="C143:D143" si="19">C144</f>
        <v>601.20000000000005</v>
      </c>
      <c r="D143" s="227">
        <f t="shared" si="19"/>
        <v>624.20000000000005</v>
      </c>
    </row>
    <row r="144" spans="1:6" ht="31.5" x14ac:dyDescent="0.25">
      <c r="A144" s="129" t="s">
        <v>383</v>
      </c>
      <c r="B144" s="94" t="s">
        <v>103</v>
      </c>
      <c r="C144" s="232">
        <v>601.20000000000005</v>
      </c>
      <c r="D144" s="232">
        <v>624.20000000000005</v>
      </c>
      <c r="E144" s="223"/>
      <c r="F144" s="223"/>
    </row>
    <row r="145" spans="1:6" ht="18.75" x14ac:dyDescent="0.25">
      <c r="A145" s="87" t="s">
        <v>382</v>
      </c>
      <c r="B145" s="88" t="s">
        <v>104</v>
      </c>
      <c r="C145" s="227">
        <f>C146</f>
        <v>7421.4</v>
      </c>
      <c r="D145" s="227">
        <f>D146</f>
        <v>7421.4</v>
      </c>
    </row>
    <row r="146" spans="1:6" ht="67.7" customHeight="1" x14ac:dyDescent="0.25">
      <c r="A146" s="434" t="s">
        <v>882</v>
      </c>
      <c r="B146" s="387" t="s">
        <v>880</v>
      </c>
      <c r="C146" s="227">
        <f>C147</f>
        <v>7421.4</v>
      </c>
      <c r="D146" s="227">
        <f>D147</f>
        <v>7421.4</v>
      </c>
    </row>
    <row r="147" spans="1:6" ht="66" customHeight="1" x14ac:dyDescent="0.25">
      <c r="A147" s="129" t="s">
        <v>883</v>
      </c>
      <c r="B147" s="388" t="s">
        <v>998</v>
      </c>
      <c r="C147" s="232">
        <v>7421.4</v>
      </c>
      <c r="D147" s="232">
        <v>7421.4</v>
      </c>
      <c r="E147" s="219"/>
      <c r="F147" s="156"/>
    </row>
    <row r="148" spans="1:6" ht="18.75" hidden="1" x14ac:dyDescent="0.25">
      <c r="A148" s="87" t="s">
        <v>381</v>
      </c>
      <c r="B148" s="88" t="s">
        <v>105</v>
      </c>
      <c r="C148" s="227">
        <f t="shared" ref="C148:D148" si="20">C149</f>
        <v>0</v>
      </c>
      <c r="D148" s="227">
        <f t="shared" si="20"/>
        <v>0</v>
      </c>
    </row>
    <row r="149" spans="1:6" ht="31.5" hidden="1" x14ac:dyDescent="0.25">
      <c r="A149" s="129" t="s">
        <v>393</v>
      </c>
      <c r="B149" s="94" t="s">
        <v>677</v>
      </c>
      <c r="C149" s="232">
        <f>SUM(C150:C152)</f>
        <v>0</v>
      </c>
      <c r="D149" s="232">
        <f>SUM(D150:D152)</f>
        <v>0</v>
      </c>
    </row>
    <row r="150" spans="1:6" ht="126" hidden="1" x14ac:dyDescent="0.25">
      <c r="A150" s="583"/>
      <c r="B150" s="386" t="s">
        <v>365</v>
      </c>
      <c r="C150" s="245">
        <f>[1]пр.1дох.21!C153</f>
        <v>0</v>
      </c>
      <c r="D150" s="245">
        <f>C150</f>
        <v>0</v>
      </c>
    </row>
    <row r="151" spans="1:6" ht="141.75" hidden="1" x14ac:dyDescent="0.25">
      <c r="A151" s="584"/>
      <c r="B151" s="386" t="s">
        <v>366</v>
      </c>
      <c r="C151" s="245">
        <f>[1]пр.1дох.21!C154</f>
        <v>0</v>
      </c>
      <c r="D151" s="245">
        <f t="shared" ref="D151:D152" si="21">C151</f>
        <v>0</v>
      </c>
    </row>
    <row r="152" spans="1:6" ht="126" hidden="1" x14ac:dyDescent="0.25">
      <c r="A152" s="585"/>
      <c r="B152" s="386" t="s">
        <v>406</v>
      </c>
      <c r="C152" s="245">
        <f>[1]пр.1дох.21!C155</f>
        <v>0</v>
      </c>
      <c r="D152" s="245">
        <f t="shared" si="21"/>
        <v>0</v>
      </c>
    </row>
    <row r="153" spans="1:6" ht="18.75" hidden="1" x14ac:dyDescent="0.25">
      <c r="A153" s="312" t="s">
        <v>361</v>
      </c>
      <c r="B153" s="389" t="s">
        <v>362</v>
      </c>
      <c r="C153" s="247">
        <f>SUM(C154)</f>
        <v>0</v>
      </c>
      <c r="D153" s="247">
        <f>SUM(D154)</f>
        <v>0</v>
      </c>
    </row>
    <row r="154" spans="1:6" ht="31.5" hidden="1" x14ac:dyDescent="0.25">
      <c r="A154" s="312" t="s">
        <v>363</v>
      </c>
      <c r="B154" s="389" t="s">
        <v>364</v>
      </c>
      <c r="C154" s="247">
        <f>SUM(C155)</f>
        <v>0</v>
      </c>
      <c r="D154" s="247">
        <f>SUM(D155)</f>
        <v>0</v>
      </c>
    </row>
    <row r="155" spans="1:6" ht="18.75" hidden="1" x14ac:dyDescent="0.25">
      <c r="A155" s="577" t="s">
        <v>411</v>
      </c>
      <c r="B155" s="390" t="s">
        <v>364</v>
      </c>
      <c r="C155" s="247">
        <f>SUM(C157:C158)</f>
        <v>0</v>
      </c>
      <c r="D155" s="247">
        <f>SUM(D157:D158)</f>
        <v>0</v>
      </c>
    </row>
    <row r="156" spans="1:6" ht="18.75" hidden="1" x14ac:dyDescent="0.25">
      <c r="A156" s="578"/>
      <c r="B156" s="390" t="s">
        <v>98</v>
      </c>
      <c r="C156" s="247"/>
      <c r="D156" s="247"/>
    </row>
    <row r="157" spans="1:6" ht="94.5" hidden="1" x14ac:dyDescent="0.25">
      <c r="A157" s="578"/>
      <c r="B157" s="391" t="s">
        <v>408</v>
      </c>
      <c r="C157" s="245">
        <v>0</v>
      </c>
      <c r="D157" s="245">
        <v>0</v>
      </c>
    </row>
    <row r="158" spans="1:6" ht="78.75" hidden="1" x14ac:dyDescent="0.25">
      <c r="A158" s="587"/>
      <c r="B158" s="391" t="s">
        <v>409</v>
      </c>
      <c r="C158" s="245">
        <v>0</v>
      </c>
      <c r="D158" s="245">
        <v>0</v>
      </c>
    </row>
    <row r="159" spans="1:6" ht="18.75" x14ac:dyDescent="0.25">
      <c r="A159" s="129"/>
      <c r="B159" s="113" t="s">
        <v>106</v>
      </c>
      <c r="C159" s="227">
        <f>SUM(C10+C78)</f>
        <v>807747.37199999997</v>
      </c>
      <c r="D159" s="227">
        <f>SUM(D10+D78)</f>
        <v>777654.58000000007</v>
      </c>
    </row>
    <row r="160" spans="1:6" x14ac:dyDescent="0.25">
      <c r="C160" s="74">
        <f>C78-C80</f>
        <v>260551.13199999998</v>
      </c>
      <c r="D160" s="74">
        <f>D78-D80</f>
        <v>210284.87</v>
      </c>
    </row>
    <row r="161" spans="3:4" x14ac:dyDescent="0.25">
      <c r="C161" s="74">
        <f>C10+C82+C84</f>
        <v>547196.24</v>
      </c>
      <c r="D161" s="74">
        <f>D10+D82+D84</f>
        <v>567369.71000000008</v>
      </c>
    </row>
  </sheetData>
  <mergeCells count="11">
    <mergeCell ref="A7:D7"/>
    <mergeCell ref="C1:D1"/>
    <mergeCell ref="C2:D2"/>
    <mergeCell ref="C3:D3"/>
    <mergeCell ref="A5:D5"/>
    <mergeCell ref="A6:D6"/>
    <mergeCell ref="H9:K9"/>
    <mergeCell ref="A104:A118"/>
    <mergeCell ref="A122:A140"/>
    <mergeCell ref="A150:A152"/>
    <mergeCell ref="A155:A158"/>
  </mergeCells>
  <hyperlinks>
    <hyperlink ref="B68" r:id="rId1" display="consultantplus://offline/ref=90DD075742B43C415054D7C57EEE35341F87E5BC1D9D1BDE3A747C0D881C15D50B24F795703DF0A84C588B73F9A8AC3C8A6AC02CDB9A5E68c4m2F"/>
    <hyperlink ref="B70" r:id="rId2" display="consultantplus://offline/ref=90DD075742B43C415054D7C57EEE35341F87E5BC1D9D1BDE3A747C0D881C15D50B24F795703DF2AD4E588B73F9A8AC3C8A6AC02CDB9A5E68c4m2F"/>
    <hyperlink ref="B74" r:id="rId3" display="consultantplus://offline/ref=90DD075742B43C415054D7C57EEE35341F87E5BC1D9D1BDE3A747C0D881C15D50B24F795703CF7A64B588B73F9A8AC3C8A6AC02CDB9A5E68c4m2F"/>
    <hyperlink ref="B73" r:id="rId4" display="consultantplus://offline/ref=90DD075742B43C415054D7C57EEE35341F87E5BC1D9D1BDE3A747C0D881C15D50B24F795703CF7A64B588B73F9A8AC3C8A6AC02CDB9A5E68c4m2F"/>
    <hyperlink ref="B67" r:id="rId5" display="consultantplus://offline/ref=90DD075742B43C415054D7C57EEE35341F87E5BC1D9D1BDE3A747C0D881C15D50B24F795703DF0A84C588B73F9A8AC3C8A6AC02CDB9A5E68c4m2F"/>
    <hyperlink ref="B69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zoomScaleNormal="100" zoomScaleSheetLayoutView="100" workbookViewId="0">
      <selection activeCell="B3" sqref="B3:D3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16" customWidth="1"/>
  </cols>
  <sheetData>
    <row r="1" spans="1:5" ht="15.75" x14ac:dyDescent="0.25">
      <c r="A1" s="11"/>
      <c r="B1" s="588" t="s">
        <v>1354</v>
      </c>
      <c r="C1" s="588"/>
      <c r="D1" s="588"/>
    </row>
    <row r="2" spans="1:5" ht="15.75" x14ac:dyDescent="0.25">
      <c r="A2" s="11"/>
      <c r="B2" s="588" t="s">
        <v>1355</v>
      </c>
      <c r="C2" s="588"/>
      <c r="D2" s="588"/>
    </row>
    <row r="3" spans="1:5" ht="18.75" customHeight="1" x14ac:dyDescent="0.25">
      <c r="A3" s="11"/>
      <c r="B3" s="590" t="s">
        <v>1356</v>
      </c>
      <c r="C3" s="590"/>
      <c r="D3" s="590"/>
    </row>
    <row r="4" spans="1:5" s="131" customFormat="1" ht="18.75" x14ac:dyDescent="0.3">
      <c r="A4" s="11"/>
      <c r="B4" s="102"/>
      <c r="C4" s="11"/>
      <c r="D4" s="184"/>
    </row>
    <row r="5" spans="1:5" ht="15.75" x14ac:dyDescent="0.25">
      <c r="A5" s="589" t="s">
        <v>686</v>
      </c>
      <c r="B5" s="589"/>
      <c r="C5" s="589"/>
      <c r="D5" s="589"/>
    </row>
    <row r="6" spans="1:5" ht="15.75" x14ac:dyDescent="0.25">
      <c r="A6" s="589" t="s">
        <v>687</v>
      </c>
      <c r="B6" s="589"/>
      <c r="C6" s="589"/>
      <c r="D6" s="589"/>
    </row>
    <row r="7" spans="1:5" ht="15.75" x14ac:dyDescent="0.25">
      <c r="A7" s="589" t="s">
        <v>1151</v>
      </c>
      <c r="B7" s="589"/>
      <c r="C7" s="589"/>
      <c r="D7" s="589"/>
    </row>
    <row r="8" spans="1:5" x14ac:dyDescent="0.25">
      <c r="B8" s="62"/>
      <c r="C8" s="62"/>
      <c r="D8" s="251" t="s">
        <v>1</v>
      </c>
    </row>
    <row r="9" spans="1:5" ht="66.2" customHeight="1" x14ac:dyDescent="0.25">
      <c r="A9" s="63" t="s">
        <v>327</v>
      </c>
      <c r="B9" s="63" t="s">
        <v>328</v>
      </c>
      <c r="C9" s="63" t="s">
        <v>329</v>
      </c>
      <c r="D9" s="252" t="s">
        <v>590</v>
      </c>
    </row>
    <row r="10" spans="1:5" ht="15.75" x14ac:dyDescent="0.25">
      <c r="A10" s="33" t="s">
        <v>115</v>
      </c>
      <c r="B10" s="18" t="s">
        <v>116</v>
      </c>
      <c r="C10" s="64"/>
      <c r="D10" s="253">
        <f>SUM(D11:D17)</f>
        <v>160507.94</v>
      </c>
    </row>
    <row r="11" spans="1:5" ht="31.5" x14ac:dyDescent="0.25">
      <c r="A11" s="24" t="s">
        <v>285</v>
      </c>
      <c r="B11" s="15" t="s">
        <v>116</v>
      </c>
      <c r="C11" s="15" t="s">
        <v>158</v>
      </c>
      <c r="D11" s="20">
        <f>'Пр.3 Рд,пр, ЦС,ВР 22'!F9</f>
        <v>5105</v>
      </c>
      <c r="E11" s="16"/>
    </row>
    <row r="12" spans="1:5" ht="47.25" x14ac:dyDescent="0.25">
      <c r="A12" s="24" t="s">
        <v>287</v>
      </c>
      <c r="B12" s="15" t="s">
        <v>116</v>
      </c>
      <c r="C12" s="15" t="s">
        <v>159</v>
      </c>
      <c r="D12" s="20">
        <f>'Пр.3 Рд,пр, ЦС,ВР 22'!F25</f>
        <v>5915.08</v>
      </c>
    </row>
    <row r="13" spans="1:5" ht="47.25" x14ac:dyDescent="0.25">
      <c r="A13" s="19" t="s">
        <v>138</v>
      </c>
      <c r="B13" s="15" t="s">
        <v>116</v>
      </c>
      <c r="C13" s="15" t="s">
        <v>139</v>
      </c>
      <c r="D13" s="20">
        <f>'Пр.3 Рд,пр, ЦС,ВР 22'!F41</f>
        <v>71580.030000000013</v>
      </c>
    </row>
    <row r="14" spans="1:5" ht="31.5" x14ac:dyDescent="0.25">
      <c r="A14" s="19" t="s">
        <v>117</v>
      </c>
      <c r="B14" s="15" t="s">
        <v>116</v>
      </c>
      <c r="C14" s="15" t="s">
        <v>118</v>
      </c>
      <c r="D14" s="20">
        <f>'Пр.3 Рд,пр, ЦС,ВР 22'!F102</f>
        <v>18393.170000000002</v>
      </c>
    </row>
    <row r="15" spans="1:5" s="131" customFormat="1" ht="15.75" hidden="1" x14ac:dyDescent="0.25">
      <c r="A15" s="19" t="s">
        <v>698</v>
      </c>
      <c r="B15" s="15" t="s">
        <v>116</v>
      </c>
      <c r="C15" s="15" t="s">
        <v>187</v>
      </c>
      <c r="D15" s="20">
        <f>'Пр.3 Рд,пр, ЦС,ВР 22'!F127</f>
        <v>0</v>
      </c>
    </row>
    <row r="16" spans="1:5" s="131" customFormat="1" ht="15.75" x14ac:dyDescent="0.25">
      <c r="A16" s="19" t="s">
        <v>901</v>
      </c>
      <c r="B16" s="15" t="s">
        <v>116</v>
      </c>
      <c r="C16" s="15" t="s">
        <v>251</v>
      </c>
      <c r="D16" s="20">
        <f>'Пр.3 Рд,пр, ЦС,ВР 22'!F135</f>
        <v>50</v>
      </c>
    </row>
    <row r="17" spans="1:5" ht="15.75" x14ac:dyDescent="0.25">
      <c r="A17" s="65" t="s">
        <v>131</v>
      </c>
      <c r="B17" s="15" t="s">
        <v>116</v>
      </c>
      <c r="C17" s="15" t="s">
        <v>132</v>
      </c>
      <c r="D17" s="20">
        <f>'Пр.3 Рд,пр, ЦС,ВР 22'!F141</f>
        <v>59464.659999999989</v>
      </c>
    </row>
    <row r="18" spans="1:5" ht="15.75" hidden="1" x14ac:dyDescent="0.25">
      <c r="A18" s="14" t="s">
        <v>157</v>
      </c>
      <c r="B18" s="18" t="s">
        <v>158</v>
      </c>
      <c r="C18" s="15"/>
      <c r="D18" s="30">
        <f t="shared" ref="D18" si="0">D19</f>
        <v>0</v>
      </c>
    </row>
    <row r="19" spans="1:5" ht="15.75" hidden="1" x14ac:dyDescent="0.25">
      <c r="A19" s="19" t="s">
        <v>160</v>
      </c>
      <c r="B19" s="15" t="s">
        <v>158</v>
      </c>
      <c r="C19" s="15" t="s">
        <v>161</v>
      </c>
      <c r="D19" s="20"/>
    </row>
    <row r="20" spans="1:5" ht="18" customHeight="1" x14ac:dyDescent="0.25">
      <c r="A20" s="26" t="s">
        <v>163</v>
      </c>
      <c r="B20" s="18" t="s">
        <v>159</v>
      </c>
      <c r="C20" s="18"/>
      <c r="D20" s="30">
        <f t="shared" ref="D20" si="1">D21</f>
        <v>7704.7</v>
      </c>
    </row>
    <row r="21" spans="1:5" ht="31.5" x14ac:dyDescent="0.25">
      <c r="A21" s="24" t="s">
        <v>848</v>
      </c>
      <c r="B21" s="15" t="s">
        <v>159</v>
      </c>
      <c r="C21" s="15" t="s">
        <v>174</v>
      </c>
      <c r="D21" s="20">
        <f>'Пр.3 Рд,пр, ЦС,ВР 22'!F242</f>
        <v>7704.7</v>
      </c>
    </row>
    <row r="22" spans="1:5" ht="15.75" x14ac:dyDescent="0.25">
      <c r="A22" s="33" t="s">
        <v>166</v>
      </c>
      <c r="B22" s="18" t="s">
        <v>139</v>
      </c>
      <c r="C22" s="18"/>
      <c r="D22" s="30">
        <f t="shared" ref="D22" si="2">D23+D24+D25+D26</f>
        <v>7074.6</v>
      </c>
    </row>
    <row r="23" spans="1:5" ht="15.75" x14ac:dyDescent="0.25">
      <c r="A23" s="66" t="s">
        <v>167</v>
      </c>
      <c r="B23" s="15" t="s">
        <v>139</v>
      </c>
      <c r="C23" s="15" t="s">
        <v>168</v>
      </c>
      <c r="D23" s="20">
        <f>'Пр.3 Рд,пр, ЦС,ВР 22'!F269</f>
        <v>19.199999999999989</v>
      </c>
    </row>
    <row r="24" spans="1:5" ht="15.75" x14ac:dyDescent="0.25">
      <c r="A24" s="65" t="s">
        <v>256</v>
      </c>
      <c r="B24" s="15" t="s">
        <v>139</v>
      </c>
      <c r="C24" s="15" t="s">
        <v>203</v>
      </c>
      <c r="D24" s="20">
        <f>'Пр.3 Рд,пр, ЦС,ВР 22'!F279</f>
        <v>3258</v>
      </c>
    </row>
    <row r="25" spans="1:5" ht="15.75" x14ac:dyDescent="0.25">
      <c r="A25" s="65" t="s">
        <v>258</v>
      </c>
      <c r="B25" s="15" t="s">
        <v>139</v>
      </c>
      <c r="C25" s="15" t="s">
        <v>161</v>
      </c>
      <c r="D25" s="20">
        <f>'Пр.3 Рд,пр, ЦС,ВР 22'!F285</f>
        <v>3071.6000000000004</v>
      </c>
    </row>
    <row r="26" spans="1:5" ht="15.75" x14ac:dyDescent="0.25">
      <c r="A26" s="67" t="s">
        <v>170</v>
      </c>
      <c r="B26" s="15" t="s">
        <v>139</v>
      </c>
      <c r="C26" s="15" t="s">
        <v>171</v>
      </c>
      <c r="D26" s="20">
        <f>'Пр.3 Рд,пр, ЦС,ВР 22'!F299</f>
        <v>725.8</v>
      </c>
    </row>
    <row r="27" spans="1:5" ht="15.75" x14ac:dyDescent="0.25">
      <c r="A27" s="33" t="s">
        <v>231</v>
      </c>
      <c r="B27" s="18" t="s">
        <v>168</v>
      </c>
      <c r="C27" s="18"/>
      <c r="D27" s="30">
        <f t="shared" ref="D27" si="3">SUM(D28:D31)</f>
        <v>86195.1</v>
      </c>
    </row>
    <row r="28" spans="1:5" ht="15.75" x14ac:dyDescent="0.25">
      <c r="A28" s="66" t="s">
        <v>232</v>
      </c>
      <c r="B28" s="15" t="s">
        <v>168</v>
      </c>
      <c r="C28" s="15" t="s">
        <v>116</v>
      </c>
      <c r="D28" s="20">
        <f>'Пр.3 Рд,пр, ЦС,ВР 22'!F331</f>
        <v>13719.47</v>
      </c>
      <c r="E28" s="16"/>
    </row>
    <row r="29" spans="1:5" ht="15.75" x14ac:dyDescent="0.25">
      <c r="A29" s="66" t="s">
        <v>262</v>
      </c>
      <c r="B29" s="15" t="s">
        <v>168</v>
      </c>
      <c r="C29" s="15" t="s">
        <v>158</v>
      </c>
      <c r="D29" s="20">
        <f>'Пр.3 Рд,пр, ЦС,ВР 22'!F348</f>
        <v>7587.0200000000013</v>
      </c>
    </row>
    <row r="30" spans="1:5" ht="15.75" x14ac:dyDescent="0.25">
      <c r="A30" s="65" t="s">
        <v>272</v>
      </c>
      <c r="B30" s="15" t="s">
        <v>168</v>
      </c>
      <c r="C30" s="15" t="s">
        <v>159</v>
      </c>
      <c r="D30" s="20">
        <f>'Пр.3 Рд,пр, ЦС,ВР 22'!F413</f>
        <v>35361.46</v>
      </c>
    </row>
    <row r="31" spans="1:5" ht="15.75" x14ac:dyDescent="0.25">
      <c r="A31" s="19" t="s">
        <v>281</v>
      </c>
      <c r="B31" s="15" t="s">
        <v>168</v>
      </c>
      <c r="C31" s="15" t="s">
        <v>168</v>
      </c>
      <c r="D31" s="20">
        <f>'Пр.3 Рд,пр, ЦС,ВР 22'!F475</f>
        <v>29527.15</v>
      </c>
    </row>
    <row r="32" spans="1:5" ht="15.75" x14ac:dyDescent="0.25">
      <c r="A32" s="33" t="s">
        <v>186</v>
      </c>
      <c r="B32" s="18" t="s">
        <v>187</v>
      </c>
      <c r="C32" s="18"/>
      <c r="D32" s="30">
        <f t="shared" ref="D32" si="4">SUM(D33:D37)</f>
        <v>385782.92000000004</v>
      </c>
    </row>
    <row r="33" spans="1:4" ht="15.75" x14ac:dyDescent="0.25">
      <c r="A33" s="65" t="s">
        <v>236</v>
      </c>
      <c r="B33" s="15" t="s">
        <v>187</v>
      </c>
      <c r="C33" s="15" t="s">
        <v>116</v>
      </c>
      <c r="D33" s="20">
        <f>'Пр.3 Рд,пр, ЦС,ВР 22'!F522</f>
        <v>90813.88</v>
      </c>
    </row>
    <row r="34" spans="1:4" ht="15.75" x14ac:dyDescent="0.25">
      <c r="A34" s="65" t="s">
        <v>239</v>
      </c>
      <c r="B34" s="15" t="s">
        <v>187</v>
      </c>
      <c r="C34" s="15" t="s">
        <v>158</v>
      </c>
      <c r="D34" s="20">
        <f>'Пр.3 Рд,пр, ЦС,ВР 22'!F581</f>
        <v>203064.47000000003</v>
      </c>
    </row>
    <row r="35" spans="1:4" ht="15.75" x14ac:dyDescent="0.25">
      <c r="A35" s="65" t="s">
        <v>188</v>
      </c>
      <c r="B35" s="15" t="s">
        <v>187</v>
      </c>
      <c r="C35" s="15" t="s">
        <v>159</v>
      </c>
      <c r="D35" s="20">
        <f>'Пр.3 Рд,пр, ЦС,ВР 22'!F670</f>
        <v>62022.54</v>
      </c>
    </row>
    <row r="36" spans="1:4" ht="15.75" x14ac:dyDescent="0.25">
      <c r="A36" s="65" t="s">
        <v>246</v>
      </c>
      <c r="B36" s="15" t="s">
        <v>187</v>
      </c>
      <c r="C36" s="15" t="s">
        <v>187</v>
      </c>
      <c r="D36" s="20">
        <f>'Пр.3 Рд,пр, ЦС,ВР 22'!F743</f>
        <v>8274</v>
      </c>
    </row>
    <row r="37" spans="1:4" ht="15.75" x14ac:dyDescent="0.25">
      <c r="A37" s="65" t="s">
        <v>201</v>
      </c>
      <c r="B37" s="15" t="s">
        <v>187</v>
      </c>
      <c r="C37" s="15" t="s">
        <v>161</v>
      </c>
      <c r="D37" s="20">
        <f>'Пр.3 Рд,пр, ЦС,ВР 22'!F768</f>
        <v>21608.03</v>
      </c>
    </row>
    <row r="38" spans="1:4" ht="15.75" x14ac:dyDescent="0.25">
      <c r="A38" s="68" t="s">
        <v>202</v>
      </c>
      <c r="B38" s="18" t="s">
        <v>203</v>
      </c>
      <c r="C38" s="15"/>
      <c r="D38" s="30">
        <f t="shared" ref="D38" si="5">D39+D40</f>
        <v>89197.35</v>
      </c>
    </row>
    <row r="39" spans="1:4" ht="15.75" x14ac:dyDescent="0.25">
      <c r="A39" s="67" t="s">
        <v>204</v>
      </c>
      <c r="B39" s="15" t="s">
        <v>203</v>
      </c>
      <c r="C39" s="15" t="s">
        <v>116</v>
      </c>
      <c r="D39" s="20">
        <f>'Пр.3 Рд,пр, ЦС,ВР 22'!F808</f>
        <v>67916.45</v>
      </c>
    </row>
    <row r="40" spans="1:4" ht="15.75" x14ac:dyDescent="0.25">
      <c r="A40" s="67" t="s">
        <v>208</v>
      </c>
      <c r="B40" s="15" t="s">
        <v>203</v>
      </c>
      <c r="C40" s="15" t="s">
        <v>139</v>
      </c>
      <c r="D40" s="20">
        <f>'Пр.3 Рд,пр, ЦС,ВР 22'!F891</f>
        <v>21280.9</v>
      </c>
    </row>
    <row r="41" spans="1:4" ht="15.75" x14ac:dyDescent="0.25">
      <c r="A41" s="33" t="s">
        <v>173</v>
      </c>
      <c r="B41" s="18" t="s">
        <v>174</v>
      </c>
      <c r="C41" s="18"/>
      <c r="D41" s="30">
        <f>SUM(D42:D45)</f>
        <v>15126.01</v>
      </c>
    </row>
    <row r="42" spans="1:4" ht="15.75" x14ac:dyDescent="0.25">
      <c r="A42" s="65" t="s">
        <v>175</v>
      </c>
      <c r="B42" s="15" t="s">
        <v>174</v>
      </c>
      <c r="C42" s="15" t="s">
        <v>116</v>
      </c>
      <c r="D42" s="20">
        <f>'Пр.3 Рд,пр, ЦС,ВР 22'!F933</f>
        <v>9913.5</v>
      </c>
    </row>
    <row r="43" spans="1:4" ht="15.75" x14ac:dyDescent="0.25">
      <c r="A43" s="19" t="s">
        <v>181</v>
      </c>
      <c r="B43" s="15" t="s">
        <v>174</v>
      </c>
      <c r="C43" s="15" t="s">
        <v>159</v>
      </c>
      <c r="D43" s="20">
        <f>'Пр.3 Рд,пр, ЦС,ВР 22'!F939</f>
        <v>1575.9</v>
      </c>
    </row>
    <row r="44" spans="1:4" s="131" customFormat="1" ht="15.75" hidden="1" x14ac:dyDescent="0.25">
      <c r="A44" s="19" t="s">
        <v>234</v>
      </c>
      <c r="B44" s="15" t="s">
        <v>174</v>
      </c>
      <c r="C44" s="15" t="s">
        <v>139</v>
      </c>
      <c r="D44" s="20">
        <f>'Пр.3 Рд,пр, ЦС,ВР 22'!F968</f>
        <v>0</v>
      </c>
    </row>
    <row r="45" spans="1:4" ht="15.75" x14ac:dyDescent="0.25">
      <c r="A45" s="19" t="s">
        <v>183</v>
      </c>
      <c r="B45" s="15" t="s">
        <v>174</v>
      </c>
      <c r="C45" s="15" t="s">
        <v>118</v>
      </c>
      <c r="D45" s="20">
        <f>'Пр.3 Рд,пр, ЦС,ВР 22'!F973</f>
        <v>3636.61</v>
      </c>
    </row>
    <row r="46" spans="1:4" ht="15.75" x14ac:dyDescent="0.25">
      <c r="A46" s="68" t="s">
        <v>250</v>
      </c>
      <c r="B46" s="18" t="s">
        <v>251</v>
      </c>
      <c r="C46" s="15"/>
      <c r="D46" s="30">
        <f t="shared" ref="D46" si="6">D47+D48</f>
        <v>76135.790000000008</v>
      </c>
    </row>
    <row r="47" spans="1:4" ht="15.75" x14ac:dyDescent="0.25">
      <c r="A47" s="67" t="s">
        <v>252</v>
      </c>
      <c r="B47" s="15" t="s">
        <v>251</v>
      </c>
      <c r="C47" s="15" t="s">
        <v>116</v>
      </c>
      <c r="D47" s="20">
        <f>'Пр.3 Рд,пр, ЦС,ВР 22'!F987</f>
        <v>62670.400000000001</v>
      </c>
    </row>
    <row r="48" spans="1:4" ht="15.75" x14ac:dyDescent="0.25">
      <c r="A48" s="67" t="s">
        <v>254</v>
      </c>
      <c r="B48" s="15" t="s">
        <v>251</v>
      </c>
      <c r="C48" s="15" t="s">
        <v>168</v>
      </c>
      <c r="D48" s="20">
        <f>'Пр.3 Рд,пр, ЦС,ВР 22'!F1034</f>
        <v>13465.39</v>
      </c>
    </row>
    <row r="49" spans="1:5" ht="15.75" x14ac:dyDescent="0.25">
      <c r="A49" s="14" t="s">
        <v>288</v>
      </c>
      <c r="B49" s="18" t="s">
        <v>171</v>
      </c>
      <c r="C49" s="15"/>
      <c r="D49" s="30">
        <f t="shared" ref="D49" si="7">D50</f>
        <v>6158.1529999999993</v>
      </c>
    </row>
    <row r="50" spans="1:5" ht="15.75" x14ac:dyDescent="0.25">
      <c r="A50" s="24" t="s">
        <v>289</v>
      </c>
      <c r="B50" s="15" t="s">
        <v>171</v>
      </c>
      <c r="C50" s="15" t="s">
        <v>158</v>
      </c>
      <c r="D50" s="20">
        <f>'Пр.3 Рд,пр, ЦС,ВР 22'!F1070</f>
        <v>6158.1529999999993</v>
      </c>
    </row>
    <row r="51" spans="1:5" ht="15.75" x14ac:dyDescent="0.25">
      <c r="A51" s="64" t="s">
        <v>330</v>
      </c>
      <c r="B51" s="18"/>
      <c r="C51" s="18"/>
      <c r="D51" s="30">
        <f>D10+D20+D22+D27+D32+D38+D41+D46+D49+D18</f>
        <v>833882.56300000008</v>
      </c>
      <c r="E51" s="16"/>
    </row>
    <row r="52" spans="1:5" hidden="1" x14ac:dyDescent="0.25">
      <c r="D52" s="16">
        <f>'Пр.4 ведом.22'!G1212</f>
        <v>833882.56299999985</v>
      </c>
    </row>
    <row r="53" spans="1:5" hidden="1" x14ac:dyDescent="0.25">
      <c r="D53" s="16">
        <f t="shared" ref="D53" si="8">D52-D51</f>
        <v>0</v>
      </c>
    </row>
    <row r="54" spans="1:5" hidden="1" x14ac:dyDescent="0.25">
      <c r="D54" s="16">
        <f>пр.1дох.22!C199</f>
        <v>804238.68400000001</v>
      </c>
    </row>
    <row r="55" spans="1:5" hidden="1" x14ac:dyDescent="0.25">
      <c r="D55" s="16">
        <f>D54-D51</f>
        <v>-29643.879000000074</v>
      </c>
    </row>
    <row r="56" spans="1:5" x14ac:dyDescent="0.25">
      <c r="D56" s="16">
        <f>'Пр.4 ведом.22'!G1212</f>
        <v>833882.56299999985</v>
      </c>
    </row>
    <row r="57" spans="1:5" x14ac:dyDescent="0.25">
      <c r="D57" s="16">
        <f>D56-D51</f>
        <v>0</v>
      </c>
    </row>
  </sheetData>
  <mergeCells count="6">
    <mergeCell ref="B1:D1"/>
    <mergeCell ref="A5:D5"/>
    <mergeCell ref="A6:D6"/>
    <mergeCell ref="A7:D7"/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zoomScaleNormal="100" zoomScaleSheetLayoutView="100" workbookViewId="0">
      <selection activeCell="B59" sqref="B59"/>
    </sheetView>
  </sheetViews>
  <sheetFormatPr defaultColWidth="9.140625" defaultRowHeight="15" x14ac:dyDescent="0.25"/>
  <cols>
    <col min="1" max="1" width="80.7109375" style="362" customWidth="1"/>
    <col min="2" max="2" width="4.5703125" style="362" customWidth="1"/>
    <col min="3" max="3" width="6.140625" style="362" customWidth="1"/>
    <col min="4" max="5" width="14.42578125" style="16" customWidth="1"/>
    <col min="6" max="16384" width="9.140625" style="362"/>
  </cols>
  <sheetData>
    <row r="1" spans="1:5" ht="15.75" x14ac:dyDescent="0.25">
      <c r="A1" s="11"/>
      <c r="B1" s="588" t="s">
        <v>1359</v>
      </c>
      <c r="C1" s="588"/>
      <c r="D1" s="588"/>
      <c r="E1" s="588"/>
    </row>
    <row r="2" spans="1:5" ht="15.75" x14ac:dyDescent="0.25">
      <c r="A2" s="11"/>
      <c r="B2" s="588" t="s">
        <v>1357</v>
      </c>
      <c r="C2" s="588"/>
      <c r="D2" s="588"/>
      <c r="E2" s="588"/>
    </row>
    <row r="3" spans="1:5" ht="18.75" customHeight="1" x14ac:dyDescent="0.25">
      <c r="A3" s="11"/>
      <c r="B3" s="588" t="s">
        <v>1358</v>
      </c>
      <c r="C3" s="588"/>
      <c r="D3" s="588"/>
      <c r="E3" s="588"/>
    </row>
    <row r="4" spans="1:5" ht="12.75" customHeight="1" x14ac:dyDescent="0.3">
      <c r="A4" s="11"/>
      <c r="B4" s="102"/>
      <c r="C4" s="11"/>
      <c r="D4" s="394"/>
      <c r="E4" s="394"/>
    </row>
    <row r="5" spans="1:5" ht="15.75" x14ac:dyDescent="0.25">
      <c r="A5" s="589" t="s">
        <v>686</v>
      </c>
      <c r="B5" s="589"/>
      <c r="C5" s="589"/>
      <c r="D5" s="589"/>
      <c r="E5" s="362"/>
    </row>
    <row r="6" spans="1:5" ht="15.75" x14ac:dyDescent="0.25">
      <c r="A6" s="589" t="s">
        <v>687</v>
      </c>
      <c r="B6" s="589"/>
      <c r="C6" s="589"/>
      <c r="D6" s="589"/>
      <c r="E6" s="362"/>
    </row>
    <row r="7" spans="1:5" ht="15.75" x14ac:dyDescent="0.25">
      <c r="A7" s="589" t="s">
        <v>1181</v>
      </c>
      <c r="B7" s="589"/>
      <c r="C7" s="589"/>
      <c r="D7" s="589"/>
      <c r="E7" s="362"/>
    </row>
    <row r="8" spans="1:5" x14ac:dyDescent="0.25">
      <c r="B8" s="62"/>
      <c r="C8" s="62"/>
      <c r="D8" s="251"/>
      <c r="E8" s="251" t="s">
        <v>1</v>
      </c>
    </row>
    <row r="9" spans="1:5" ht="66.2" customHeight="1" x14ac:dyDescent="0.25">
      <c r="A9" s="63" t="s">
        <v>327</v>
      </c>
      <c r="B9" s="63" t="s">
        <v>328</v>
      </c>
      <c r="C9" s="63" t="s">
        <v>329</v>
      </c>
      <c r="D9" s="252" t="s">
        <v>807</v>
      </c>
      <c r="E9" s="252" t="s">
        <v>1157</v>
      </c>
    </row>
    <row r="10" spans="1:5" ht="15.75" x14ac:dyDescent="0.25">
      <c r="A10" s="204" t="s">
        <v>903</v>
      </c>
      <c r="B10" s="63"/>
      <c r="C10" s="63"/>
      <c r="D10" s="254">
        <f>'Пр.3.1 Рд,пр, ЦС,ВР 23-24'!F8</f>
        <v>13679.9</v>
      </c>
      <c r="E10" s="254">
        <f>'Пр.3.1 Рд,пр, ЦС,ВР 23-24'!G8</f>
        <v>28368.5</v>
      </c>
    </row>
    <row r="11" spans="1:5" ht="15.75" x14ac:dyDescent="0.25">
      <c r="A11" s="33" t="s">
        <v>115</v>
      </c>
      <c r="B11" s="316" t="s">
        <v>116</v>
      </c>
      <c r="C11" s="64"/>
      <c r="D11" s="253">
        <f>SUM(D12:D18)</f>
        <v>155173.80000000002</v>
      </c>
      <c r="E11" s="253">
        <f>SUM(E12:E18)</f>
        <v>161023.6</v>
      </c>
    </row>
    <row r="12" spans="1:5" ht="31.5" x14ac:dyDescent="0.25">
      <c r="A12" s="24" t="s">
        <v>285</v>
      </c>
      <c r="B12" s="365" t="s">
        <v>116</v>
      </c>
      <c r="C12" s="365" t="s">
        <v>158</v>
      </c>
      <c r="D12" s="20">
        <f>'Пр.3.1 Рд,пр, ЦС,ВР 23-24'!F10</f>
        <v>5300.4</v>
      </c>
      <c r="E12" s="20">
        <f>'Пр.3.1 Рд,пр, ЦС,ВР 23-24'!G10</f>
        <v>5386.4</v>
      </c>
    </row>
    <row r="13" spans="1:5" ht="47.25" x14ac:dyDescent="0.25">
      <c r="A13" s="24" t="s">
        <v>287</v>
      </c>
      <c r="B13" s="365" t="s">
        <v>116</v>
      </c>
      <c r="C13" s="365" t="s">
        <v>159</v>
      </c>
      <c r="D13" s="20">
        <f>'Пр.3.1 Рд,пр, ЦС,ВР 23-24'!F26</f>
        <v>5970</v>
      </c>
      <c r="E13" s="20">
        <f>'Пр.3.1 Рд,пр, ЦС,ВР 23-24'!G26</f>
        <v>5970</v>
      </c>
    </row>
    <row r="14" spans="1:5" ht="47.25" x14ac:dyDescent="0.25">
      <c r="A14" s="364" t="s">
        <v>138</v>
      </c>
      <c r="B14" s="365" t="s">
        <v>116</v>
      </c>
      <c r="C14" s="365" t="s">
        <v>139</v>
      </c>
      <c r="D14" s="20">
        <f>'Пр.3.1 Рд,пр, ЦС,ВР 23-24'!F42</f>
        <v>63606.80000000001</v>
      </c>
      <c r="E14" s="20">
        <f>'Пр.3.1 Рд,пр, ЦС,ВР 23-24'!G42</f>
        <v>69634.100000000006</v>
      </c>
    </row>
    <row r="15" spans="1:5" ht="31.5" x14ac:dyDescent="0.25">
      <c r="A15" s="364" t="s">
        <v>117</v>
      </c>
      <c r="B15" s="365" t="s">
        <v>116</v>
      </c>
      <c r="C15" s="365" t="s">
        <v>118</v>
      </c>
      <c r="D15" s="20">
        <f>'Пр.3.1 Рд,пр, ЦС,ВР 23-24'!F103</f>
        <v>18932.8</v>
      </c>
      <c r="E15" s="20">
        <f>'Пр.3.1 Рд,пр, ЦС,ВР 23-24'!G103</f>
        <v>18846.8</v>
      </c>
    </row>
    <row r="16" spans="1:5" ht="15.75" hidden="1" x14ac:dyDescent="0.25">
      <c r="A16" s="364" t="s">
        <v>698</v>
      </c>
      <c r="B16" s="365" t="s">
        <v>116</v>
      </c>
      <c r="C16" s="365" t="s">
        <v>187</v>
      </c>
      <c r="D16" s="20">
        <f>'Пр.3 Рд,пр, ЦС,ВР 22'!F127</f>
        <v>0</v>
      </c>
      <c r="E16" s="20">
        <f>'Пр.3 Рд,пр, ЦС,ВР 22'!G127</f>
        <v>0</v>
      </c>
    </row>
    <row r="17" spans="1:5" ht="15.75" x14ac:dyDescent="0.25">
      <c r="A17" s="364" t="s">
        <v>901</v>
      </c>
      <c r="B17" s="365" t="s">
        <v>116</v>
      </c>
      <c r="C17" s="365" t="s">
        <v>251</v>
      </c>
      <c r="D17" s="20">
        <f>'Пр.3.1 Рд,пр, ЦС,ВР 23-24'!F136</f>
        <v>50</v>
      </c>
      <c r="E17" s="20">
        <f>'Пр.3.1 Рд,пр, ЦС,ВР 23-24'!G136</f>
        <v>50</v>
      </c>
    </row>
    <row r="18" spans="1:5" ht="15.75" x14ac:dyDescent="0.25">
      <c r="A18" s="65" t="s">
        <v>131</v>
      </c>
      <c r="B18" s="365" t="s">
        <v>116</v>
      </c>
      <c r="C18" s="365" t="s">
        <v>132</v>
      </c>
      <c r="D18" s="20">
        <f>'Пр.3.1 Рд,пр, ЦС,ВР 23-24'!F142</f>
        <v>61313.799999999996</v>
      </c>
      <c r="E18" s="20">
        <f>'Пр.3.1 Рд,пр, ЦС,ВР 23-24'!G142</f>
        <v>61136.299999999996</v>
      </c>
    </row>
    <row r="19" spans="1:5" ht="15.75" hidden="1" x14ac:dyDescent="0.25">
      <c r="A19" s="312" t="s">
        <v>157</v>
      </c>
      <c r="B19" s="316" t="s">
        <v>158</v>
      </c>
      <c r="C19" s="365"/>
      <c r="D19" s="30">
        <f t="shared" ref="D19:E19" si="0">D20</f>
        <v>0</v>
      </c>
      <c r="E19" s="30">
        <f t="shared" si="0"/>
        <v>0</v>
      </c>
    </row>
    <row r="20" spans="1:5" ht="15.75" hidden="1" x14ac:dyDescent="0.25">
      <c r="A20" s="364" t="s">
        <v>160</v>
      </c>
      <c r="B20" s="365" t="s">
        <v>158</v>
      </c>
      <c r="C20" s="365" t="s">
        <v>161</v>
      </c>
      <c r="D20" s="20"/>
      <c r="E20" s="20"/>
    </row>
    <row r="21" spans="1:5" ht="18" customHeight="1" x14ac:dyDescent="0.25">
      <c r="A21" s="26" t="s">
        <v>163</v>
      </c>
      <c r="B21" s="316" t="s">
        <v>159</v>
      </c>
      <c r="C21" s="316"/>
      <c r="D21" s="30">
        <f t="shared" ref="D21:E21" si="1">D22</f>
        <v>8292.1999999999989</v>
      </c>
      <c r="E21" s="30">
        <f t="shared" si="1"/>
        <v>8292.1999999999989</v>
      </c>
    </row>
    <row r="22" spans="1:5" ht="31.5" x14ac:dyDescent="0.25">
      <c r="A22" s="24" t="s">
        <v>848</v>
      </c>
      <c r="B22" s="365" t="s">
        <v>159</v>
      </c>
      <c r="C22" s="365" t="s">
        <v>174</v>
      </c>
      <c r="D22" s="20">
        <f>'Пр.3.1 Рд,пр, ЦС,ВР 23-24'!F243</f>
        <v>8292.1999999999989</v>
      </c>
      <c r="E22" s="20">
        <f>'Пр.3.1 Рд,пр, ЦС,ВР 23-24'!G243</f>
        <v>8292.1999999999989</v>
      </c>
    </row>
    <row r="23" spans="1:5" ht="15.75" x14ac:dyDescent="0.25">
      <c r="A23" s="33" t="s">
        <v>166</v>
      </c>
      <c r="B23" s="316" t="s">
        <v>139</v>
      </c>
      <c r="C23" s="316"/>
      <c r="D23" s="30">
        <f t="shared" ref="D23:E23" si="2">D24+D25+D26+D27</f>
        <v>7019.36</v>
      </c>
      <c r="E23" s="30">
        <f t="shared" si="2"/>
        <v>7465.16</v>
      </c>
    </row>
    <row r="24" spans="1:5" ht="15.75" x14ac:dyDescent="0.25">
      <c r="A24" s="66" t="s">
        <v>167</v>
      </c>
      <c r="B24" s="365" t="s">
        <v>139</v>
      </c>
      <c r="C24" s="365" t="s">
        <v>168</v>
      </c>
      <c r="D24" s="20">
        <f>'Пр.3.1 Рд,пр, ЦС,ВР 23-24'!F270</f>
        <v>19.199999999999989</v>
      </c>
      <c r="E24" s="20">
        <f>'Пр.3.1 Рд,пр, ЦС,ВР 23-24'!G270</f>
        <v>274.2</v>
      </c>
    </row>
    <row r="25" spans="1:5" ht="15.75" x14ac:dyDescent="0.25">
      <c r="A25" s="65" t="s">
        <v>256</v>
      </c>
      <c r="B25" s="365" t="s">
        <v>139</v>
      </c>
      <c r="C25" s="365" t="s">
        <v>203</v>
      </c>
      <c r="D25" s="20">
        <f>'Пр.3.1 Рд,пр, ЦС,ВР 23-24'!F280</f>
        <v>3258</v>
      </c>
      <c r="E25" s="20">
        <f>'Пр.3.1 Рд,пр, ЦС,ВР 23-24'!G280</f>
        <v>3258</v>
      </c>
    </row>
    <row r="26" spans="1:5" ht="15.75" x14ac:dyDescent="0.25">
      <c r="A26" s="65" t="s">
        <v>258</v>
      </c>
      <c r="B26" s="365" t="s">
        <v>139</v>
      </c>
      <c r="C26" s="365" t="s">
        <v>161</v>
      </c>
      <c r="D26" s="20">
        <f>'Пр.3.1 Рд,пр, ЦС,ВР 23-24'!F286</f>
        <v>3048.7</v>
      </c>
      <c r="E26" s="20">
        <f>'Пр.3.1 Рд,пр, ЦС,ВР 23-24'!G286</f>
        <v>3226.2</v>
      </c>
    </row>
    <row r="27" spans="1:5" ht="15.75" x14ac:dyDescent="0.25">
      <c r="A27" s="67" t="s">
        <v>170</v>
      </c>
      <c r="B27" s="365" t="s">
        <v>139</v>
      </c>
      <c r="C27" s="365" t="s">
        <v>171</v>
      </c>
      <c r="D27" s="20">
        <f>'Пр.3.1 Рд,пр, ЦС,ВР 23-24'!F300</f>
        <v>693.46</v>
      </c>
      <c r="E27" s="20">
        <f>'Пр.3.1 Рд,пр, ЦС,ВР 23-24'!G300</f>
        <v>706.76</v>
      </c>
    </row>
    <row r="28" spans="1:5" ht="15.75" x14ac:dyDescent="0.25">
      <c r="A28" s="33" t="s">
        <v>231</v>
      </c>
      <c r="B28" s="316" t="s">
        <v>168</v>
      </c>
      <c r="C28" s="316"/>
      <c r="D28" s="30">
        <f t="shared" ref="D28:E28" si="3">SUM(D29:D32)</f>
        <v>62083.311999999998</v>
      </c>
      <c r="E28" s="30">
        <f t="shared" si="3"/>
        <v>54832.869999999995</v>
      </c>
    </row>
    <row r="29" spans="1:5" ht="15.75" x14ac:dyDescent="0.25">
      <c r="A29" s="66" t="s">
        <v>232</v>
      </c>
      <c r="B29" s="365" t="s">
        <v>168</v>
      </c>
      <c r="C29" s="365" t="s">
        <v>116</v>
      </c>
      <c r="D29" s="20">
        <f>'Пр.3.1 Рд,пр, ЦС,ВР 23-24'!F332</f>
        <v>13750.63</v>
      </c>
      <c r="E29" s="20">
        <f>'Пр.3.1 Рд,пр, ЦС,ВР 23-24'!G332</f>
        <v>6330.7999999999993</v>
      </c>
    </row>
    <row r="30" spans="1:5" ht="15.75" x14ac:dyDescent="0.25">
      <c r="A30" s="66" t="s">
        <v>262</v>
      </c>
      <c r="B30" s="365" t="s">
        <v>168</v>
      </c>
      <c r="C30" s="365" t="s">
        <v>158</v>
      </c>
      <c r="D30" s="20">
        <f>'Пр.3.1 Рд,пр, ЦС,ВР 23-24'!F349</f>
        <v>8184.7419999999993</v>
      </c>
      <c r="E30" s="20">
        <f>'Пр.3.1 Рд,пр, ЦС,ВР 23-24'!G349</f>
        <v>8354.0300000000007</v>
      </c>
    </row>
    <row r="31" spans="1:5" ht="15.75" x14ac:dyDescent="0.25">
      <c r="A31" s="65" t="s">
        <v>272</v>
      </c>
      <c r="B31" s="365" t="s">
        <v>168</v>
      </c>
      <c r="C31" s="365" t="s">
        <v>159</v>
      </c>
      <c r="D31" s="20">
        <f>'Пр.3.1 Рд,пр, ЦС,ВР 23-24'!F414</f>
        <v>9771.4399999999987</v>
      </c>
      <c r="E31" s="20">
        <f>'Пр.3.1 Рд,пр, ЦС,ВР 23-24'!G414</f>
        <v>9771.4399999999987</v>
      </c>
    </row>
    <row r="32" spans="1:5" ht="15.75" x14ac:dyDescent="0.25">
      <c r="A32" s="364" t="s">
        <v>281</v>
      </c>
      <c r="B32" s="365" t="s">
        <v>168</v>
      </c>
      <c r="C32" s="365" t="s">
        <v>168</v>
      </c>
      <c r="D32" s="20">
        <f>'Пр.3.1 Рд,пр, ЦС,ВР 23-24'!F476</f>
        <v>30376.5</v>
      </c>
      <c r="E32" s="20">
        <f>'Пр.3.1 Рд,пр, ЦС,ВР 23-24'!G476</f>
        <v>30376.6</v>
      </c>
    </row>
    <row r="33" spans="1:5" ht="15.75" x14ac:dyDescent="0.25">
      <c r="A33" s="33" t="s">
        <v>186</v>
      </c>
      <c r="B33" s="316" t="s">
        <v>187</v>
      </c>
      <c r="C33" s="316"/>
      <c r="D33" s="30">
        <f t="shared" ref="D33:E33" si="4">SUM(D34:D38)</f>
        <v>387335.6</v>
      </c>
      <c r="E33" s="30">
        <f t="shared" si="4"/>
        <v>343390.00000000006</v>
      </c>
    </row>
    <row r="34" spans="1:5" ht="15.75" x14ac:dyDescent="0.25">
      <c r="A34" s="65" t="s">
        <v>236</v>
      </c>
      <c r="B34" s="365" t="s">
        <v>187</v>
      </c>
      <c r="C34" s="365" t="s">
        <v>116</v>
      </c>
      <c r="D34" s="20">
        <f>'Пр.3.1 Рд,пр, ЦС,ВР 23-24'!F523</f>
        <v>90820.19</v>
      </c>
      <c r="E34" s="20">
        <f>'Пр.3.1 Рд,пр, ЦС,ВР 23-24'!G523</f>
        <v>84821.090000000011</v>
      </c>
    </row>
    <row r="35" spans="1:5" ht="15.75" x14ac:dyDescent="0.25">
      <c r="A35" s="65" t="s">
        <v>239</v>
      </c>
      <c r="B35" s="365" t="s">
        <v>187</v>
      </c>
      <c r="C35" s="365" t="s">
        <v>158</v>
      </c>
      <c r="D35" s="20">
        <f>'Пр.3.1 Рд,пр, ЦС,ВР 23-24'!F582</f>
        <v>202665.56</v>
      </c>
      <c r="E35" s="20">
        <f>'Пр.3.1 Рд,пр, ЦС,ВР 23-24'!G582</f>
        <v>164386.26</v>
      </c>
    </row>
    <row r="36" spans="1:5" ht="15.75" x14ac:dyDescent="0.25">
      <c r="A36" s="65" t="s">
        <v>188</v>
      </c>
      <c r="B36" s="365" t="s">
        <v>187</v>
      </c>
      <c r="C36" s="365" t="s">
        <v>159</v>
      </c>
      <c r="D36" s="20">
        <f>'Пр.3.1 Рд,пр, ЦС,ВР 23-24'!F671</f>
        <v>63233</v>
      </c>
      <c r="E36" s="20">
        <f>'Пр.3.1 Рд,пр, ЦС,ВР 23-24'!G671</f>
        <v>63233</v>
      </c>
    </row>
    <row r="37" spans="1:5" ht="15.75" x14ac:dyDescent="0.25">
      <c r="A37" s="65" t="s">
        <v>246</v>
      </c>
      <c r="B37" s="365" t="s">
        <v>187</v>
      </c>
      <c r="C37" s="365" t="s">
        <v>187</v>
      </c>
      <c r="D37" s="20">
        <f>'Пр.3.1 Рд,пр, ЦС,ВР 23-24'!F740</f>
        <v>8438.6</v>
      </c>
      <c r="E37" s="20">
        <f>'Пр.3.1 Рд,пр, ЦС,ВР 23-24'!G740</f>
        <v>8609.7000000000007</v>
      </c>
    </row>
    <row r="38" spans="1:5" ht="15.75" x14ac:dyDescent="0.25">
      <c r="A38" s="65" t="s">
        <v>201</v>
      </c>
      <c r="B38" s="365" t="s">
        <v>187</v>
      </c>
      <c r="C38" s="365" t="s">
        <v>161</v>
      </c>
      <c r="D38" s="20">
        <f>'Пр.3.1 Рд,пр, ЦС,ВР 23-24'!F765</f>
        <v>22178.25</v>
      </c>
      <c r="E38" s="20">
        <f>'Пр.3.1 Рд,пр, ЦС,ВР 23-24'!G765</f>
        <v>22339.95</v>
      </c>
    </row>
    <row r="39" spans="1:5" ht="15.75" x14ac:dyDescent="0.25">
      <c r="A39" s="68" t="s">
        <v>202</v>
      </c>
      <c r="B39" s="316" t="s">
        <v>203</v>
      </c>
      <c r="C39" s="365"/>
      <c r="D39" s="30">
        <f t="shared" ref="D39:E39" si="5">D40+D41</f>
        <v>82217.399999999994</v>
      </c>
      <c r="E39" s="30">
        <f t="shared" si="5"/>
        <v>82221.299999999988</v>
      </c>
    </row>
    <row r="40" spans="1:5" ht="15.75" x14ac:dyDescent="0.25">
      <c r="A40" s="67" t="s">
        <v>204</v>
      </c>
      <c r="B40" s="365" t="s">
        <v>203</v>
      </c>
      <c r="C40" s="365" t="s">
        <v>116</v>
      </c>
      <c r="D40" s="20">
        <f>'Пр.3.1 Рд,пр, ЦС,ВР 23-24'!F805</f>
        <v>60054.7</v>
      </c>
      <c r="E40" s="20">
        <f>'Пр.3.1 Рд,пр, ЦС,ВР 23-24'!G805</f>
        <v>60054.7</v>
      </c>
    </row>
    <row r="41" spans="1:5" ht="15.75" x14ac:dyDescent="0.25">
      <c r="A41" s="67" t="s">
        <v>208</v>
      </c>
      <c r="B41" s="365" t="s">
        <v>203</v>
      </c>
      <c r="C41" s="365" t="s">
        <v>139</v>
      </c>
      <c r="D41" s="20">
        <f>'Пр.3.1 Рд,пр, ЦС,ВР 23-24'!F887</f>
        <v>22162.699999999997</v>
      </c>
      <c r="E41" s="20">
        <f>'Пр.3.1 Рд,пр, ЦС,ВР 23-24'!G887</f>
        <v>22166.6</v>
      </c>
    </row>
    <row r="42" spans="1:5" ht="15.75" x14ac:dyDescent="0.25">
      <c r="A42" s="33" t="s">
        <v>173</v>
      </c>
      <c r="B42" s="316" t="s">
        <v>174</v>
      </c>
      <c r="C42" s="316"/>
      <c r="D42" s="30">
        <f>SUM(D43:D46)</f>
        <v>15259.3</v>
      </c>
      <c r="E42" s="30">
        <f>SUM(E43:E46)</f>
        <v>15374.45</v>
      </c>
    </row>
    <row r="43" spans="1:5" ht="15.75" x14ac:dyDescent="0.25">
      <c r="A43" s="65" t="s">
        <v>175</v>
      </c>
      <c r="B43" s="365" t="s">
        <v>174</v>
      </c>
      <c r="C43" s="365" t="s">
        <v>116</v>
      </c>
      <c r="D43" s="20">
        <f>'Пр.3.1 Рд,пр, ЦС,ВР 23-24'!F929</f>
        <v>9913.5</v>
      </c>
      <c r="E43" s="20">
        <f>'Пр.3.1 Рд,пр, ЦС,ВР 23-24'!G929</f>
        <v>9913.5</v>
      </c>
    </row>
    <row r="44" spans="1:5" ht="15.75" x14ac:dyDescent="0.25">
      <c r="A44" s="364" t="s">
        <v>181</v>
      </c>
      <c r="B44" s="365" t="s">
        <v>174</v>
      </c>
      <c r="C44" s="365" t="s">
        <v>159</v>
      </c>
      <c r="D44" s="20">
        <f>'Пр.3.1 Рд,пр, ЦС,ВР 23-24'!F935</f>
        <v>1570</v>
      </c>
      <c r="E44" s="20">
        <f>'Пр.3.1 Рд,пр, ЦС,ВР 23-24'!G935</f>
        <v>1534.35</v>
      </c>
    </row>
    <row r="45" spans="1:5" ht="15.75" hidden="1" x14ac:dyDescent="0.25">
      <c r="A45" s="364" t="s">
        <v>234</v>
      </c>
      <c r="B45" s="365" t="s">
        <v>174</v>
      </c>
      <c r="C45" s="365" t="s">
        <v>139</v>
      </c>
      <c r="D45" s="20">
        <f>'Пр.3 Рд,пр, ЦС,ВР 22'!F968</f>
        <v>0</v>
      </c>
      <c r="E45" s="20">
        <f>'Пр.3 Рд,пр, ЦС,ВР 22'!G968</f>
        <v>0</v>
      </c>
    </row>
    <row r="46" spans="1:5" ht="15.75" x14ac:dyDescent="0.25">
      <c r="A46" s="364" t="s">
        <v>183</v>
      </c>
      <c r="B46" s="365" t="s">
        <v>174</v>
      </c>
      <c r="C46" s="365" t="s">
        <v>118</v>
      </c>
      <c r="D46" s="20">
        <f>'Пр.3.1 Рд,пр, ЦС,ВР 23-24'!F969</f>
        <v>3775.8</v>
      </c>
      <c r="E46" s="20">
        <f>'Пр.3.1 Рд,пр, ЦС,ВР 23-24'!G969</f>
        <v>3926.6</v>
      </c>
    </row>
    <row r="47" spans="1:5" ht="15.75" x14ac:dyDescent="0.25">
      <c r="A47" s="68" t="s">
        <v>250</v>
      </c>
      <c r="B47" s="316" t="s">
        <v>251</v>
      </c>
      <c r="C47" s="365"/>
      <c r="D47" s="30">
        <f t="shared" ref="D47:E47" si="6">D48+D49</f>
        <v>70328.3</v>
      </c>
      <c r="E47" s="30">
        <f t="shared" si="6"/>
        <v>70328.3</v>
      </c>
    </row>
    <row r="48" spans="1:5" ht="15.75" x14ac:dyDescent="0.25">
      <c r="A48" s="67" t="s">
        <v>252</v>
      </c>
      <c r="B48" s="365" t="s">
        <v>251</v>
      </c>
      <c r="C48" s="365" t="s">
        <v>116</v>
      </c>
      <c r="D48" s="20">
        <f>'Пр.3.1 Рд,пр, ЦС,ВР 23-24'!F983</f>
        <v>56655.199999999997</v>
      </c>
      <c r="E48" s="20">
        <f>'Пр.3.1 Рд,пр, ЦС,ВР 23-24'!G983</f>
        <v>56655.199999999997</v>
      </c>
    </row>
    <row r="49" spans="1:5" ht="15.75" x14ac:dyDescent="0.25">
      <c r="A49" s="67" t="s">
        <v>254</v>
      </c>
      <c r="B49" s="365" t="s">
        <v>251</v>
      </c>
      <c r="C49" s="365" t="s">
        <v>168</v>
      </c>
      <c r="D49" s="20">
        <f>'Пр.3.1 Рд,пр, ЦС,ВР 23-24'!F1030</f>
        <v>13673.1</v>
      </c>
      <c r="E49" s="20">
        <f>'Пр.3.1 Рд,пр, ЦС,ВР 23-24'!G1030</f>
        <v>13673.1</v>
      </c>
    </row>
    <row r="50" spans="1:5" ht="15.75" x14ac:dyDescent="0.25">
      <c r="A50" s="312" t="s">
        <v>288</v>
      </c>
      <c r="B50" s="316" t="s">
        <v>171</v>
      </c>
      <c r="C50" s="365"/>
      <c r="D50" s="30">
        <f t="shared" ref="D50:E50" si="7">D51</f>
        <v>6358.2</v>
      </c>
      <c r="E50" s="30">
        <f t="shared" si="7"/>
        <v>6358.2</v>
      </c>
    </row>
    <row r="51" spans="1:5" ht="15.75" x14ac:dyDescent="0.25">
      <c r="A51" s="24" t="s">
        <v>289</v>
      </c>
      <c r="B51" s="365" t="s">
        <v>171</v>
      </c>
      <c r="C51" s="365" t="s">
        <v>158</v>
      </c>
      <c r="D51" s="20">
        <f>'Пр.3.1 Рд,пр, ЦС,ВР 23-24'!F1065</f>
        <v>6358.2</v>
      </c>
      <c r="E51" s="20">
        <f>'Пр.3.1 Рд,пр, ЦС,ВР 23-24'!G1065</f>
        <v>6358.2</v>
      </c>
    </row>
    <row r="52" spans="1:5" ht="15.75" x14ac:dyDescent="0.25">
      <c r="A52" s="64" t="s">
        <v>330</v>
      </c>
      <c r="B52" s="316"/>
      <c r="C52" s="316"/>
      <c r="D52" s="30">
        <f>D11+D21+D23+D28+D33+D39+D42+D47+D50+D19+D10</f>
        <v>807747.37200000009</v>
      </c>
      <c r="E52" s="30">
        <f>E11+E21+E23+E28+E33+E39+E42+E47+E50+E19+E10</f>
        <v>777654.58000000007</v>
      </c>
    </row>
    <row r="53" spans="1:5" hidden="1" x14ac:dyDescent="0.25">
      <c r="D53" s="16">
        <f>'Пр.4 ведом.22'!G1212</f>
        <v>833882.56299999985</v>
      </c>
      <c r="E53" s="16">
        <f>'Пр.4 ведом.22'!H1212</f>
        <v>0</v>
      </c>
    </row>
    <row r="54" spans="1:5" hidden="1" x14ac:dyDescent="0.25">
      <c r="D54" s="16">
        <f t="shared" ref="D54:E54" si="8">D53-D52</f>
        <v>26135.190999999759</v>
      </c>
      <c r="E54" s="16">
        <f t="shared" si="8"/>
        <v>-777654.58000000007</v>
      </c>
    </row>
    <row r="55" spans="1:5" hidden="1" x14ac:dyDescent="0.25">
      <c r="D55" s="16">
        <f>пр.1дох.22!C199</f>
        <v>804238.68400000001</v>
      </c>
      <c r="E55" s="16">
        <f>пр.1дох.22!D199</f>
        <v>0</v>
      </c>
    </row>
    <row r="56" spans="1:5" hidden="1" x14ac:dyDescent="0.25">
      <c r="D56" s="16">
        <f>D55-D52</f>
        <v>-3508.688000000082</v>
      </c>
      <c r="E56" s="16">
        <f>E55-E52</f>
        <v>-777654.58000000007</v>
      </c>
    </row>
    <row r="57" spans="1:5" x14ac:dyDescent="0.25">
      <c r="D57" s="16">
        <f>'Пр.4 ведом.22'!G1212</f>
        <v>833882.56299999985</v>
      </c>
      <c r="E57" s="16">
        <f>'Пр.4 ведом.22'!H1212</f>
        <v>0</v>
      </c>
    </row>
    <row r="58" spans="1:5" x14ac:dyDescent="0.25">
      <c r="D58" s="16">
        <f>D57-D52</f>
        <v>26135.190999999759</v>
      </c>
      <c r="E58" s="16">
        <f>E57-E52</f>
        <v>-777654.58000000007</v>
      </c>
    </row>
  </sheetData>
  <mergeCells count="6">
    <mergeCell ref="A7:D7"/>
    <mergeCell ref="A5:D5"/>
    <mergeCell ref="A6:D6"/>
    <mergeCell ref="B3:E3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rowBreaks count="1" manualBreakCount="1">
    <brk id="5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0"/>
  <sheetViews>
    <sheetView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55.140625" style="363" customWidth="1"/>
    <col min="2" max="2" width="5.85546875" style="363" customWidth="1"/>
    <col min="3" max="3" width="5.42578125" style="363" customWidth="1"/>
    <col min="4" max="4" width="15.85546875" style="363" customWidth="1"/>
    <col min="5" max="5" width="7.140625" style="363" customWidth="1"/>
    <col min="6" max="6" width="14.28515625" style="74" customWidth="1"/>
    <col min="7" max="7" width="11.7109375" style="363" hidden="1" customWidth="1"/>
    <col min="8" max="10" width="0" style="363" hidden="1" customWidth="1"/>
    <col min="11" max="11" width="9.85546875" style="363" bestFit="1" customWidth="1"/>
    <col min="12" max="12" width="9.85546875" bestFit="1" customWidth="1"/>
  </cols>
  <sheetData>
    <row r="1" spans="1:12" ht="15.75" x14ac:dyDescent="0.25">
      <c r="A1" s="36"/>
      <c r="B1" s="36"/>
      <c r="C1" s="36"/>
      <c r="E1" s="605" t="s">
        <v>1012</v>
      </c>
      <c r="F1" s="605"/>
    </row>
    <row r="2" spans="1:12" ht="15.75" x14ac:dyDescent="0.25">
      <c r="A2" s="36"/>
      <c r="B2" s="36"/>
      <c r="C2" s="36"/>
      <c r="E2" s="605" t="s">
        <v>0</v>
      </c>
      <c r="F2" s="605"/>
    </row>
    <row r="3" spans="1:12" ht="18.75" customHeight="1" x14ac:dyDescent="0.25">
      <c r="A3" s="36"/>
      <c r="B3" s="36"/>
      <c r="C3" s="36"/>
      <c r="E3" s="605" t="s">
        <v>1360</v>
      </c>
      <c r="F3" s="605"/>
    </row>
    <row r="4" spans="1:12" x14ac:dyDescent="0.25">
      <c r="A4" s="36"/>
      <c r="B4" s="36"/>
      <c r="C4" s="36"/>
      <c r="D4" s="36"/>
      <c r="E4" s="36"/>
    </row>
    <row r="5" spans="1:12" ht="63.75" customHeight="1" x14ac:dyDescent="0.25">
      <c r="A5" s="591" t="s">
        <v>1361</v>
      </c>
      <c r="B5" s="591"/>
      <c r="C5" s="591"/>
      <c r="D5" s="591"/>
      <c r="E5" s="591"/>
      <c r="F5" s="591"/>
    </row>
    <row r="6" spans="1:12" x14ac:dyDescent="0.25">
      <c r="A6" s="36"/>
      <c r="B6" s="36"/>
      <c r="C6" s="36"/>
      <c r="D6" s="36"/>
      <c r="E6" s="36"/>
      <c r="F6" s="185" t="s">
        <v>1</v>
      </c>
    </row>
    <row r="7" spans="1:12" ht="30.2" customHeight="1" x14ac:dyDescent="0.25">
      <c r="A7" s="151" t="s">
        <v>295</v>
      </c>
      <c r="B7" s="152" t="s">
        <v>110</v>
      </c>
      <c r="C7" s="152" t="s">
        <v>111</v>
      </c>
      <c r="D7" s="152" t="s">
        <v>112</v>
      </c>
      <c r="E7" s="152" t="s">
        <v>113</v>
      </c>
      <c r="F7" s="186" t="s">
        <v>636</v>
      </c>
    </row>
    <row r="8" spans="1:12" ht="15.75" x14ac:dyDescent="0.25">
      <c r="A8" s="359" t="s">
        <v>115</v>
      </c>
      <c r="B8" s="7" t="s">
        <v>116</v>
      </c>
      <c r="C8" s="7"/>
      <c r="D8" s="7"/>
      <c r="E8" s="7"/>
      <c r="F8" s="310">
        <f>F9+F25+F41+F102+F141+F127+F135</f>
        <v>160507.94</v>
      </c>
      <c r="G8" s="74"/>
      <c r="H8" s="74"/>
      <c r="K8" s="154">
        <f>F8-F59-'Пр.4 ведом.22'!K1216-'Пр.4 ведом.22'!X1226</f>
        <v>156821.14000000001</v>
      </c>
      <c r="L8" s="156">
        <f>F22+F59+F99+F215-'Пр.4 ведом.22'!K1215-'Пр.4 ведом.22'!X1225</f>
        <v>3687.8</v>
      </c>
    </row>
    <row r="9" spans="1:12" ht="47.25" x14ac:dyDescent="0.25">
      <c r="A9" s="359" t="s">
        <v>285</v>
      </c>
      <c r="B9" s="7" t="s">
        <v>116</v>
      </c>
      <c r="C9" s="7" t="s">
        <v>158</v>
      </c>
      <c r="D9" s="7"/>
      <c r="E9" s="7"/>
      <c r="F9" s="310">
        <f>F10+F20</f>
        <v>5105</v>
      </c>
      <c r="K9" s="74">
        <f>F9+F41+F104+F477+F770+F893+F1036</f>
        <v>148480</v>
      </c>
    </row>
    <row r="10" spans="1:12" ht="31.5" x14ac:dyDescent="0.25">
      <c r="A10" s="315" t="s">
        <v>488</v>
      </c>
      <c r="B10" s="7" t="s">
        <v>116</v>
      </c>
      <c r="C10" s="7" t="s">
        <v>158</v>
      </c>
      <c r="D10" s="7" t="s">
        <v>434</v>
      </c>
      <c r="E10" s="7"/>
      <c r="F10" s="310">
        <f>F11</f>
        <v>5104.5</v>
      </c>
      <c r="K10" s="74">
        <f>F11+F43+F104+F477+F770+F893+F1036</f>
        <v>144189.20000000001</v>
      </c>
    </row>
    <row r="11" spans="1:12" ht="15.75" x14ac:dyDescent="0.25">
      <c r="A11" s="315" t="s">
        <v>489</v>
      </c>
      <c r="B11" s="7" t="s">
        <v>116</v>
      </c>
      <c r="C11" s="7" t="s">
        <v>158</v>
      </c>
      <c r="D11" s="7" t="s">
        <v>435</v>
      </c>
      <c r="E11" s="7"/>
      <c r="F11" s="310">
        <f>F12+F17</f>
        <v>5104.5</v>
      </c>
      <c r="K11" s="74">
        <f>F143+F492+F906</f>
        <v>70635.14</v>
      </c>
    </row>
    <row r="12" spans="1:12" ht="31.5" x14ac:dyDescent="0.25">
      <c r="A12" s="22" t="s">
        <v>286</v>
      </c>
      <c r="B12" s="360" t="s">
        <v>116</v>
      </c>
      <c r="C12" s="360" t="s">
        <v>158</v>
      </c>
      <c r="D12" s="360" t="s">
        <v>836</v>
      </c>
      <c r="E12" s="360"/>
      <c r="F12" s="311">
        <f t="shared" ref="F12" si="0">F13+F15</f>
        <v>5104.5</v>
      </c>
    </row>
    <row r="13" spans="1:12" ht="78.75" x14ac:dyDescent="0.25">
      <c r="A13" s="22" t="s">
        <v>119</v>
      </c>
      <c r="B13" s="360" t="s">
        <v>116</v>
      </c>
      <c r="C13" s="360" t="s">
        <v>158</v>
      </c>
      <c r="D13" s="360" t="s">
        <v>836</v>
      </c>
      <c r="E13" s="360" t="s">
        <v>120</v>
      </c>
      <c r="F13" s="255">
        <f t="shared" ref="F13" si="1">F14</f>
        <v>5014.5</v>
      </c>
    </row>
    <row r="14" spans="1:12" ht="31.5" x14ac:dyDescent="0.25">
      <c r="A14" s="22" t="s">
        <v>121</v>
      </c>
      <c r="B14" s="360" t="s">
        <v>116</v>
      </c>
      <c r="C14" s="360" t="s">
        <v>158</v>
      </c>
      <c r="D14" s="360" t="s">
        <v>836</v>
      </c>
      <c r="E14" s="360" t="s">
        <v>122</v>
      </c>
      <c r="F14" s="255">
        <f>'Пр.4 ведом.22'!G37</f>
        <v>5014.5</v>
      </c>
    </row>
    <row r="15" spans="1:12" ht="31.5" x14ac:dyDescent="0.25">
      <c r="A15" s="22" t="s">
        <v>123</v>
      </c>
      <c r="B15" s="360" t="s">
        <v>116</v>
      </c>
      <c r="C15" s="360" t="s">
        <v>158</v>
      </c>
      <c r="D15" s="360" t="s">
        <v>836</v>
      </c>
      <c r="E15" s="360" t="s">
        <v>124</v>
      </c>
      <c r="F15" s="21">
        <f t="shared" ref="F15" si="2">F16</f>
        <v>90</v>
      </c>
    </row>
    <row r="16" spans="1:12" ht="31.5" x14ac:dyDescent="0.25">
      <c r="A16" s="22" t="s">
        <v>125</v>
      </c>
      <c r="B16" s="360" t="s">
        <v>116</v>
      </c>
      <c r="C16" s="360" t="s">
        <v>158</v>
      </c>
      <c r="D16" s="360" t="s">
        <v>836</v>
      </c>
      <c r="E16" s="360" t="s">
        <v>126</v>
      </c>
      <c r="F16" s="21">
        <f>'Пр.4 ведом.22'!G38</f>
        <v>90</v>
      </c>
    </row>
    <row r="17" spans="1:11" s="131" customFormat="1" ht="47.25" hidden="1" x14ac:dyDescent="0.25">
      <c r="A17" s="364" t="s">
        <v>416</v>
      </c>
      <c r="B17" s="360" t="s">
        <v>116</v>
      </c>
      <c r="C17" s="360" t="s">
        <v>158</v>
      </c>
      <c r="D17" s="360" t="s">
        <v>438</v>
      </c>
      <c r="E17" s="360"/>
      <c r="F17" s="21">
        <f>F18</f>
        <v>0</v>
      </c>
      <c r="G17" s="363"/>
      <c r="H17" s="363"/>
      <c r="I17" s="363"/>
      <c r="J17" s="363"/>
      <c r="K17" s="363"/>
    </row>
    <row r="18" spans="1:11" s="131" customFormat="1" ht="78.75" hidden="1" x14ac:dyDescent="0.25">
      <c r="A18" s="364" t="s">
        <v>119</v>
      </c>
      <c r="B18" s="360" t="s">
        <v>116</v>
      </c>
      <c r="C18" s="360" t="s">
        <v>158</v>
      </c>
      <c r="D18" s="360" t="s">
        <v>438</v>
      </c>
      <c r="E18" s="360" t="s">
        <v>120</v>
      </c>
      <c r="F18" s="21">
        <f>F19</f>
        <v>0</v>
      </c>
      <c r="G18" s="363"/>
      <c r="H18" s="363"/>
      <c r="I18" s="363"/>
      <c r="J18" s="363"/>
      <c r="K18" s="363"/>
    </row>
    <row r="19" spans="1:11" s="131" customFormat="1" ht="31.5" hidden="1" x14ac:dyDescent="0.25">
      <c r="A19" s="364" t="s">
        <v>121</v>
      </c>
      <c r="B19" s="360" t="s">
        <v>116</v>
      </c>
      <c r="C19" s="360" t="s">
        <v>158</v>
      </c>
      <c r="D19" s="360" t="s">
        <v>438</v>
      </c>
      <c r="E19" s="360" t="s">
        <v>122</v>
      </c>
      <c r="F19" s="21">
        <f>'Пр.4 ведом.22'!G42</f>
        <v>0</v>
      </c>
      <c r="G19" s="363"/>
      <c r="H19" s="363"/>
      <c r="I19" s="363"/>
      <c r="J19" s="363"/>
      <c r="K19" s="363"/>
    </row>
    <row r="20" spans="1:11" s="131" customFormat="1" ht="47.25" x14ac:dyDescent="0.25">
      <c r="A20" s="315" t="s">
        <v>841</v>
      </c>
      <c r="B20" s="316" t="s">
        <v>116</v>
      </c>
      <c r="C20" s="7" t="s">
        <v>158</v>
      </c>
      <c r="D20" s="316" t="s">
        <v>143</v>
      </c>
      <c r="E20" s="7"/>
      <c r="F20" s="256">
        <f>F21</f>
        <v>0.5</v>
      </c>
      <c r="G20" s="363"/>
      <c r="H20" s="363"/>
      <c r="I20" s="363"/>
      <c r="J20" s="363"/>
      <c r="K20" s="363"/>
    </row>
    <row r="21" spans="1:11" s="131" customFormat="1" ht="63" x14ac:dyDescent="0.25">
      <c r="A21" s="146" t="s">
        <v>420</v>
      </c>
      <c r="B21" s="316" t="s">
        <v>116</v>
      </c>
      <c r="C21" s="7" t="s">
        <v>158</v>
      </c>
      <c r="D21" s="7" t="s">
        <v>426</v>
      </c>
      <c r="E21" s="7"/>
      <c r="F21" s="256">
        <f>F22</f>
        <v>0.5</v>
      </c>
      <c r="G21" s="363"/>
      <c r="H21" s="363"/>
      <c r="I21" s="363"/>
      <c r="J21" s="363"/>
      <c r="K21" s="363"/>
    </row>
    <row r="22" spans="1:11" s="131" customFormat="1" ht="47.25" x14ac:dyDescent="0.25">
      <c r="A22" s="24" t="s">
        <v>334</v>
      </c>
      <c r="B22" s="365" t="s">
        <v>116</v>
      </c>
      <c r="C22" s="365" t="s">
        <v>158</v>
      </c>
      <c r="D22" s="360" t="s">
        <v>556</v>
      </c>
      <c r="E22" s="365"/>
      <c r="F22" s="318">
        <f>F23</f>
        <v>0.5</v>
      </c>
      <c r="G22" s="363"/>
      <c r="H22" s="363"/>
      <c r="I22" s="363"/>
      <c r="J22" s="363"/>
      <c r="K22" s="363"/>
    </row>
    <row r="23" spans="1:11" s="131" customFormat="1" ht="31.5" x14ac:dyDescent="0.25">
      <c r="A23" s="364" t="s">
        <v>123</v>
      </c>
      <c r="B23" s="365" t="s">
        <v>116</v>
      </c>
      <c r="C23" s="365" t="s">
        <v>158</v>
      </c>
      <c r="D23" s="360" t="s">
        <v>556</v>
      </c>
      <c r="E23" s="365" t="s">
        <v>124</v>
      </c>
      <c r="F23" s="318">
        <f>F24</f>
        <v>0.5</v>
      </c>
      <c r="G23" s="363"/>
      <c r="H23" s="363"/>
      <c r="I23" s="363"/>
      <c r="J23" s="363"/>
      <c r="K23" s="363"/>
    </row>
    <row r="24" spans="1:11" s="131" customFormat="1" ht="31.5" x14ac:dyDescent="0.25">
      <c r="A24" s="364" t="s">
        <v>125</v>
      </c>
      <c r="B24" s="365" t="s">
        <v>116</v>
      </c>
      <c r="C24" s="365" t="s">
        <v>158</v>
      </c>
      <c r="D24" s="360" t="s">
        <v>556</v>
      </c>
      <c r="E24" s="365" t="s">
        <v>126</v>
      </c>
      <c r="F24" s="318">
        <f>'Пр.4 ведом.22'!G47</f>
        <v>0.5</v>
      </c>
      <c r="G24" s="363"/>
      <c r="H24" s="363"/>
      <c r="I24" s="363"/>
      <c r="J24" s="363"/>
      <c r="K24" s="363"/>
    </row>
    <row r="25" spans="1:11" ht="63" x14ac:dyDescent="0.25">
      <c r="A25" s="359" t="s">
        <v>287</v>
      </c>
      <c r="B25" s="7" t="s">
        <v>116</v>
      </c>
      <c r="C25" s="7" t="s">
        <v>159</v>
      </c>
      <c r="D25" s="7"/>
      <c r="E25" s="7"/>
      <c r="F25" s="310">
        <f t="shared" ref="F25:F26" si="3">F26</f>
        <v>5915.08</v>
      </c>
    </row>
    <row r="26" spans="1:11" ht="31.5" x14ac:dyDescent="0.25">
      <c r="A26" s="315" t="s">
        <v>488</v>
      </c>
      <c r="B26" s="7" t="s">
        <v>116</v>
      </c>
      <c r="C26" s="7" t="s">
        <v>159</v>
      </c>
      <c r="D26" s="7" t="s">
        <v>434</v>
      </c>
      <c r="E26" s="7"/>
      <c r="F26" s="310">
        <f t="shared" si="3"/>
        <v>5915.08</v>
      </c>
    </row>
    <row r="27" spans="1:11" ht="31.5" x14ac:dyDescent="0.25">
      <c r="A27" s="315" t="s">
        <v>551</v>
      </c>
      <c r="B27" s="7" t="s">
        <v>116</v>
      </c>
      <c r="C27" s="7" t="s">
        <v>159</v>
      </c>
      <c r="D27" s="7" t="s">
        <v>552</v>
      </c>
      <c r="E27" s="7"/>
      <c r="F27" s="310">
        <f>F33+F38+F28</f>
        <v>5915.08</v>
      </c>
    </row>
    <row r="28" spans="1:11" s="131" customFormat="1" ht="47.25" x14ac:dyDescent="0.25">
      <c r="A28" s="189" t="s">
        <v>865</v>
      </c>
      <c r="B28" s="365" t="s">
        <v>116</v>
      </c>
      <c r="C28" s="365" t="s">
        <v>159</v>
      </c>
      <c r="D28" s="365" t="s">
        <v>895</v>
      </c>
      <c r="E28" s="316"/>
      <c r="F28" s="311">
        <f>F29+F31</f>
        <v>4702.43</v>
      </c>
      <c r="G28" s="363"/>
      <c r="H28" s="363"/>
      <c r="I28" s="363"/>
      <c r="J28" s="363"/>
      <c r="K28" s="363"/>
    </row>
    <row r="29" spans="1:11" s="131" customFormat="1" ht="78.75" x14ac:dyDescent="0.25">
      <c r="A29" s="364" t="s">
        <v>119</v>
      </c>
      <c r="B29" s="365" t="s">
        <v>116</v>
      </c>
      <c r="C29" s="365" t="s">
        <v>159</v>
      </c>
      <c r="D29" s="365" t="s">
        <v>895</v>
      </c>
      <c r="E29" s="365" t="s">
        <v>120</v>
      </c>
      <c r="F29" s="311">
        <f>F30</f>
        <v>4609.43</v>
      </c>
      <c r="G29" s="363"/>
      <c r="H29" s="363"/>
      <c r="I29" s="363"/>
      <c r="J29" s="363"/>
      <c r="K29" s="363"/>
    </row>
    <row r="30" spans="1:11" s="131" customFormat="1" ht="31.5" x14ac:dyDescent="0.25">
      <c r="A30" s="364" t="s">
        <v>121</v>
      </c>
      <c r="B30" s="365" t="s">
        <v>116</v>
      </c>
      <c r="C30" s="365" t="s">
        <v>159</v>
      </c>
      <c r="D30" s="365" t="s">
        <v>895</v>
      </c>
      <c r="E30" s="365" t="s">
        <v>122</v>
      </c>
      <c r="F30" s="311">
        <f>'Пр.4 ведом.22'!G1201</f>
        <v>4609.43</v>
      </c>
      <c r="G30" s="363"/>
      <c r="H30" s="363"/>
      <c r="I30" s="363"/>
      <c r="J30" s="363"/>
      <c r="K30" s="363"/>
    </row>
    <row r="31" spans="1:11" s="131" customFormat="1" ht="31.5" x14ac:dyDescent="0.25">
      <c r="A31" s="364" t="s">
        <v>153</v>
      </c>
      <c r="B31" s="365" t="s">
        <v>116</v>
      </c>
      <c r="C31" s="365" t="s">
        <v>159</v>
      </c>
      <c r="D31" s="365" t="s">
        <v>895</v>
      </c>
      <c r="E31" s="365" t="s">
        <v>124</v>
      </c>
      <c r="F31" s="311">
        <f>F32</f>
        <v>93</v>
      </c>
      <c r="G31" s="363"/>
      <c r="H31" s="363"/>
      <c r="I31" s="363"/>
      <c r="J31" s="363"/>
      <c r="K31" s="363"/>
    </row>
    <row r="32" spans="1:11" s="131" customFormat="1" ht="31.5" x14ac:dyDescent="0.25">
      <c r="A32" s="364" t="s">
        <v>125</v>
      </c>
      <c r="B32" s="365" t="s">
        <v>116</v>
      </c>
      <c r="C32" s="365" t="s">
        <v>159</v>
      </c>
      <c r="D32" s="365" t="s">
        <v>895</v>
      </c>
      <c r="E32" s="365" t="s">
        <v>126</v>
      </c>
      <c r="F32" s="311">
        <f>'Пр.4 ведом.22'!G1203</f>
        <v>93</v>
      </c>
      <c r="G32" s="363"/>
      <c r="H32" s="363"/>
      <c r="I32" s="363"/>
      <c r="J32" s="363"/>
      <c r="K32" s="363"/>
    </row>
    <row r="33" spans="1:11" ht="31.5" x14ac:dyDescent="0.25">
      <c r="A33" s="364" t="s">
        <v>554</v>
      </c>
      <c r="B33" s="360" t="s">
        <v>116</v>
      </c>
      <c r="C33" s="360" t="s">
        <v>159</v>
      </c>
      <c r="D33" s="360" t="s">
        <v>555</v>
      </c>
      <c r="E33" s="360"/>
      <c r="F33" s="311">
        <f t="shared" ref="F33" si="4">F34+F36</f>
        <v>1212.6500000000001</v>
      </c>
    </row>
    <row r="34" spans="1:11" ht="78.75" x14ac:dyDescent="0.25">
      <c r="A34" s="22" t="s">
        <v>119</v>
      </c>
      <c r="B34" s="360" t="s">
        <v>116</v>
      </c>
      <c r="C34" s="360" t="s">
        <v>159</v>
      </c>
      <c r="D34" s="360" t="s">
        <v>555</v>
      </c>
      <c r="E34" s="360" t="s">
        <v>120</v>
      </c>
      <c r="F34" s="255">
        <f t="shared" ref="F34" si="5">F35</f>
        <v>1212.6500000000001</v>
      </c>
    </row>
    <row r="35" spans="1:11" ht="31.5" x14ac:dyDescent="0.25">
      <c r="A35" s="22" t="s">
        <v>121</v>
      </c>
      <c r="B35" s="360" t="s">
        <v>116</v>
      </c>
      <c r="C35" s="360" t="s">
        <v>159</v>
      </c>
      <c r="D35" s="360" t="s">
        <v>555</v>
      </c>
      <c r="E35" s="360" t="s">
        <v>122</v>
      </c>
      <c r="F35" s="255">
        <f>'Пр.4 ведом.22'!G1206</f>
        <v>1212.6500000000001</v>
      </c>
    </row>
    <row r="36" spans="1:11" ht="31.5" hidden="1" x14ac:dyDescent="0.25">
      <c r="A36" s="22" t="s">
        <v>123</v>
      </c>
      <c r="B36" s="360" t="s">
        <v>116</v>
      </c>
      <c r="C36" s="360" t="s">
        <v>159</v>
      </c>
      <c r="D36" s="360" t="s">
        <v>555</v>
      </c>
      <c r="E36" s="360" t="s">
        <v>124</v>
      </c>
      <c r="F36" s="311">
        <f t="shared" ref="F36" si="6">F37</f>
        <v>0</v>
      </c>
    </row>
    <row r="37" spans="1:11" ht="31.5" hidden="1" x14ac:dyDescent="0.25">
      <c r="A37" s="22" t="s">
        <v>125</v>
      </c>
      <c r="B37" s="360" t="s">
        <v>116</v>
      </c>
      <c r="C37" s="360" t="s">
        <v>159</v>
      </c>
      <c r="D37" s="360" t="s">
        <v>555</v>
      </c>
      <c r="E37" s="360" t="s">
        <v>126</v>
      </c>
      <c r="F37" s="311">
        <f>'Пр.4 ведом.22'!G1208</f>
        <v>0</v>
      </c>
    </row>
    <row r="38" spans="1:11" s="131" customFormat="1" ht="30.2" hidden="1" customHeight="1" x14ac:dyDescent="0.25">
      <c r="A38" s="364" t="s">
        <v>416</v>
      </c>
      <c r="B38" s="360" t="s">
        <v>116</v>
      </c>
      <c r="C38" s="360" t="s">
        <v>159</v>
      </c>
      <c r="D38" s="360" t="s">
        <v>553</v>
      </c>
      <c r="E38" s="360"/>
      <c r="F38" s="21">
        <f>F39</f>
        <v>0</v>
      </c>
      <c r="G38" s="363"/>
      <c r="H38" s="363"/>
      <c r="I38" s="363"/>
      <c r="J38" s="363"/>
      <c r="K38" s="363"/>
    </row>
    <row r="39" spans="1:11" s="131" customFormat="1" ht="85.7" hidden="1" customHeight="1" x14ac:dyDescent="0.25">
      <c r="A39" s="364" t="s">
        <v>119</v>
      </c>
      <c r="B39" s="360" t="s">
        <v>116</v>
      </c>
      <c r="C39" s="360" t="s">
        <v>159</v>
      </c>
      <c r="D39" s="360" t="s">
        <v>553</v>
      </c>
      <c r="E39" s="360" t="s">
        <v>120</v>
      </c>
      <c r="F39" s="21">
        <f>F40</f>
        <v>0</v>
      </c>
      <c r="G39" s="363"/>
      <c r="H39" s="363"/>
      <c r="I39" s="363"/>
      <c r="J39" s="363"/>
      <c r="K39" s="363"/>
    </row>
    <row r="40" spans="1:11" s="131" customFormat="1" ht="38.25" hidden="1" customHeight="1" x14ac:dyDescent="0.25">
      <c r="A40" s="364" t="s">
        <v>121</v>
      </c>
      <c r="B40" s="360" t="s">
        <v>116</v>
      </c>
      <c r="C40" s="360" t="s">
        <v>159</v>
      </c>
      <c r="D40" s="360" t="s">
        <v>553</v>
      </c>
      <c r="E40" s="360" t="s">
        <v>122</v>
      </c>
      <c r="F40" s="21">
        <f>'Пр.4 ведом.22'!G1211</f>
        <v>0</v>
      </c>
      <c r="G40" s="363"/>
      <c r="H40" s="363"/>
      <c r="I40" s="363"/>
      <c r="J40" s="363"/>
      <c r="K40" s="363"/>
    </row>
    <row r="41" spans="1:11" ht="70.5" customHeight="1" x14ac:dyDescent="0.25">
      <c r="A41" s="359" t="s">
        <v>138</v>
      </c>
      <c r="B41" s="7" t="s">
        <v>116</v>
      </c>
      <c r="C41" s="7" t="s">
        <v>139</v>
      </c>
      <c r="D41" s="7"/>
      <c r="E41" s="7"/>
      <c r="F41" s="310">
        <f>F42+F84</f>
        <v>71580.030000000013</v>
      </c>
      <c r="H41" s="74"/>
    </row>
    <row r="42" spans="1:11" ht="31.5" x14ac:dyDescent="0.25">
      <c r="A42" s="315" t="s">
        <v>488</v>
      </c>
      <c r="B42" s="7" t="s">
        <v>116</v>
      </c>
      <c r="C42" s="7" t="s">
        <v>139</v>
      </c>
      <c r="D42" s="7" t="s">
        <v>434</v>
      </c>
      <c r="E42" s="7"/>
      <c r="F42" s="310">
        <f>F43+F59</f>
        <v>70976.530000000013</v>
      </c>
    </row>
    <row r="43" spans="1:11" ht="15.75" x14ac:dyDescent="0.25">
      <c r="A43" s="315" t="s">
        <v>489</v>
      </c>
      <c r="B43" s="7" t="s">
        <v>116</v>
      </c>
      <c r="C43" s="7" t="s">
        <v>139</v>
      </c>
      <c r="D43" s="7" t="s">
        <v>435</v>
      </c>
      <c r="E43" s="7"/>
      <c r="F43" s="310">
        <f>F44+F53+F56</f>
        <v>67289.73000000001</v>
      </c>
    </row>
    <row r="44" spans="1:11" ht="31.5" x14ac:dyDescent="0.25">
      <c r="A44" s="22" t="s">
        <v>468</v>
      </c>
      <c r="B44" s="360" t="s">
        <v>116</v>
      </c>
      <c r="C44" s="360" t="s">
        <v>139</v>
      </c>
      <c r="D44" s="360" t="s">
        <v>436</v>
      </c>
      <c r="E44" s="360"/>
      <c r="F44" s="311">
        <f>F45+F47+F51+F49</f>
        <v>62668.200000000004</v>
      </c>
    </row>
    <row r="45" spans="1:11" ht="78.75" x14ac:dyDescent="0.25">
      <c r="A45" s="22" t="s">
        <v>119</v>
      </c>
      <c r="B45" s="360" t="s">
        <v>116</v>
      </c>
      <c r="C45" s="360" t="s">
        <v>139</v>
      </c>
      <c r="D45" s="360" t="s">
        <v>436</v>
      </c>
      <c r="E45" s="360" t="s">
        <v>120</v>
      </c>
      <c r="F45" s="255">
        <f t="shared" ref="F45" si="7">F46</f>
        <v>55992.700000000004</v>
      </c>
    </row>
    <row r="46" spans="1:11" ht="31.5" x14ac:dyDescent="0.25">
      <c r="A46" s="22" t="s">
        <v>121</v>
      </c>
      <c r="B46" s="360" t="s">
        <v>116</v>
      </c>
      <c r="C46" s="360" t="s">
        <v>139</v>
      </c>
      <c r="D46" s="360" t="s">
        <v>436</v>
      </c>
      <c r="E46" s="360" t="s">
        <v>122</v>
      </c>
      <c r="F46" s="255">
        <f>'Пр.4 ведом.22'!G53+'Пр.4 ведом.22'!G564</f>
        <v>55992.700000000004</v>
      </c>
    </row>
    <row r="47" spans="1:11" ht="31.5" x14ac:dyDescent="0.25">
      <c r="A47" s="22" t="s">
        <v>123</v>
      </c>
      <c r="B47" s="360" t="s">
        <v>116</v>
      </c>
      <c r="C47" s="360" t="s">
        <v>139</v>
      </c>
      <c r="D47" s="360" t="s">
        <v>436</v>
      </c>
      <c r="E47" s="360" t="s">
        <v>124</v>
      </c>
      <c r="F47" s="311">
        <f t="shared" ref="F47" si="8">F48</f>
        <v>6469.5</v>
      </c>
    </row>
    <row r="48" spans="1:11" ht="31.5" x14ac:dyDescent="0.25">
      <c r="A48" s="22" t="s">
        <v>125</v>
      </c>
      <c r="B48" s="360" t="s">
        <v>116</v>
      </c>
      <c r="C48" s="360" t="s">
        <v>139</v>
      </c>
      <c r="D48" s="360" t="s">
        <v>436</v>
      </c>
      <c r="E48" s="360" t="s">
        <v>126</v>
      </c>
      <c r="F48" s="311">
        <f>'Пр.4 ведом.22'!G55+'Пр.4 ведом.22'!G566</f>
        <v>6469.5</v>
      </c>
    </row>
    <row r="49" spans="1:11" s="131" customFormat="1" ht="21.2" hidden="1" customHeight="1" x14ac:dyDescent="0.25">
      <c r="A49" s="364" t="s">
        <v>177</v>
      </c>
      <c r="B49" s="360" t="s">
        <v>116</v>
      </c>
      <c r="C49" s="360" t="s">
        <v>139</v>
      </c>
      <c r="D49" s="360" t="s">
        <v>436</v>
      </c>
      <c r="E49" s="360" t="s">
        <v>178</v>
      </c>
      <c r="F49" s="311">
        <f>F50</f>
        <v>0</v>
      </c>
      <c r="G49" s="363"/>
      <c r="H49" s="363"/>
      <c r="I49" s="363"/>
      <c r="J49" s="363"/>
      <c r="K49" s="363"/>
    </row>
    <row r="50" spans="1:11" s="131" customFormat="1" ht="31.5" hidden="1" x14ac:dyDescent="0.25">
      <c r="A50" s="364" t="s">
        <v>179</v>
      </c>
      <c r="B50" s="360" t="s">
        <v>116</v>
      </c>
      <c r="C50" s="360" t="s">
        <v>139</v>
      </c>
      <c r="D50" s="360" t="s">
        <v>436</v>
      </c>
      <c r="E50" s="360" t="s">
        <v>180</v>
      </c>
      <c r="F50" s="311">
        <f>'Пр.4 ведом.22'!G57</f>
        <v>0</v>
      </c>
      <c r="G50" s="363"/>
      <c r="H50" s="363"/>
      <c r="I50" s="363"/>
      <c r="J50" s="363"/>
      <c r="K50" s="363"/>
    </row>
    <row r="51" spans="1:11" ht="15.75" x14ac:dyDescent="0.25">
      <c r="A51" s="22" t="s">
        <v>127</v>
      </c>
      <c r="B51" s="360" t="s">
        <v>116</v>
      </c>
      <c r="C51" s="360" t="s">
        <v>139</v>
      </c>
      <c r="D51" s="360" t="s">
        <v>436</v>
      </c>
      <c r="E51" s="360" t="s">
        <v>134</v>
      </c>
      <c r="F51" s="311">
        <f t="shared" ref="F51" si="9">F52</f>
        <v>206</v>
      </c>
    </row>
    <row r="52" spans="1:11" ht="15.75" x14ac:dyDescent="0.25">
      <c r="A52" s="22" t="s">
        <v>280</v>
      </c>
      <c r="B52" s="360" t="s">
        <v>116</v>
      </c>
      <c r="C52" s="360" t="s">
        <v>139</v>
      </c>
      <c r="D52" s="360" t="s">
        <v>436</v>
      </c>
      <c r="E52" s="360" t="s">
        <v>130</v>
      </c>
      <c r="F52" s="311">
        <f>'Пр.4 ведом.22'!G568+'Пр.4 ведом.22'!G59</f>
        <v>206</v>
      </c>
    </row>
    <row r="53" spans="1:11" ht="31.5" x14ac:dyDescent="0.25">
      <c r="A53" s="364" t="s">
        <v>140</v>
      </c>
      <c r="B53" s="365" t="s">
        <v>116</v>
      </c>
      <c r="C53" s="365" t="s">
        <v>139</v>
      </c>
      <c r="D53" s="360" t="s">
        <v>437</v>
      </c>
      <c r="E53" s="365"/>
      <c r="F53" s="255">
        <f>F54</f>
        <v>2557.5300000000002</v>
      </c>
    </row>
    <row r="54" spans="1:11" ht="78.75" x14ac:dyDescent="0.25">
      <c r="A54" s="364" t="s">
        <v>119</v>
      </c>
      <c r="B54" s="365" t="s">
        <v>116</v>
      </c>
      <c r="C54" s="365" t="s">
        <v>139</v>
      </c>
      <c r="D54" s="360" t="s">
        <v>437</v>
      </c>
      <c r="E54" s="365" t="s">
        <v>120</v>
      </c>
      <c r="F54" s="255">
        <f>F55</f>
        <v>2557.5300000000002</v>
      </c>
    </row>
    <row r="55" spans="1:11" ht="31.5" x14ac:dyDescent="0.25">
      <c r="A55" s="364" t="s">
        <v>121</v>
      </c>
      <c r="B55" s="365" t="s">
        <v>116</v>
      </c>
      <c r="C55" s="365" t="s">
        <v>139</v>
      </c>
      <c r="D55" s="360" t="s">
        <v>437</v>
      </c>
      <c r="E55" s="365" t="s">
        <v>122</v>
      </c>
      <c r="F55" s="255">
        <f>'Пр.4 ведом.22'!G62</f>
        <v>2557.5300000000002</v>
      </c>
    </row>
    <row r="56" spans="1:11" s="131" customFormat="1" ht="47.25" x14ac:dyDescent="0.25">
      <c r="A56" s="364" t="s">
        <v>416</v>
      </c>
      <c r="B56" s="360" t="s">
        <v>116</v>
      </c>
      <c r="C56" s="365" t="s">
        <v>139</v>
      </c>
      <c r="D56" s="360" t="s">
        <v>438</v>
      </c>
      <c r="E56" s="360"/>
      <c r="F56" s="21">
        <f>F57</f>
        <v>2064</v>
      </c>
      <c r="G56" s="363"/>
      <c r="H56" s="363"/>
      <c r="I56" s="363"/>
      <c r="J56" s="363"/>
      <c r="K56" s="363"/>
    </row>
    <row r="57" spans="1:11" s="131" customFormat="1" ht="78.75" x14ac:dyDescent="0.25">
      <c r="A57" s="364" t="s">
        <v>119</v>
      </c>
      <c r="B57" s="360" t="s">
        <v>116</v>
      </c>
      <c r="C57" s="365" t="s">
        <v>139</v>
      </c>
      <c r="D57" s="360" t="s">
        <v>438</v>
      </c>
      <c r="E57" s="360" t="s">
        <v>120</v>
      </c>
      <c r="F57" s="21">
        <f>F58</f>
        <v>2064</v>
      </c>
      <c r="G57" s="363"/>
      <c r="H57" s="363"/>
      <c r="I57" s="363"/>
      <c r="J57" s="363"/>
      <c r="K57" s="363"/>
    </row>
    <row r="58" spans="1:11" s="131" customFormat="1" ht="31.5" x14ac:dyDescent="0.25">
      <c r="A58" s="364" t="s">
        <v>121</v>
      </c>
      <c r="B58" s="360" t="s">
        <v>116</v>
      </c>
      <c r="C58" s="365" t="s">
        <v>139</v>
      </c>
      <c r="D58" s="360" t="s">
        <v>438</v>
      </c>
      <c r="E58" s="360" t="s">
        <v>122</v>
      </c>
      <c r="F58" s="21">
        <f>'Пр.4 ведом.22'!G65+'Пр.4 ведом.22'!G571</f>
        <v>2064</v>
      </c>
      <c r="G58" s="363"/>
      <c r="H58" s="363"/>
      <c r="I58" s="363"/>
      <c r="J58" s="363"/>
      <c r="K58" s="363"/>
    </row>
    <row r="59" spans="1:11" s="131" customFormat="1" ht="31.5" x14ac:dyDescent="0.25">
      <c r="A59" s="315" t="s">
        <v>460</v>
      </c>
      <c r="B59" s="7" t="s">
        <v>116</v>
      </c>
      <c r="C59" s="316" t="s">
        <v>139</v>
      </c>
      <c r="D59" s="7" t="s">
        <v>439</v>
      </c>
      <c r="E59" s="7"/>
      <c r="F59" s="310">
        <f>F66+F71+F76+F79</f>
        <v>3686.8</v>
      </c>
      <c r="G59" s="363"/>
      <c r="H59" s="363"/>
      <c r="I59" s="363"/>
      <c r="J59" s="363"/>
      <c r="K59" s="363"/>
    </row>
    <row r="60" spans="1:11" s="131" customFormat="1" ht="47.25" hidden="1" x14ac:dyDescent="0.25">
      <c r="A60" s="364" t="s">
        <v>149</v>
      </c>
      <c r="B60" s="360" t="s">
        <v>116</v>
      </c>
      <c r="C60" s="365" t="s">
        <v>139</v>
      </c>
      <c r="D60" s="360" t="s">
        <v>628</v>
      </c>
      <c r="E60" s="7"/>
      <c r="F60" s="10">
        <f>F61</f>
        <v>0</v>
      </c>
      <c r="G60" s="363"/>
      <c r="H60" s="363"/>
      <c r="I60" s="363"/>
      <c r="J60" s="363"/>
      <c r="K60" s="363"/>
    </row>
    <row r="61" spans="1:11" s="131" customFormat="1" ht="31.5" hidden="1" x14ac:dyDescent="0.25">
      <c r="A61" s="364" t="s">
        <v>123</v>
      </c>
      <c r="B61" s="360" t="s">
        <v>116</v>
      </c>
      <c r="C61" s="365" t="s">
        <v>139</v>
      </c>
      <c r="D61" s="360" t="s">
        <v>628</v>
      </c>
      <c r="E61" s="360" t="s">
        <v>124</v>
      </c>
      <c r="F61" s="10">
        <f t="shared" ref="F61" si="10">F62</f>
        <v>0</v>
      </c>
      <c r="G61" s="363"/>
      <c r="H61" s="363"/>
      <c r="I61" s="363"/>
      <c r="J61" s="363"/>
      <c r="K61" s="363"/>
    </row>
    <row r="62" spans="1:11" s="131" customFormat="1" ht="31.5" hidden="1" x14ac:dyDescent="0.25">
      <c r="A62" s="364" t="s">
        <v>125</v>
      </c>
      <c r="B62" s="360" t="s">
        <v>116</v>
      </c>
      <c r="C62" s="365" t="s">
        <v>139</v>
      </c>
      <c r="D62" s="360" t="s">
        <v>628</v>
      </c>
      <c r="E62" s="360" t="s">
        <v>126</v>
      </c>
      <c r="F62" s="10">
        <f>'Пр.4 ведом.22'!G69</f>
        <v>0</v>
      </c>
      <c r="G62" s="154">
        <f>F62+F63+F66+F79+F71+F76+F302+F970+F976</f>
        <v>7554.1</v>
      </c>
      <c r="H62" s="363"/>
      <c r="I62" s="363"/>
      <c r="J62" s="363"/>
      <c r="K62" s="363"/>
    </row>
    <row r="63" spans="1:11" s="131" customFormat="1" ht="47.25" hidden="1" x14ac:dyDescent="0.25">
      <c r="A63" s="24" t="s">
        <v>724</v>
      </c>
      <c r="B63" s="365" t="s">
        <v>116</v>
      </c>
      <c r="C63" s="365" t="s">
        <v>139</v>
      </c>
      <c r="D63" s="365" t="s">
        <v>723</v>
      </c>
      <c r="E63" s="365"/>
      <c r="F63" s="318">
        <f>F64</f>
        <v>0</v>
      </c>
      <c r="G63" s="363"/>
      <c r="H63" s="363"/>
      <c r="I63" s="363"/>
      <c r="J63" s="363"/>
      <c r="K63" s="363"/>
    </row>
    <row r="64" spans="1:11" s="131" customFormat="1" ht="31.5" hidden="1" x14ac:dyDescent="0.25">
      <c r="A64" s="22" t="s">
        <v>123</v>
      </c>
      <c r="B64" s="365" t="s">
        <v>116</v>
      </c>
      <c r="C64" s="365" t="s">
        <v>139</v>
      </c>
      <c r="D64" s="365" t="s">
        <v>723</v>
      </c>
      <c r="E64" s="365" t="s">
        <v>124</v>
      </c>
      <c r="F64" s="318">
        <f>F65</f>
        <v>0</v>
      </c>
      <c r="G64" s="363"/>
      <c r="H64" s="363"/>
      <c r="I64" s="363"/>
      <c r="J64" s="363"/>
      <c r="K64" s="363"/>
    </row>
    <row r="65" spans="1:11" s="131" customFormat="1" ht="31.5" hidden="1" x14ac:dyDescent="0.25">
      <c r="A65" s="22" t="s">
        <v>125</v>
      </c>
      <c r="B65" s="365" t="s">
        <v>116</v>
      </c>
      <c r="C65" s="365" t="s">
        <v>139</v>
      </c>
      <c r="D65" s="365" t="s">
        <v>723</v>
      </c>
      <c r="E65" s="365" t="s">
        <v>126</v>
      </c>
      <c r="F65" s="318"/>
      <c r="G65" s="363"/>
      <c r="H65" s="363"/>
      <c r="I65" s="363"/>
      <c r="J65" s="363"/>
      <c r="K65" s="363"/>
    </row>
    <row r="66" spans="1:11" s="131" customFormat="1" ht="47.25" x14ac:dyDescent="0.25">
      <c r="A66" s="31" t="s">
        <v>150</v>
      </c>
      <c r="B66" s="360" t="s">
        <v>116</v>
      </c>
      <c r="C66" s="365" t="s">
        <v>139</v>
      </c>
      <c r="D66" s="360" t="s">
        <v>491</v>
      </c>
      <c r="E66" s="360"/>
      <c r="F66" s="311">
        <f>F67+F69</f>
        <v>671</v>
      </c>
      <c r="G66" s="363"/>
      <c r="H66" s="363"/>
      <c r="I66" s="363"/>
      <c r="J66" s="363"/>
      <c r="K66" s="363"/>
    </row>
    <row r="67" spans="1:11" s="131" customFormat="1" ht="78.75" x14ac:dyDescent="0.25">
      <c r="A67" s="22" t="s">
        <v>119</v>
      </c>
      <c r="B67" s="360" t="s">
        <v>116</v>
      </c>
      <c r="C67" s="365" t="s">
        <v>139</v>
      </c>
      <c r="D67" s="360" t="s">
        <v>491</v>
      </c>
      <c r="E67" s="360" t="s">
        <v>120</v>
      </c>
      <c r="F67" s="311">
        <f t="shared" ref="F67" si="11">F68</f>
        <v>671</v>
      </c>
      <c r="G67" s="363"/>
      <c r="H67" s="363"/>
      <c r="I67" s="363"/>
      <c r="J67" s="363"/>
      <c r="K67" s="363"/>
    </row>
    <row r="68" spans="1:11" s="131" customFormat="1" ht="31.5" x14ac:dyDescent="0.25">
      <c r="A68" s="22" t="s">
        <v>121</v>
      </c>
      <c r="B68" s="360" t="s">
        <v>116</v>
      </c>
      <c r="C68" s="365" t="s">
        <v>139</v>
      </c>
      <c r="D68" s="360" t="s">
        <v>491</v>
      </c>
      <c r="E68" s="360" t="s">
        <v>122</v>
      </c>
      <c r="F68" s="311">
        <f>'Пр.4 ведом.22'!G72</f>
        <v>671</v>
      </c>
      <c r="G68" s="363"/>
      <c r="H68" s="363"/>
      <c r="I68" s="363"/>
      <c r="J68" s="363"/>
      <c r="K68" s="363"/>
    </row>
    <row r="69" spans="1:11" s="131" customFormat="1" ht="31.5" hidden="1" x14ac:dyDescent="0.25">
      <c r="A69" s="364" t="s">
        <v>123</v>
      </c>
      <c r="B69" s="360" t="s">
        <v>116</v>
      </c>
      <c r="C69" s="365" t="s">
        <v>139</v>
      </c>
      <c r="D69" s="360" t="s">
        <v>491</v>
      </c>
      <c r="E69" s="360" t="s">
        <v>124</v>
      </c>
      <c r="F69" s="311">
        <f>F70</f>
        <v>0</v>
      </c>
      <c r="G69" s="363"/>
      <c r="H69" s="363"/>
      <c r="I69" s="363"/>
      <c r="J69" s="363"/>
      <c r="K69" s="363"/>
    </row>
    <row r="70" spans="1:11" s="131" customFormat="1" ht="31.5" hidden="1" x14ac:dyDescent="0.25">
      <c r="A70" s="364" t="s">
        <v>125</v>
      </c>
      <c r="B70" s="360" t="s">
        <v>116</v>
      </c>
      <c r="C70" s="365" t="s">
        <v>139</v>
      </c>
      <c r="D70" s="360" t="s">
        <v>491</v>
      </c>
      <c r="E70" s="360" t="s">
        <v>126</v>
      </c>
      <c r="F70" s="311">
        <f>'Пр.4 ведом.22'!G74</f>
        <v>0</v>
      </c>
      <c r="G70" s="363"/>
      <c r="H70" s="363"/>
      <c r="I70" s="363"/>
      <c r="J70" s="363"/>
      <c r="K70" s="363"/>
    </row>
    <row r="71" spans="1:11" ht="47.25" x14ac:dyDescent="0.25">
      <c r="A71" s="31" t="s">
        <v>152</v>
      </c>
      <c r="B71" s="360" t="s">
        <v>116</v>
      </c>
      <c r="C71" s="365" t="s">
        <v>139</v>
      </c>
      <c r="D71" s="360" t="s">
        <v>492</v>
      </c>
      <c r="E71" s="360"/>
      <c r="F71" s="311">
        <f t="shared" ref="F71" si="12">F72+F74</f>
        <v>1420.8</v>
      </c>
    </row>
    <row r="72" spans="1:11" ht="81.75" customHeight="1" x14ac:dyDescent="0.25">
      <c r="A72" s="22" t="s">
        <v>119</v>
      </c>
      <c r="B72" s="360" t="s">
        <v>116</v>
      </c>
      <c r="C72" s="365" t="s">
        <v>139</v>
      </c>
      <c r="D72" s="360" t="s">
        <v>492</v>
      </c>
      <c r="E72" s="360" t="s">
        <v>120</v>
      </c>
      <c r="F72" s="311">
        <f t="shared" ref="F72" si="13">F73</f>
        <v>1336.6</v>
      </c>
    </row>
    <row r="73" spans="1:11" ht="36" customHeight="1" x14ac:dyDescent="0.25">
      <c r="A73" s="22" t="s">
        <v>121</v>
      </c>
      <c r="B73" s="360" t="s">
        <v>116</v>
      </c>
      <c r="C73" s="365" t="s">
        <v>139</v>
      </c>
      <c r="D73" s="360" t="s">
        <v>492</v>
      </c>
      <c r="E73" s="360" t="s">
        <v>122</v>
      </c>
      <c r="F73" s="311">
        <f>'Пр.4 ведом.22'!G77</f>
        <v>1336.6</v>
      </c>
    </row>
    <row r="74" spans="1:11" ht="31.5" x14ac:dyDescent="0.25">
      <c r="A74" s="22" t="s">
        <v>123</v>
      </c>
      <c r="B74" s="360" t="s">
        <v>116</v>
      </c>
      <c r="C74" s="365" t="s">
        <v>139</v>
      </c>
      <c r="D74" s="360" t="s">
        <v>492</v>
      </c>
      <c r="E74" s="360" t="s">
        <v>124</v>
      </c>
      <c r="F74" s="311">
        <f t="shared" ref="F74" si="14">F75</f>
        <v>84.2</v>
      </c>
    </row>
    <row r="75" spans="1:11" ht="31.5" x14ac:dyDescent="0.25">
      <c r="A75" s="22" t="s">
        <v>125</v>
      </c>
      <c r="B75" s="360" t="s">
        <v>116</v>
      </c>
      <c r="C75" s="365" t="s">
        <v>139</v>
      </c>
      <c r="D75" s="360" t="s">
        <v>492</v>
      </c>
      <c r="E75" s="360" t="s">
        <v>126</v>
      </c>
      <c r="F75" s="311">
        <f>'Пр.4 ведом.22'!G79</f>
        <v>84.2</v>
      </c>
    </row>
    <row r="76" spans="1:11" s="131" customFormat="1" ht="94.5" x14ac:dyDescent="0.25">
      <c r="A76" s="24" t="s">
        <v>719</v>
      </c>
      <c r="B76" s="365" t="s">
        <v>116</v>
      </c>
      <c r="C76" s="365" t="s">
        <v>139</v>
      </c>
      <c r="D76" s="365" t="s">
        <v>718</v>
      </c>
      <c r="E76" s="365"/>
      <c r="F76" s="318">
        <f>F77</f>
        <v>16.600000000000001</v>
      </c>
      <c r="G76" s="363"/>
      <c r="H76" s="363"/>
      <c r="I76" s="363"/>
      <c r="J76" s="363"/>
      <c r="K76" s="363"/>
    </row>
    <row r="77" spans="1:11" s="131" customFormat="1" ht="78.75" x14ac:dyDescent="0.25">
      <c r="A77" s="364" t="s">
        <v>119</v>
      </c>
      <c r="B77" s="365" t="s">
        <v>116</v>
      </c>
      <c r="C77" s="365" t="s">
        <v>139</v>
      </c>
      <c r="D77" s="365" t="s">
        <v>718</v>
      </c>
      <c r="E77" s="365" t="s">
        <v>120</v>
      </c>
      <c r="F77" s="318">
        <f>F78</f>
        <v>16.600000000000001</v>
      </c>
      <c r="G77" s="363"/>
      <c r="H77" s="363"/>
      <c r="I77" s="363"/>
      <c r="J77" s="363"/>
      <c r="K77" s="363"/>
    </row>
    <row r="78" spans="1:11" s="131" customFormat="1" ht="31.5" x14ac:dyDescent="0.25">
      <c r="A78" s="364" t="s">
        <v>121</v>
      </c>
      <c r="B78" s="365" t="s">
        <v>116</v>
      </c>
      <c r="C78" s="365" t="s">
        <v>139</v>
      </c>
      <c r="D78" s="365" t="s">
        <v>718</v>
      </c>
      <c r="E78" s="365" t="s">
        <v>122</v>
      </c>
      <c r="F78" s="318">
        <f>'Пр.4 ведом.22'!G575</f>
        <v>16.600000000000001</v>
      </c>
      <c r="G78" s="363"/>
      <c r="H78" s="363"/>
      <c r="I78" s="363"/>
      <c r="J78" s="363"/>
      <c r="K78" s="363"/>
    </row>
    <row r="79" spans="1:11" s="362" customFormat="1" ht="47.25" x14ac:dyDescent="0.25">
      <c r="A79" s="364" t="s">
        <v>1147</v>
      </c>
      <c r="B79" s="360" t="s">
        <v>116</v>
      </c>
      <c r="C79" s="365" t="s">
        <v>139</v>
      </c>
      <c r="D79" s="360" t="s">
        <v>1152</v>
      </c>
      <c r="E79" s="360"/>
      <c r="F79" s="311">
        <f>F80+F82</f>
        <v>1578.4</v>
      </c>
      <c r="G79" s="363"/>
      <c r="H79" s="363"/>
      <c r="I79" s="363"/>
      <c r="J79" s="363"/>
      <c r="K79" s="363"/>
    </row>
    <row r="80" spans="1:11" s="362" customFormat="1" ht="78.75" x14ac:dyDescent="0.25">
      <c r="A80" s="22" t="s">
        <v>119</v>
      </c>
      <c r="B80" s="360" t="s">
        <v>116</v>
      </c>
      <c r="C80" s="365" t="s">
        <v>139</v>
      </c>
      <c r="D80" s="360" t="s">
        <v>1152</v>
      </c>
      <c r="E80" s="360" t="s">
        <v>120</v>
      </c>
      <c r="F80" s="311">
        <f t="shared" ref="F80" si="15">F81</f>
        <v>1500.6000000000001</v>
      </c>
      <c r="G80" s="363"/>
      <c r="H80" s="363"/>
      <c r="I80" s="363"/>
      <c r="J80" s="363"/>
      <c r="K80" s="363"/>
    </row>
    <row r="81" spans="1:11" s="362" customFormat="1" ht="31.5" x14ac:dyDescent="0.25">
      <c r="A81" s="22" t="s">
        <v>121</v>
      </c>
      <c r="B81" s="360" t="s">
        <v>116</v>
      </c>
      <c r="C81" s="365" t="s">
        <v>139</v>
      </c>
      <c r="D81" s="360" t="s">
        <v>1152</v>
      </c>
      <c r="E81" s="360" t="s">
        <v>122</v>
      </c>
      <c r="F81" s="311">
        <f>'Пр.4 ведом.22'!G82</f>
        <v>1500.6000000000001</v>
      </c>
      <c r="G81" s="363"/>
      <c r="H81" s="363"/>
      <c r="I81" s="363"/>
      <c r="J81" s="363"/>
      <c r="K81" s="363"/>
    </row>
    <row r="82" spans="1:11" s="362" customFormat="1" ht="31.5" x14ac:dyDescent="0.25">
      <c r="A82" s="364" t="s">
        <v>123</v>
      </c>
      <c r="B82" s="360" t="s">
        <v>116</v>
      </c>
      <c r="C82" s="365" t="s">
        <v>139</v>
      </c>
      <c r="D82" s="360" t="s">
        <v>1152</v>
      </c>
      <c r="E82" s="360" t="s">
        <v>124</v>
      </c>
      <c r="F82" s="311">
        <f>F83</f>
        <v>77.8</v>
      </c>
      <c r="G82" s="363"/>
      <c r="H82" s="363"/>
      <c r="I82" s="363"/>
      <c r="J82" s="363"/>
      <c r="K82" s="363"/>
    </row>
    <row r="83" spans="1:11" s="362" customFormat="1" ht="31.5" x14ac:dyDescent="0.25">
      <c r="A83" s="364" t="s">
        <v>125</v>
      </c>
      <c r="B83" s="360" t="s">
        <v>116</v>
      </c>
      <c r="C83" s="365" t="s">
        <v>139</v>
      </c>
      <c r="D83" s="360" t="s">
        <v>1152</v>
      </c>
      <c r="E83" s="360" t="s">
        <v>126</v>
      </c>
      <c r="F83" s="311">
        <f>'Пр.4 ведом.22'!G84</f>
        <v>77.8</v>
      </c>
      <c r="G83" s="363"/>
      <c r="H83" s="363"/>
      <c r="I83" s="363"/>
      <c r="J83" s="363"/>
      <c r="K83" s="363"/>
    </row>
    <row r="84" spans="1:11" s="131" customFormat="1" ht="47.25" x14ac:dyDescent="0.25">
      <c r="A84" s="315" t="s">
        <v>841</v>
      </c>
      <c r="B84" s="316" t="s">
        <v>116</v>
      </c>
      <c r="C84" s="316" t="s">
        <v>139</v>
      </c>
      <c r="D84" s="316" t="s">
        <v>143</v>
      </c>
      <c r="E84" s="316"/>
      <c r="F84" s="310">
        <f>F85+F89+F98</f>
        <v>603.5</v>
      </c>
      <c r="G84" s="363"/>
      <c r="H84" s="363"/>
      <c r="I84" s="363"/>
      <c r="J84" s="363"/>
      <c r="K84" s="363"/>
    </row>
    <row r="85" spans="1:11" s="131" customFormat="1" ht="63" x14ac:dyDescent="0.25">
      <c r="A85" s="202" t="s">
        <v>842</v>
      </c>
      <c r="B85" s="316" t="s">
        <v>116</v>
      </c>
      <c r="C85" s="316" t="s">
        <v>139</v>
      </c>
      <c r="D85" s="7" t="s">
        <v>425</v>
      </c>
      <c r="E85" s="316"/>
      <c r="F85" s="310">
        <f>F86</f>
        <v>526</v>
      </c>
      <c r="G85" s="363"/>
      <c r="H85" s="363"/>
      <c r="I85" s="363"/>
      <c r="J85" s="363"/>
      <c r="K85" s="363"/>
    </row>
    <row r="86" spans="1:11" s="131" customFormat="1" ht="47.25" x14ac:dyDescent="0.25">
      <c r="A86" s="22" t="s">
        <v>820</v>
      </c>
      <c r="B86" s="365" t="s">
        <v>116</v>
      </c>
      <c r="C86" s="365" t="s">
        <v>139</v>
      </c>
      <c r="D86" s="360" t="s">
        <v>418</v>
      </c>
      <c r="E86" s="365"/>
      <c r="F86" s="311">
        <f>F87</f>
        <v>526</v>
      </c>
      <c r="G86" s="363"/>
      <c r="H86" s="363"/>
      <c r="I86" s="363"/>
      <c r="J86" s="363"/>
      <c r="K86" s="363"/>
    </row>
    <row r="87" spans="1:11" s="131" customFormat="1" ht="31.5" x14ac:dyDescent="0.25">
      <c r="A87" s="364" t="s">
        <v>123</v>
      </c>
      <c r="B87" s="365" t="s">
        <v>116</v>
      </c>
      <c r="C87" s="365" t="s">
        <v>139</v>
      </c>
      <c r="D87" s="360" t="s">
        <v>418</v>
      </c>
      <c r="E87" s="365" t="s">
        <v>124</v>
      </c>
      <c r="F87" s="311">
        <f>F88</f>
        <v>526</v>
      </c>
      <c r="G87" s="363"/>
      <c r="H87" s="363"/>
      <c r="I87" s="363"/>
      <c r="J87" s="363"/>
      <c r="K87" s="363"/>
    </row>
    <row r="88" spans="1:11" s="131" customFormat="1" ht="31.5" x14ac:dyDescent="0.25">
      <c r="A88" s="364" t="s">
        <v>125</v>
      </c>
      <c r="B88" s="365" t="s">
        <v>116</v>
      </c>
      <c r="C88" s="365" t="s">
        <v>139</v>
      </c>
      <c r="D88" s="360" t="s">
        <v>418</v>
      </c>
      <c r="E88" s="365" t="s">
        <v>126</v>
      </c>
      <c r="F88" s="311">
        <f>'Пр.4 ведом.22'!G89</f>
        <v>526</v>
      </c>
      <c r="G88" s="363"/>
      <c r="H88" s="363"/>
      <c r="I88" s="363"/>
      <c r="J88" s="363"/>
      <c r="K88" s="363"/>
    </row>
    <row r="89" spans="1:11" s="131" customFormat="1" ht="63" x14ac:dyDescent="0.25">
      <c r="A89" s="146" t="s">
        <v>420</v>
      </c>
      <c r="B89" s="316" t="s">
        <v>116</v>
      </c>
      <c r="C89" s="316" t="s">
        <v>139</v>
      </c>
      <c r="D89" s="7" t="s">
        <v>426</v>
      </c>
      <c r="E89" s="316"/>
      <c r="F89" s="310">
        <f>F90+F95</f>
        <v>77</v>
      </c>
      <c r="G89" s="363"/>
      <c r="H89" s="363"/>
      <c r="I89" s="363"/>
      <c r="J89" s="363"/>
      <c r="K89" s="363"/>
    </row>
    <row r="90" spans="1:11" s="131" customFormat="1" ht="47.25" x14ac:dyDescent="0.25">
      <c r="A90" s="103" t="s">
        <v>144</v>
      </c>
      <c r="B90" s="365" t="s">
        <v>116</v>
      </c>
      <c r="C90" s="365" t="s">
        <v>139</v>
      </c>
      <c r="D90" s="360" t="s">
        <v>419</v>
      </c>
      <c r="E90" s="365"/>
      <c r="F90" s="311">
        <f>F91+F93</f>
        <v>77</v>
      </c>
      <c r="G90" s="363"/>
      <c r="H90" s="363"/>
      <c r="I90" s="363"/>
      <c r="J90" s="363"/>
      <c r="K90" s="363"/>
    </row>
    <row r="91" spans="1:11" s="131" customFormat="1" ht="78.75" x14ac:dyDescent="0.25">
      <c r="A91" s="364" t="s">
        <v>119</v>
      </c>
      <c r="B91" s="365" t="s">
        <v>116</v>
      </c>
      <c r="C91" s="365" t="s">
        <v>139</v>
      </c>
      <c r="D91" s="360" t="s">
        <v>419</v>
      </c>
      <c r="E91" s="365" t="s">
        <v>120</v>
      </c>
      <c r="F91" s="311">
        <f>F92</f>
        <v>37.200000000000003</v>
      </c>
      <c r="G91" s="363"/>
      <c r="H91" s="363"/>
      <c r="I91" s="363"/>
      <c r="J91" s="363"/>
      <c r="K91" s="363"/>
    </row>
    <row r="92" spans="1:11" s="131" customFormat="1" ht="31.5" x14ac:dyDescent="0.25">
      <c r="A92" s="364" t="s">
        <v>121</v>
      </c>
      <c r="B92" s="365" t="s">
        <v>116</v>
      </c>
      <c r="C92" s="365" t="s">
        <v>139</v>
      </c>
      <c r="D92" s="360" t="s">
        <v>419</v>
      </c>
      <c r="E92" s="365" t="s">
        <v>122</v>
      </c>
      <c r="F92" s="311">
        <f>'Пр.4 ведом.22'!G93</f>
        <v>37.200000000000003</v>
      </c>
      <c r="G92" s="363"/>
      <c r="H92" s="363"/>
      <c r="I92" s="363"/>
      <c r="J92" s="363"/>
      <c r="K92" s="363"/>
    </row>
    <row r="93" spans="1:11" s="131" customFormat="1" ht="31.5" x14ac:dyDescent="0.25">
      <c r="A93" s="364" t="s">
        <v>123</v>
      </c>
      <c r="B93" s="365" t="s">
        <v>116</v>
      </c>
      <c r="C93" s="365" t="s">
        <v>139</v>
      </c>
      <c r="D93" s="360" t="s">
        <v>419</v>
      </c>
      <c r="E93" s="365" t="s">
        <v>124</v>
      </c>
      <c r="F93" s="311">
        <f>F94</f>
        <v>39.799999999999997</v>
      </c>
      <c r="G93" s="363"/>
      <c r="H93" s="363"/>
      <c r="I93" s="363"/>
      <c r="J93" s="363"/>
      <c r="K93" s="363"/>
    </row>
    <row r="94" spans="1:11" s="131" customFormat="1" ht="31.5" x14ac:dyDescent="0.25">
      <c r="A94" s="364" t="s">
        <v>125</v>
      </c>
      <c r="B94" s="365" t="s">
        <v>116</v>
      </c>
      <c r="C94" s="365" t="s">
        <v>139</v>
      </c>
      <c r="D94" s="360" t="s">
        <v>419</v>
      </c>
      <c r="E94" s="365" t="s">
        <v>126</v>
      </c>
      <c r="F94" s="311">
        <f>'Пр.4 ведом.22'!G95</f>
        <v>39.799999999999997</v>
      </c>
      <c r="G94" s="363"/>
      <c r="H94" s="363"/>
      <c r="I94" s="363"/>
      <c r="J94" s="363"/>
      <c r="K94" s="363"/>
    </row>
    <row r="95" spans="1:11" s="131" customFormat="1" ht="47.25" hidden="1" x14ac:dyDescent="0.25">
      <c r="A95" s="24" t="s">
        <v>648</v>
      </c>
      <c r="B95" s="365" t="s">
        <v>116</v>
      </c>
      <c r="C95" s="365" t="s">
        <v>139</v>
      </c>
      <c r="D95" s="360" t="s">
        <v>556</v>
      </c>
      <c r="E95" s="365"/>
      <c r="F95" s="318">
        <f>F96</f>
        <v>0</v>
      </c>
      <c r="G95" s="363"/>
      <c r="H95" s="363"/>
      <c r="I95" s="363"/>
      <c r="J95" s="363"/>
      <c r="K95" s="363"/>
    </row>
    <row r="96" spans="1:11" s="131" customFormat="1" ht="31.5" hidden="1" x14ac:dyDescent="0.25">
      <c r="A96" s="364" t="s">
        <v>123</v>
      </c>
      <c r="B96" s="365" t="s">
        <v>116</v>
      </c>
      <c r="C96" s="365" t="s">
        <v>139</v>
      </c>
      <c r="D96" s="360" t="s">
        <v>556</v>
      </c>
      <c r="E96" s="365" t="s">
        <v>124</v>
      </c>
      <c r="F96" s="318">
        <f>F97</f>
        <v>0</v>
      </c>
      <c r="G96" s="363"/>
      <c r="H96" s="363"/>
      <c r="I96" s="363"/>
      <c r="J96" s="363"/>
      <c r="K96" s="363"/>
    </row>
    <row r="97" spans="1:11" s="131" customFormat="1" ht="31.5" hidden="1" x14ac:dyDescent="0.25">
      <c r="A97" s="364" t="s">
        <v>125</v>
      </c>
      <c r="B97" s="365" t="s">
        <v>116</v>
      </c>
      <c r="C97" s="365" t="s">
        <v>139</v>
      </c>
      <c r="D97" s="360" t="s">
        <v>556</v>
      </c>
      <c r="E97" s="365" t="s">
        <v>126</v>
      </c>
      <c r="F97" s="318"/>
      <c r="G97" s="363"/>
      <c r="H97" s="363"/>
      <c r="I97" s="363"/>
      <c r="J97" s="363"/>
      <c r="K97" s="363"/>
    </row>
    <row r="98" spans="1:11" s="131" customFormat="1" ht="63" x14ac:dyDescent="0.25">
      <c r="A98" s="147" t="s">
        <v>566</v>
      </c>
      <c r="B98" s="316" t="s">
        <v>116</v>
      </c>
      <c r="C98" s="316" t="s">
        <v>139</v>
      </c>
      <c r="D98" s="7" t="s">
        <v>427</v>
      </c>
      <c r="E98" s="316"/>
      <c r="F98" s="310">
        <f>F99</f>
        <v>0.5</v>
      </c>
      <c r="G98" s="363"/>
      <c r="H98" s="363"/>
      <c r="I98" s="363"/>
      <c r="J98" s="363"/>
      <c r="K98" s="363"/>
    </row>
    <row r="99" spans="1:11" s="131" customFormat="1" ht="47.25" x14ac:dyDescent="0.25">
      <c r="A99" s="25" t="s">
        <v>151</v>
      </c>
      <c r="B99" s="365" t="s">
        <v>116</v>
      </c>
      <c r="C99" s="365" t="s">
        <v>139</v>
      </c>
      <c r="D99" s="360" t="s">
        <v>421</v>
      </c>
      <c r="E99" s="365"/>
      <c r="F99" s="311">
        <f>F100</f>
        <v>0.5</v>
      </c>
      <c r="G99" s="363"/>
      <c r="H99" s="363"/>
      <c r="I99" s="363"/>
      <c r="J99" s="363"/>
      <c r="K99" s="363"/>
    </row>
    <row r="100" spans="1:11" s="131" customFormat="1" ht="31.5" x14ac:dyDescent="0.25">
      <c r="A100" s="364" t="s">
        <v>123</v>
      </c>
      <c r="B100" s="365" t="s">
        <v>116</v>
      </c>
      <c r="C100" s="365" t="s">
        <v>139</v>
      </c>
      <c r="D100" s="360" t="s">
        <v>421</v>
      </c>
      <c r="E100" s="365" t="s">
        <v>124</v>
      </c>
      <c r="F100" s="311">
        <f>F101</f>
        <v>0.5</v>
      </c>
      <c r="G100" s="363"/>
      <c r="H100" s="363"/>
      <c r="I100" s="363"/>
      <c r="J100" s="363"/>
      <c r="K100" s="363"/>
    </row>
    <row r="101" spans="1:11" s="131" customFormat="1" ht="31.5" x14ac:dyDescent="0.25">
      <c r="A101" s="364" t="s">
        <v>125</v>
      </c>
      <c r="B101" s="365" t="s">
        <v>116</v>
      </c>
      <c r="C101" s="365" t="s">
        <v>139</v>
      </c>
      <c r="D101" s="360" t="s">
        <v>421</v>
      </c>
      <c r="E101" s="365" t="s">
        <v>126</v>
      </c>
      <c r="F101" s="311">
        <f>'Пр.4 ведом.22'!G102</f>
        <v>0.5</v>
      </c>
      <c r="G101" s="363"/>
      <c r="H101" s="363"/>
      <c r="I101" s="363"/>
      <c r="J101" s="363"/>
      <c r="K101" s="363"/>
    </row>
    <row r="102" spans="1:11" ht="47.25" x14ac:dyDescent="0.25">
      <c r="A102" s="359" t="s">
        <v>117</v>
      </c>
      <c r="B102" s="7" t="s">
        <v>116</v>
      </c>
      <c r="C102" s="7" t="s">
        <v>118</v>
      </c>
      <c r="D102" s="7"/>
      <c r="E102" s="7"/>
      <c r="F102" s="310">
        <f t="shared" ref="F102" si="16">F103</f>
        <v>18393.170000000002</v>
      </c>
    </row>
    <row r="103" spans="1:11" ht="34.9" customHeight="1" x14ac:dyDescent="0.25">
      <c r="A103" s="315" t="s">
        <v>488</v>
      </c>
      <c r="B103" s="7" t="s">
        <v>116</v>
      </c>
      <c r="C103" s="7" t="s">
        <v>118</v>
      </c>
      <c r="D103" s="7" t="s">
        <v>434</v>
      </c>
      <c r="E103" s="7"/>
      <c r="F103" s="310">
        <f>F104+F115</f>
        <v>18393.170000000002</v>
      </c>
    </row>
    <row r="104" spans="1:11" ht="15.75" x14ac:dyDescent="0.25">
      <c r="A104" s="315" t="s">
        <v>489</v>
      </c>
      <c r="B104" s="7" t="s">
        <v>116</v>
      </c>
      <c r="C104" s="7" t="s">
        <v>118</v>
      </c>
      <c r="D104" s="7" t="s">
        <v>435</v>
      </c>
      <c r="E104" s="7"/>
      <c r="F104" s="310">
        <f>F105+F112</f>
        <v>15543.2</v>
      </c>
    </row>
    <row r="105" spans="1:11" ht="37.5" customHeight="1" x14ac:dyDescent="0.25">
      <c r="A105" s="22" t="s">
        <v>468</v>
      </c>
      <c r="B105" s="360" t="s">
        <v>116</v>
      </c>
      <c r="C105" s="360" t="s">
        <v>118</v>
      </c>
      <c r="D105" s="360" t="s">
        <v>436</v>
      </c>
      <c r="E105" s="360"/>
      <c r="F105" s="311">
        <f t="shared" ref="F105" si="17">F106+F108+F110</f>
        <v>15093.2</v>
      </c>
    </row>
    <row r="106" spans="1:11" ht="78.75" x14ac:dyDescent="0.25">
      <c r="A106" s="22" t="s">
        <v>119</v>
      </c>
      <c r="B106" s="360" t="s">
        <v>116</v>
      </c>
      <c r="C106" s="360" t="s">
        <v>118</v>
      </c>
      <c r="D106" s="360" t="s">
        <v>436</v>
      </c>
      <c r="E106" s="360" t="s">
        <v>120</v>
      </c>
      <c r="F106" s="311">
        <f t="shared" ref="F106" si="18">F107</f>
        <v>13914.7</v>
      </c>
    </row>
    <row r="107" spans="1:11" ht="31.5" x14ac:dyDescent="0.25">
      <c r="A107" s="22" t="s">
        <v>121</v>
      </c>
      <c r="B107" s="360" t="s">
        <v>116</v>
      </c>
      <c r="C107" s="360" t="s">
        <v>118</v>
      </c>
      <c r="D107" s="360" t="s">
        <v>436</v>
      </c>
      <c r="E107" s="360" t="s">
        <v>122</v>
      </c>
      <c r="F107" s="255">
        <f>'Пр.4 ведом.22'!G16+'Пр.4 ведом.22'!G108</f>
        <v>13914.7</v>
      </c>
    </row>
    <row r="108" spans="1:11" ht="31.5" x14ac:dyDescent="0.25">
      <c r="A108" s="22" t="s">
        <v>123</v>
      </c>
      <c r="B108" s="360" t="s">
        <v>116</v>
      </c>
      <c r="C108" s="360" t="s">
        <v>118</v>
      </c>
      <c r="D108" s="360" t="s">
        <v>436</v>
      </c>
      <c r="E108" s="360" t="s">
        <v>124</v>
      </c>
      <c r="F108" s="311">
        <f t="shared" ref="F108" si="19">F109</f>
        <v>1150.5</v>
      </c>
    </row>
    <row r="109" spans="1:11" ht="31.5" x14ac:dyDescent="0.25">
      <c r="A109" s="22" t="s">
        <v>125</v>
      </c>
      <c r="B109" s="360" t="s">
        <v>116</v>
      </c>
      <c r="C109" s="360" t="s">
        <v>118</v>
      </c>
      <c r="D109" s="360" t="s">
        <v>436</v>
      </c>
      <c r="E109" s="360" t="s">
        <v>126</v>
      </c>
      <c r="F109" s="311">
        <f>'Пр.4 ведом.22'!G18</f>
        <v>1150.5</v>
      </c>
    </row>
    <row r="110" spans="1:11" ht="15.75" x14ac:dyDescent="0.25">
      <c r="A110" s="22" t="s">
        <v>127</v>
      </c>
      <c r="B110" s="360" t="s">
        <v>116</v>
      </c>
      <c r="C110" s="360" t="s">
        <v>118</v>
      </c>
      <c r="D110" s="360" t="s">
        <v>436</v>
      </c>
      <c r="E110" s="360" t="s">
        <v>134</v>
      </c>
      <c r="F110" s="311">
        <f t="shared" ref="F110" si="20">F111</f>
        <v>28</v>
      </c>
    </row>
    <row r="111" spans="1:11" ht="15.75" x14ac:dyDescent="0.25">
      <c r="A111" s="22" t="s">
        <v>280</v>
      </c>
      <c r="B111" s="360" t="s">
        <v>116</v>
      </c>
      <c r="C111" s="360" t="s">
        <v>118</v>
      </c>
      <c r="D111" s="360" t="s">
        <v>436</v>
      </c>
      <c r="E111" s="360" t="s">
        <v>130</v>
      </c>
      <c r="F111" s="311">
        <f>'Пр.4 ведом.22'!G20</f>
        <v>28</v>
      </c>
    </row>
    <row r="112" spans="1:11" s="131" customFormat="1" ht="54" customHeight="1" x14ac:dyDescent="0.25">
      <c r="A112" s="364" t="s">
        <v>416</v>
      </c>
      <c r="B112" s="365" t="s">
        <v>116</v>
      </c>
      <c r="C112" s="365" t="s">
        <v>118</v>
      </c>
      <c r="D112" s="365" t="s">
        <v>438</v>
      </c>
      <c r="E112" s="365"/>
      <c r="F112" s="311">
        <f>F113</f>
        <v>450</v>
      </c>
      <c r="G112" s="363"/>
      <c r="H112" s="363"/>
      <c r="I112" s="363"/>
      <c r="J112" s="363"/>
      <c r="K112" s="363"/>
    </row>
    <row r="113" spans="1:11" s="131" customFormat="1" ht="80.45" customHeight="1" x14ac:dyDescent="0.25">
      <c r="A113" s="364" t="s">
        <v>119</v>
      </c>
      <c r="B113" s="365" t="s">
        <v>116</v>
      </c>
      <c r="C113" s="365" t="s">
        <v>118</v>
      </c>
      <c r="D113" s="365" t="s">
        <v>438</v>
      </c>
      <c r="E113" s="365" t="s">
        <v>120</v>
      </c>
      <c r="F113" s="311">
        <f>F114</f>
        <v>450</v>
      </c>
      <c r="G113" s="363"/>
      <c r="H113" s="363"/>
      <c r="I113" s="363"/>
      <c r="J113" s="363"/>
      <c r="K113" s="363"/>
    </row>
    <row r="114" spans="1:11" s="131" customFormat="1" ht="36" customHeight="1" x14ac:dyDescent="0.25">
      <c r="A114" s="364" t="s">
        <v>121</v>
      </c>
      <c r="B114" s="365" t="s">
        <v>116</v>
      </c>
      <c r="C114" s="365" t="s">
        <v>118</v>
      </c>
      <c r="D114" s="365" t="s">
        <v>438</v>
      </c>
      <c r="E114" s="365" t="s">
        <v>122</v>
      </c>
      <c r="F114" s="311">
        <f>'Пр.4 ведом.22'!G23+'Пр.4 ведом.22'!G111</f>
        <v>450</v>
      </c>
      <c r="G114" s="363"/>
      <c r="H114" s="363"/>
      <c r="I114" s="363"/>
      <c r="J114" s="363"/>
      <c r="K114" s="363"/>
    </row>
    <row r="115" spans="1:11" s="362" customFormat="1" ht="31.5" x14ac:dyDescent="0.25">
      <c r="A115" s="315" t="s">
        <v>1097</v>
      </c>
      <c r="B115" s="7" t="s">
        <v>116</v>
      </c>
      <c r="C115" s="7" t="s">
        <v>118</v>
      </c>
      <c r="D115" s="7" t="s">
        <v>1098</v>
      </c>
      <c r="E115" s="7"/>
      <c r="F115" s="310">
        <f>F116+F121+F124</f>
        <v>2849.9700000000003</v>
      </c>
      <c r="G115" s="363"/>
      <c r="H115" s="363"/>
      <c r="I115" s="363"/>
      <c r="J115" s="363"/>
      <c r="K115" s="363"/>
    </row>
    <row r="116" spans="1:11" s="362" customFormat="1" ht="31.5" x14ac:dyDescent="0.25">
      <c r="A116" s="364" t="s">
        <v>468</v>
      </c>
      <c r="B116" s="365" t="s">
        <v>116</v>
      </c>
      <c r="C116" s="365" t="s">
        <v>118</v>
      </c>
      <c r="D116" s="365" t="s">
        <v>1101</v>
      </c>
      <c r="E116" s="365"/>
      <c r="F116" s="311">
        <f>F118+F119</f>
        <v>689.05</v>
      </c>
      <c r="G116" s="363"/>
      <c r="H116" s="363"/>
      <c r="I116" s="363"/>
      <c r="J116" s="363"/>
      <c r="K116" s="363"/>
    </row>
    <row r="117" spans="1:11" s="362" customFormat="1" ht="78.75" x14ac:dyDescent="0.25">
      <c r="A117" s="364" t="s">
        <v>119</v>
      </c>
      <c r="B117" s="365" t="s">
        <v>116</v>
      </c>
      <c r="C117" s="365" t="s">
        <v>118</v>
      </c>
      <c r="D117" s="365" t="s">
        <v>1101</v>
      </c>
      <c r="E117" s="365" t="s">
        <v>120</v>
      </c>
      <c r="F117" s="311">
        <f>F118</f>
        <v>596.04999999999995</v>
      </c>
      <c r="G117" s="363"/>
      <c r="H117" s="363"/>
      <c r="I117" s="363"/>
      <c r="J117" s="363"/>
      <c r="K117" s="363"/>
    </row>
    <row r="118" spans="1:11" s="362" customFormat="1" ht="31.5" x14ac:dyDescent="0.25">
      <c r="A118" s="364" t="s">
        <v>121</v>
      </c>
      <c r="B118" s="365" t="s">
        <v>116</v>
      </c>
      <c r="C118" s="365" t="s">
        <v>118</v>
      </c>
      <c r="D118" s="365" t="s">
        <v>1101</v>
      </c>
      <c r="E118" s="365" t="s">
        <v>122</v>
      </c>
      <c r="F118" s="311">
        <f>'Пр.4 ведом.22'!G548</f>
        <v>596.04999999999995</v>
      </c>
      <c r="G118" s="363"/>
      <c r="H118" s="363"/>
      <c r="I118" s="363"/>
      <c r="J118" s="363"/>
      <c r="K118" s="363"/>
    </row>
    <row r="119" spans="1:11" s="362" customFormat="1" ht="31.5" x14ac:dyDescent="0.25">
      <c r="A119" s="364" t="s">
        <v>153</v>
      </c>
      <c r="B119" s="365" t="s">
        <v>116</v>
      </c>
      <c r="C119" s="365" t="s">
        <v>118</v>
      </c>
      <c r="D119" s="365" t="s">
        <v>1101</v>
      </c>
      <c r="E119" s="365" t="s">
        <v>124</v>
      </c>
      <c r="F119" s="311">
        <f>F120</f>
        <v>93</v>
      </c>
      <c r="G119" s="363"/>
      <c r="H119" s="363"/>
      <c r="I119" s="363"/>
      <c r="J119" s="363"/>
      <c r="K119" s="363"/>
    </row>
    <row r="120" spans="1:11" s="362" customFormat="1" ht="31.5" x14ac:dyDescent="0.25">
      <c r="A120" s="364" t="s">
        <v>125</v>
      </c>
      <c r="B120" s="365" t="s">
        <v>116</v>
      </c>
      <c r="C120" s="365" t="s">
        <v>118</v>
      </c>
      <c r="D120" s="365" t="s">
        <v>1101</v>
      </c>
      <c r="E120" s="365" t="s">
        <v>126</v>
      </c>
      <c r="F120" s="311">
        <f>'Пр.4 ведом.22'!G550</f>
        <v>93</v>
      </c>
      <c r="G120" s="363"/>
      <c r="H120" s="363"/>
      <c r="I120" s="363"/>
      <c r="J120" s="363"/>
      <c r="K120" s="363"/>
    </row>
    <row r="121" spans="1:11" s="362" customFormat="1" ht="47.25" x14ac:dyDescent="0.25">
      <c r="A121" s="364" t="s">
        <v>1099</v>
      </c>
      <c r="B121" s="365" t="s">
        <v>116</v>
      </c>
      <c r="C121" s="365" t="s">
        <v>118</v>
      </c>
      <c r="D121" s="365" t="s">
        <v>1100</v>
      </c>
      <c r="E121" s="365"/>
      <c r="F121" s="311">
        <f>F122</f>
        <v>2160.92</v>
      </c>
      <c r="G121" s="363"/>
      <c r="H121" s="363"/>
      <c r="I121" s="363"/>
      <c r="J121" s="363"/>
      <c r="K121" s="363"/>
    </row>
    <row r="122" spans="1:11" s="362" customFormat="1" ht="78.75" x14ac:dyDescent="0.25">
      <c r="A122" s="364" t="s">
        <v>119</v>
      </c>
      <c r="B122" s="365" t="s">
        <v>116</v>
      </c>
      <c r="C122" s="365" t="s">
        <v>118</v>
      </c>
      <c r="D122" s="365" t="s">
        <v>1100</v>
      </c>
      <c r="E122" s="365" t="s">
        <v>120</v>
      </c>
      <c r="F122" s="311">
        <f>F123</f>
        <v>2160.92</v>
      </c>
      <c r="G122" s="363"/>
      <c r="H122" s="363"/>
      <c r="I122" s="363"/>
      <c r="J122" s="363"/>
      <c r="K122" s="363"/>
    </row>
    <row r="123" spans="1:11" s="362" customFormat="1" ht="31.5" x14ac:dyDescent="0.25">
      <c r="A123" s="364" t="s">
        <v>121</v>
      </c>
      <c r="B123" s="365" t="s">
        <v>116</v>
      </c>
      <c r="C123" s="365" t="s">
        <v>118</v>
      </c>
      <c r="D123" s="365" t="s">
        <v>1100</v>
      </c>
      <c r="E123" s="365" t="s">
        <v>122</v>
      </c>
      <c r="F123" s="311">
        <f>'Пр.4 ведом.22'!G553</f>
        <v>2160.92</v>
      </c>
      <c r="G123" s="363"/>
      <c r="H123" s="363"/>
      <c r="I123" s="363"/>
      <c r="J123" s="363"/>
      <c r="K123" s="363"/>
    </row>
    <row r="124" spans="1:11" s="362" customFormat="1" ht="47.25" hidden="1" x14ac:dyDescent="0.25">
      <c r="A124" s="364" t="s">
        <v>416</v>
      </c>
      <c r="B124" s="365" t="s">
        <v>116</v>
      </c>
      <c r="C124" s="365" t="s">
        <v>118</v>
      </c>
      <c r="D124" s="365" t="s">
        <v>1153</v>
      </c>
      <c r="E124" s="365"/>
      <c r="F124" s="311">
        <f>F125</f>
        <v>0</v>
      </c>
      <c r="G124" s="363"/>
      <c r="H124" s="363"/>
      <c r="I124" s="363"/>
      <c r="J124" s="363"/>
      <c r="K124" s="363"/>
    </row>
    <row r="125" spans="1:11" s="362" customFormat="1" ht="78.75" hidden="1" x14ac:dyDescent="0.25">
      <c r="A125" s="364" t="s">
        <v>119</v>
      </c>
      <c r="B125" s="365" t="s">
        <v>116</v>
      </c>
      <c r="C125" s="365" t="s">
        <v>118</v>
      </c>
      <c r="D125" s="365" t="s">
        <v>1153</v>
      </c>
      <c r="E125" s="365" t="s">
        <v>120</v>
      </c>
      <c r="F125" s="311">
        <f>F126</f>
        <v>0</v>
      </c>
      <c r="G125" s="363"/>
      <c r="H125" s="363"/>
      <c r="I125" s="363"/>
      <c r="J125" s="363"/>
      <c r="K125" s="363"/>
    </row>
    <row r="126" spans="1:11" s="362" customFormat="1" ht="36" hidden="1" customHeight="1" x14ac:dyDescent="0.25">
      <c r="A126" s="364" t="s">
        <v>121</v>
      </c>
      <c r="B126" s="365" t="s">
        <v>116</v>
      </c>
      <c r="C126" s="365" t="s">
        <v>118</v>
      </c>
      <c r="D126" s="365" t="s">
        <v>1153</v>
      </c>
      <c r="E126" s="365" t="s">
        <v>122</v>
      </c>
      <c r="F126" s="311">
        <f>'Пр.4 ведом.22'!G556</f>
        <v>0</v>
      </c>
      <c r="G126" s="363"/>
      <c r="H126" s="363"/>
      <c r="I126" s="363"/>
      <c r="J126" s="363"/>
      <c r="K126" s="363"/>
    </row>
    <row r="127" spans="1:11" s="131" customFormat="1" ht="20.25" hidden="1" customHeight="1" x14ac:dyDescent="0.25">
      <c r="A127" s="315" t="s">
        <v>698</v>
      </c>
      <c r="B127" s="316" t="s">
        <v>116</v>
      </c>
      <c r="C127" s="316" t="s">
        <v>187</v>
      </c>
      <c r="D127" s="316"/>
      <c r="E127" s="365"/>
      <c r="F127" s="314">
        <f>F128</f>
        <v>0</v>
      </c>
      <c r="G127" s="363"/>
      <c r="H127" s="363"/>
      <c r="I127" s="363"/>
      <c r="J127" s="363"/>
      <c r="K127" s="363"/>
    </row>
    <row r="128" spans="1:11" s="131" customFormat="1" ht="23.25" hidden="1" customHeight="1" x14ac:dyDescent="0.25">
      <c r="A128" s="315" t="s">
        <v>133</v>
      </c>
      <c r="B128" s="316" t="s">
        <v>116</v>
      </c>
      <c r="C128" s="316" t="s">
        <v>187</v>
      </c>
      <c r="D128" s="316" t="s">
        <v>442</v>
      </c>
      <c r="E128" s="365"/>
      <c r="F128" s="314">
        <f>F129</f>
        <v>0</v>
      </c>
      <c r="G128" s="363"/>
      <c r="H128" s="363"/>
      <c r="I128" s="363"/>
      <c r="J128" s="363"/>
      <c r="K128" s="363"/>
    </row>
    <row r="129" spans="1:11" s="131" customFormat="1" ht="36" hidden="1" customHeight="1" x14ac:dyDescent="0.25">
      <c r="A129" s="315" t="s">
        <v>446</v>
      </c>
      <c r="B129" s="316" t="s">
        <v>116</v>
      </c>
      <c r="C129" s="316" t="s">
        <v>187</v>
      </c>
      <c r="D129" s="316" t="s">
        <v>441</v>
      </c>
      <c r="E129" s="365"/>
      <c r="F129" s="314">
        <f>F130</f>
        <v>0</v>
      </c>
      <c r="G129" s="363"/>
      <c r="H129" s="363"/>
      <c r="I129" s="363"/>
      <c r="J129" s="363"/>
      <c r="K129" s="363"/>
    </row>
    <row r="130" spans="1:11" s="131" customFormat="1" ht="24" hidden="1" customHeight="1" x14ac:dyDescent="0.25">
      <c r="A130" s="31" t="s">
        <v>154</v>
      </c>
      <c r="B130" s="365" t="s">
        <v>116</v>
      </c>
      <c r="C130" s="365" t="s">
        <v>187</v>
      </c>
      <c r="D130" s="365" t="s">
        <v>697</v>
      </c>
      <c r="E130" s="365"/>
      <c r="F130" s="318">
        <f>F131+F133</f>
        <v>0</v>
      </c>
      <c r="G130" s="363"/>
      <c r="H130" s="363"/>
      <c r="I130" s="363"/>
      <c r="J130" s="363"/>
      <c r="K130" s="363"/>
    </row>
    <row r="131" spans="1:11" s="131" customFormat="1" ht="78.75" hidden="1" customHeight="1" x14ac:dyDescent="0.25">
      <c r="A131" s="364" t="s">
        <v>119</v>
      </c>
      <c r="B131" s="365" t="s">
        <v>116</v>
      </c>
      <c r="C131" s="365" t="s">
        <v>187</v>
      </c>
      <c r="D131" s="365" t="s">
        <v>697</v>
      </c>
      <c r="E131" s="365" t="s">
        <v>120</v>
      </c>
      <c r="F131" s="318">
        <f>F132</f>
        <v>0</v>
      </c>
      <c r="G131" s="363"/>
      <c r="H131" s="363"/>
      <c r="I131" s="363"/>
      <c r="J131" s="363"/>
      <c r="K131" s="363"/>
    </row>
    <row r="132" spans="1:11" s="131" customFormat="1" ht="36" hidden="1" customHeight="1" x14ac:dyDescent="0.25">
      <c r="A132" s="364" t="s">
        <v>121</v>
      </c>
      <c r="B132" s="365" t="s">
        <v>116</v>
      </c>
      <c r="C132" s="365" t="s">
        <v>187</v>
      </c>
      <c r="D132" s="365" t="s">
        <v>697</v>
      </c>
      <c r="E132" s="365" t="s">
        <v>122</v>
      </c>
      <c r="F132" s="318">
        <f>'Пр.4 ведом.22'!G117</f>
        <v>0</v>
      </c>
      <c r="G132" s="363"/>
      <c r="H132" s="363"/>
      <c r="I132" s="363"/>
      <c r="J132" s="363"/>
      <c r="K132" s="363"/>
    </row>
    <row r="133" spans="1:11" s="131" customFormat="1" ht="36" hidden="1" customHeight="1" x14ac:dyDescent="0.25">
      <c r="A133" s="364" t="s">
        <v>153</v>
      </c>
      <c r="B133" s="365" t="s">
        <v>116</v>
      </c>
      <c r="C133" s="365" t="s">
        <v>187</v>
      </c>
      <c r="D133" s="365" t="s">
        <v>697</v>
      </c>
      <c r="E133" s="365" t="s">
        <v>124</v>
      </c>
      <c r="F133" s="318">
        <f>F134</f>
        <v>0</v>
      </c>
      <c r="G133" s="363"/>
      <c r="H133" s="363"/>
      <c r="I133" s="363"/>
      <c r="J133" s="363"/>
      <c r="K133" s="363"/>
    </row>
    <row r="134" spans="1:11" s="131" customFormat="1" ht="36" hidden="1" customHeight="1" x14ac:dyDescent="0.25">
      <c r="A134" s="364" t="s">
        <v>125</v>
      </c>
      <c r="B134" s="365" t="s">
        <v>116</v>
      </c>
      <c r="C134" s="365" t="s">
        <v>187</v>
      </c>
      <c r="D134" s="365" t="s">
        <v>697</v>
      </c>
      <c r="E134" s="365" t="s">
        <v>126</v>
      </c>
      <c r="F134" s="318">
        <f>'Пр.4 ведом.22'!G119</f>
        <v>0</v>
      </c>
      <c r="G134" s="363"/>
      <c r="H134" s="363"/>
      <c r="I134" s="363"/>
      <c r="J134" s="363"/>
      <c r="K134" s="363"/>
    </row>
    <row r="135" spans="1:11" s="131" customFormat="1" ht="22.7" customHeight="1" x14ac:dyDescent="0.25">
      <c r="A135" s="315" t="s">
        <v>894</v>
      </c>
      <c r="B135" s="316" t="s">
        <v>116</v>
      </c>
      <c r="C135" s="316" t="s">
        <v>251</v>
      </c>
      <c r="D135" s="316"/>
      <c r="E135" s="316"/>
      <c r="F135" s="314">
        <f>F136</f>
        <v>50</v>
      </c>
      <c r="G135" s="363"/>
      <c r="H135" s="363"/>
      <c r="I135" s="363"/>
      <c r="J135" s="363"/>
      <c r="K135" s="363"/>
    </row>
    <row r="136" spans="1:11" s="131" customFormat="1" ht="18.399999999999999" customHeight="1" x14ac:dyDescent="0.25">
      <c r="A136" s="315" t="s">
        <v>133</v>
      </c>
      <c r="B136" s="316" t="s">
        <v>116</v>
      </c>
      <c r="C136" s="316" t="s">
        <v>251</v>
      </c>
      <c r="D136" s="316" t="s">
        <v>442</v>
      </c>
      <c r="E136" s="316"/>
      <c r="F136" s="314">
        <f t="shared" ref="F136:F138" si="21">F137</f>
        <v>50</v>
      </c>
      <c r="G136" s="363"/>
      <c r="H136" s="363"/>
      <c r="I136" s="363"/>
      <c r="J136" s="363"/>
      <c r="K136" s="363"/>
    </row>
    <row r="137" spans="1:11" s="131" customFormat="1" ht="36" customHeight="1" x14ac:dyDescent="0.25">
      <c r="A137" s="315" t="s">
        <v>446</v>
      </c>
      <c r="B137" s="316" t="s">
        <v>116</v>
      </c>
      <c r="C137" s="316" t="s">
        <v>251</v>
      </c>
      <c r="D137" s="316" t="s">
        <v>441</v>
      </c>
      <c r="E137" s="316"/>
      <c r="F137" s="314">
        <f t="shared" si="21"/>
        <v>50</v>
      </c>
      <c r="G137" s="363"/>
      <c r="H137" s="363"/>
      <c r="I137" s="363"/>
      <c r="J137" s="363"/>
      <c r="K137" s="363"/>
    </row>
    <row r="138" spans="1:11" s="131" customFormat="1" ht="16.350000000000001" customHeight="1" x14ac:dyDescent="0.25">
      <c r="A138" s="364" t="s">
        <v>688</v>
      </c>
      <c r="B138" s="365" t="s">
        <v>116</v>
      </c>
      <c r="C138" s="365" t="s">
        <v>251</v>
      </c>
      <c r="D138" s="365" t="s">
        <v>689</v>
      </c>
      <c r="E138" s="365"/>
      <c r="F138" s="318">
        <f t="shared" si="21"/>
        <v>50</v>
      </c>
      <c r="G138" s="363"/>
      <c r="H138" s="363"/>
      <c r="I138" s="363"/>
      <c r="J138" s="363"/>
      <c r="K138" s="363"/>
    </row>
    <row r="139" spans="1:11" s="131" customFormat="1" ht="23.85" customHeight="1" x14ac:dyDescent="0.25">
      <c r="A139" s="364" t="s">
        <v>127</v>
      </c>
      <c r="B139" s="365" t="s">
        <v>116</v>
      </c>
      <c r="C139" s="365" t="s">
        <v>251</v>
      </c>
      <c r="D139" s="365" t="s">
        <v>689</v>
      </c>
      <c r="E139" s="365" t="s">
        <v>134</v>
      </c>
      <c r="F139" s="318">
        <f>F140</f>
        <v>50</v>
      </c>
      <c r="G139" s="363"/>
      <c r="H139" s="363"/>
      <c r="I139" s="363"/>
      <c r="J139" s="363"/>
      <c r="K139" s="363"/>
    </row>
    <row r="140" spans="1:11" s="131" customFormat="1" ht="19.7" customHeight="1" x14ac:dyDescent="0.25">
      <c r="A140" s="364" t="s">
        <v>688</v>
      </c>
      <c r="B140" s="365" t="s">
        <v>116</v>
      </c>
      <c r="C140" s="365" t="s">
        <v>251</v>
      </c>
      <c r="D140" s="365" t="s">
        <v>689</v>
      </c>
      <c r="E140" s="365" t="s">
        <v>690</v>
      </c>
      <c r="F140" s="318">
        <f>'Пр.4 ведом.22'!G29</f>
        <v>50</v>
      </c>
      <c r="G140" s="363"/>
      <c r="H140" s="363"/>
      <c r="I140" s="363"/>
      <c r="J140" s="363"/>
      <c r="K140" s="363"/>
    </row>
    <row r="141" spans="1:11" ht="15.75" x14ac:dyDescent="0.25">
      <c r="A141" s="359" t="s">
        <v>131</v>
      </c>
      <c r="B141" s="7" t="s">
        <v>116</v>
      </c>
      <c r="C141" s="7" t="s">
        <v>132</v>
      </c>
      <c r="D141" s="7"/>
      <c r="E141" s="7"/>
      <c r="F141" s="310">
        <f>F142+F172+F188+F205+F214+F219+F229+F184+F224</f>
        <v>59464.659999999989</v>
      </c>
      <c r="H141" s="74"/>
      <c r="J141" s="74"/>
    </row>
    <row r="142" spans="1:11" s="131" customFormat="1" ht="15.75" x14ac:dyDescent="0.25">
      <c r="A142" s="315" t="s">
        <v>133</v>
      </c>
      <c r="B142" s="316" t="s">
        <v>116</v>
      </c>
      <c r="C142" s="316" t="s">
        <v>132</v>
      </c>
      <c r="D142" s="316" t="s">
        <v>442</v>
      </c>
      <c r="E142" s="316"/>
      <c r="F142" s="310">
        <f>F143+F154+F163</f>
        <v>58357.339999999989</v>
      </c>
      <c r="G142" s="363"/>
      <c r="H142" s="74"/>
      <c r="I142" s="363"/>
      <c r="J142" s="74"/>
      <c r="K142" s="74">
        <f>F142+F491+F905</f>
        <v>84527.039999999994</v>
      </c>
    </row>
    <row r="143" spans="1:11" s="131" customFormat="1" ht="15.75" x14ac:dyDescent="0.25">
      <c r="A143" s="315" t="s">
        <v>519</v>
      </c>
      <c r="B143" s="316" t="s">
        <v>116</v>
      </c>
      <c r="C143" s="316" t="s">
        <v>132</v>
      </c>
      <c r="D143" s="316" t="s">
        <v>518</v>
      </c>
      <c r="E143" s="316"/>
      <c r="F143" s="257">
        <f>F147+F144</f>
        <v>45447.439999999995</v>
      </c>
      <c r="G143" s="363"/>
      <c r="H143" s="74"/>
      <c r="I143" s="363"/>
      <c r="J143" s="74"/>
      <c r="K143" s="363"/>
    </row>
    <row r="144" spans="1:11" s="131" customFormat="1" ht="47.25" x14ac:dyDescent="0.25">
      <c r="A144" s="364" t="s">
        <v>416</v>
      </c>
      <c r="B144" s="365" t="s">
        <v>116</v>
      </c>
      <c r="C144" s="365" t="s">
        <v>132</v>
      </c>
      <c r="D144" s="365" t="s">
        <v>521</v>
      </c>
      <c r="E144" s="365"/>
      <c r="F144" s="311">
        <f>F145</f>
        <v>1118</v>
      </c>
      <c r="G144" s="363"/>
      <c r="H144" s="74"/>
      <c r="I144" s="363"/>
      <c r="J144" s="74"/>
      <c r="K144" s="363"/>
    </row>
    <row r="145" spans="1:11" s="131" customFormat="1" ht="78.75" x14ac:dyDescent="0.25">
      <c r="A145" s="364" t="s">
        <v>119</v>
      </c>
      <c r="B145" s="365" t="s">
        <v>116</v>
      </c>
      <c r="C145" s="365" t="s">
        <v>132</v>
      </c>
      <c r="D145" s="365" t="s">
        <v>521</v>
      </c>
      <c r="E145" s="365" t="s">
        <v>120</v>
      </c>
      <c r="F145" s="311">
        <f>F146</f>
        <v>1118</v>
      </c>
      <c r="G145" s="363"/>
      <c r="H145" s="74"/>
      <c r="I145" s="363"/>
      <c r="J145" s="74"/>
      <c r="K145" s="363"/>
    </row>
    <row r="146" spans="1:11" s="131" customFormat="1" ht="31.5" x14ac:dyDescent="0.25">
      <c r="A146" s="364" t="s">
        <v>121</v>
      </c>
      <c r="B146" s="365" t="s">
        <v>116</v>
      </c>
      <c r="C146" s="365" t="s">
        <v>132</v>
      </c>
      <c r="D146" s="365" t="s">
        <v>521</v>
      </c>
      <c r="E146" s="365" t="s">
        <v>156</v>
      </c>
      <c r="F146" s="311">
        <f>'Пр.4 ведом.22'!G941</f>
        <v>1118</v>
      </c>
      <c r="G146" s="363"/>
      <c r="H146" s="74"/>
      <c r="I146" s="363"/>
      <c r="J146" s="74"/>
      <c r="K146" s="363"/>
    </row>
    <row r="147" spans="1:11" s="131" customFormat="1" ht="15.75" x14ac:dyDescent="0.25">
      <c r="A147" s="364" t="s">
        <v>379</v>
      </c>
      <c r="B147" s="365" t="s">
        <v>116</v>
      </c>
      <c r="C147" s="365" t="s">
        <v>132</v>
      </c>
      <c r="D147" s="365" t="s">
        <v>520</v>
      </c>
      <c r="E147" s="365"/>
      <c r="F147" s="255">
        <f t="shared" ref="F147" si="22">F148+F150+F152</f>
        <v>44329.439999999995</v>
      </c>
      <c r="G147" s="363"/>
      <c r="H147" s="74"/>
      <c r="I147" s="363"/>
      <c r="J147" s="74"/>
      <c r="K147" s="363"/>
    </row>
    <row r="148" spans="1:11" s="131" customFormat="1" ht="78.75" x14ac:dyDescent="0.25">
      <c r="A148" s="364" t="s">
        <v>119</v>
      </c>
      <c r="B148" s="365" t="s">
        <v>116</v>
      </c>
      <c r="C148" s="365" t="s">
        <v>132</v>
      </c>
      <c r="D148" s="365" t="s">
        <v>520</v>
      </c>
      <c r="E148" s="365" t="s">
        <v>120</v>
      </c>
      <c r="F148" s="255">
        <f t="shared" ref="F148" si="23">F149</f>
        <v>34371.339999999997</v>
      </c>
      <c r="G148" s="363"/>
      <c r="H148" s="74"/>
      <c r="I148" s="363"/>
      <c r="J148" s="74"/>
      <c r="K148" s="363"/>
    </row>
    <row r="149" spans="1:11" s="131" customFormat="1" ht="20.25" customHeight="1" x14ac:dyDescent="0.25">
      <c r="A149" s="32" t="s">
        <v>212</v>
      </c>
      <c r="B149" s="365" t="s">
        <v>116</v>
      </c>
      <c r="C149" s="365" t="s">
        <v>132</v>
      </c>
      <c r="D149" s="365" t="s">
        <v>520</v>
      </c>
      <c r="E149" s="365" t="s">
        <v>156</v>
      </c>
      <c r="F149" s="255">
        <f>'Пр.4 ведом.22'!G944</f>
        <v>34371.339999999997</v>
      </c>
      <c r="G149" s="363"/>
      <c r="H149" s="74"/>
      <c r="I149" s="363"/>
      <c r="J149" s="74"/>
      <c r="K149" s="363"/>
    </row>
    <row r="150" spans="1:11" s="131" customFormat="1" ht="31.5" x14ac:dyDescent="0.25">
      <c r="A150" s="364" t="s">
        <v>123</v>
      </c>
      <c r="B150" s="365" t="s">
        <v>116</v>
      </c>
      <c r="C150" s="365" t="s">
        <v>132</v>
      </c>
      <c r="D150" s="365" t="s">
        <v>520</v>
      </c>
      <c r="E150" s="365" t="s">
        <v>124</v>
      </c>
      <c r="F150" s="255">
        <f t="shared" ref="F150" si="24">F151</f>
        <v>9537.0999999999985</v>
      </c>
      <c r="G150" s="363"/>
      <c r="H150" s="74"/>
      <c r="I150" s="363"/>
      <c r="J150" s="74"/>
      <c r="K150" s="363"/>
    </row>
    <row r="151" spans="1:11" s="131" customFormat="1" ht="31.5" x14ac:dyDescent="0.25">
      <c r="A151" s="364" t="s">
        <v>125</v>
      </c>
      <c r="B151" s="365" t="s">
        <v>116</v>
      </c>
      <c r="C151" s="365" t="s">
        <v>132</v>
      </c>
      <c r="D151" s="365" t="s">
        <v>520</v>
      </c>
      <c r="E151" s="365" t="s">
        <v>126</v>
      </c>
      <c r="F151" s="255">
        <f>'Пр.4 ведом.22'!G946</f>
        <v>9537.0999999999985</v>
      </c>
      <c r="G151" s="363"/>
      <c r="H151" s="74"/>
      <c r="I151" s="363"/>
      <c r="J151" s="74"/>
      <c r="K151" s="363"/>
    </row>
    <row r="152" spans="1:11" s="131" customFormat="1" ht="15.75" x14ac:dyDescent="0.25">
      <c r="A152" s="364" t="s">
        <v>127</v>
      </c>
      <c r="B152" s="365" t="s">
        <v>116</v>
      </c>
      <c r="C152" s="365" t="s">
        <v>132</v>
      </c>
      <c r="D152" s="365" t="s">
        <v>520</v>
      </c>
      <c r="E152" s="365" t="s">
        <v>134</v>
      </c>
      <c r="F152" s="255">
        <f t="shared" ref="F152" si="25">F153</f>
        <v>421</v>
      </c>
      <c r="G152" s="363"/>
      <c r="H152" s="74"/>
      <c r="I152" s="363"/>
      <c r="J152" s="74"/>
      <c r="K152" s="363"/>
    </row>
    <row r="153" spans="1:11" s="131" customFormat="1" ht="15.75" x14ac:dyDescent="0.25">
      <c r="A153" s="364" t="s">
        <v>338</v>
      </c>
      <c r="B153" s="365" t="s">
        <v>116</v>
      </c>
      <c r="C153" s="365" t="s">
        <v>132</v>
      </c>
      <c r="D153" s="365" t="s">
        <v>520</v>
      </c>
      <c r="E153" s="365" t="s">
        <v>130</v>
      </c>
      <c r="F153" s="255">
        <f>'Пр.4 ведом.22'!G948</f>
        <v>421</v>
      </c>
      <c r="G153" s="363"/>
      <c r="H153" s="74"/>
      <c r="I153" s="363"/>
      <c r="J153" s="74"/>
      <c r="K153" s="363"/>
    </row>
    <row r="154" spans="1:11" s="131" customFormat="1" ht="31.5" x14ac:dyDescent="0.25">
      <c r="A154" s="315" t="s">
        <v>446</v>
      </c>
      <c r="B154" s="316" t="s">
        <v>116</v>
      </c>
      <c r="C154" s="316" t="s">
        <v>132</v>
      </c>
      <c r="D154" s="316" t="s">
        <v>441</v>
      </c>
      <c r="E154" s="316"/>
      <c r="F154" s="310">
        <f>F155+F160</f>
        <v>6823.2</v>
      </c>
      <c r="G154" s="363"/>
      <c r="H154" s="74"/>
      <c r="I154" s="363"/>
      <c r="J154" s="74"/>
      <c r="K154" s="363"/>
    </row>
    <row r="155" spans="1:11" s="131" customFormat="1" ht="47.25" x14ac:dyDescent="0.25">
      <c r="A155" s="364" t="s">
        <v>230</v>
      </c>
      <c r="B155" s="365" t="s">
        <v>116</v>
      </c>
      <c r="C155" s="365" t="s">
        <v>132</v>
      </c>
      <c r="D155" s="365" t="s">
        <v>574</v>
      </c>
      <c r="E155" s="365"/>
      <c r="F155" s="311">
        <f>F156+F158</f>
        <v>6823.2</v>
      </c>
      <c r="G155" s="363"/>
      <c r="H155" s="74"/>
      <c r="I155" s="363"/>
      <c r="J155" s="74"/>
      <c r="K155" s="363"/>
    </row>
    <row r="156" spans="1:11" s="131" customFormat="1" ht="31.5" x14ac:dyDescent="0.25">
      <c r="A156" s="364" t="s">
        <v>123</v>
      </c>
      <c r="B156" s="365" t="s">
        <v>116</v>
      </c>
      <c r="C156" s="365" t="s">
        <v>132</v>
      </c>
      <c r="D156" s="365" t="s">
        <v>574</v>
      </c>
      <c r="E156" s="365" t="s">
        <v>124</v>
      </c>
      <c r="F156" s="311">
        <f>F157</f>
        <v>5928.7</v>
      </c>
      <c r="G156" s="363"/>
      <c r="H156" s="74"/>
      <c r="I156" s="363"/>
      <c r="J156" s="74"/>
      <c r="K156" s="363"/>
    </row>
    <row r="157" spans="1:11" s="131" customFormat="1" ht="31.5" x14ac:dyDescent="0.25">
      <c r="A157" s="364" t="s">
        <v>125</v>
      </c>
      <c r="B157" s="365" t="s">
        <v>116</v>
      </c>
      <c r="C157" s="365" t="s">
        <v>132</v>
      </c>
      <c r="D157" s="365" t="s">
        <v>574</v>
      </c>
      <c r="E157" s="365" t="s">
        <v>126</v>
      </c>
      <c r="F157" s="311">
        <f>'Пр.4 ведом.22'!G581</f>
        <v>5928.7</v>
      </c>
      <c r="G157" s="363"/>
      <c r="H157" s="74"/>
      <c r="I157" s="363"/>
      <c r="J157" s="74"/>
      <c r="K157" s="363"/>
    </row>
    <row r="158" spans="1:11" s="309" customFormat="1" ht="15.75" hidden="1" x14ac:dyDescent="0.25">
      <c r="A158" s="364" t="s">
        <v>127</v>
      </c>
      <c r="B158" s="365" t="s">
        <v>116</v>
      </c>
      <c r="C158" s="365" t="s">
        <v>132</v>
      </c>
      <c r="D158" s="365" t="s">
        <v>574</v>
      </c>
      <c r="E158" s="365" t="s">
        <v>134</v>
      </c>
      <c r="F158" s="311">
        <f>F159</f>
        <v>894.5</v>
      </c>
      <c r="G158" s="363"/>
      <c r="H158" s="74"/>
      <c r="I158" s="363"/>
      <c r="J158" s="74"/>
      <c r="K158" s="363"/>
    </row>
    <row r="159" spans="1:11" s="309" customFormat="1" ht="47.25" hidden="1" x14ac:dyDescent="0.25">
      <c r="A159" s="364" t="s">
        <v>413</v>
      </c>
      <c r="B159" s="365" t="s">
        <v>116</v>
      </c>
      <c r="C159" s="365" t="s">
        <v>132</v>
      </c>
      <c r="D159" s="365" t="s">
        <v>574</v>
      </c>
      <c r="E159" s="365" t="s">
        <v>136</v>
      </c>
      <c r="F159" s="311">
        <f>'Пр.4 ведом.22'!G583</f>
        <v>894.5</v>
      </c>
      <c r="G159" s="363"/>
      <c r="H159" s="74"/>
      <c r="I159" s="363"/>
      <c r="J159" s="74"/>
      <c r="K159" s="363"/>
    </row>
    <row r="160" spans="1:11" s="131" customFormat="1" ht="31.5" hidden="1" x14ac:dyDescent="0.25">
      <c r="A160" s="364" t="s">
        <v>502</v>
      </c>
      <c r="B160" s="365" t="s">
        <v>116</v>
      </c>
      <c r="C160" s="365" t="s">
        <v>132</v>
      </c>
      <c r="D160" s="365" t="s">
        <v>575</v>
      </c>
      <c r="E160" s="365"/>
      <c r="F160" s="311">
        <f>F161</f>
        <v>0</v>
      </c>
      <c r="G160" s="363"/>
      <c r="H160" s="74"/>
      <c r="I160" s="363"/>
      <c r="J160" s="74"/>
      <c r="K160" s="363"/>
    </row>
    <row r="161" spans="1:11" s="131" customFormat="1" ht="31.5" hidden="1" x14ac:dyDescent="0.25">
      <c r="A161" s="364" t="s">
        <v>123</v>
      </c>
      <c r="B161" s="365" t="s">
        <v>116</v>
      </c>
      <c r="C161" s="365" t="s">
        <v>132</v>
      </c>
      <c r="D161" s="365" t="s">
        <v>575</v>
      </c>
      <c r="E161" s="365" t="s">
        <v>124</v>
      </c>
      <c r="F161" s="311">
        <f>F162</f>
        <v>0</v>
      </c>
      <c r="G161" s="363"/>
      <c r="H161" s="74"/>
      <c r="I161" s="363"/>
      <c r="J161" s="74"/>
      <c r="K161" s="363"/>
    </row>
    <row r="162" spans="1:11" s="131" customFormat="1" ht="31.5" hidden="1" x14ac:dyDescent="0.25">
      <c r="A162" s="364" t="s">
        <v>125</v>
      </c>
      <c r="B162" s="365" t="s">
        <v>116</v>
      </c>
      <c r="C162" s="365" t="s">
        <v>132</v>
      </c>
      <c r="D162" s="365" t="s">
        <v>575</v>
      </c>
      <c r="E162" s="365" t="s">
        <v>126</v>
      </c>
      <c r="F162" s="311">
        <f>'Пр.4 ведом.22'!G586</f>
        <v>0</v>
      </c>
      <c r="G162" s="363"/>
      <c r="H162" s="74"/>
      <c r="I162" s="363"/>
      <c r="J162" s="74"/>
      <c r="K162" s="363"/>
    </row>
    <row r="163" spans="1:11" s="131" customFormat="1" ht="31.5" x14ac:dyDescent="0.25">
      <c r="A163" s="315" t="s">
        <v>493</v>
      </c>
      <c r="B163" s="316" t="s">
        <v>116</v>
      </c>
      <c r="C163" s="316" t="s">
        <v>132</v>
      </c>
      <c r="D163" s="316" t="s">
        <v>443</v>
      </c>
      <c r="E163" s="316"/>
      <c r="F163" s="310">
        <f>F164+F169</f>
        <v>6086.7</v>
      </c>
      <c r="G163" s="363"/>
      <c r="H163" s="74"/>
      <c r="I163" s="363"/>
      <c r="J163" s="74"/>
      <c r="K163" s="363"/>
    </row>
    <row r="164" spans="1:11" s="131" customFormat="1" ht="31.5" x14ac:dyDescent="0.25">
      <c r="A164" s="364" t="s">
        <v>499</v>
      </c>
      <c r="B164" s="365" t="s">
        <v>116</v>
      </c>
      <c r="C164" s="365" t="s">
        <v>132</v>
      </c>
      <c r="D164" s="365" t="s">
        <v>444</v>
      </c>
      <c r="E164" s="365"/>
      <c r="F164" s="311">
        <f>F165+F167</f>
        <v>5957.7</v>
      </c>
      <c r="G164" s="154">
        <f>F164+F169</f>
        <v>6086.7</v>
      </c>
      <c r="H164" s="74"/>
      <c r="I164" s="363"/>
      <c r="J164" s="74"/>
      <c r="K164" s="363"/>
    </row>
    <row r="165" spans="1:11" s="131" customFormat="1" ht="78.75" x14ac:dyDescent="0.25">
      <c r="A165" s="364" t="s">
        <v>119</v>
      </c>
      <c r="B165" s="365" t="s">
        <v>116</v>
      </c>
      <c r="C165" s="365" t="s">
        <v>132</v>
      </c>
      <c r="D165" s="365" t="s">
        <v>444</v>
      </c>
      <c r="E165" s="365" t="s">
        <v>120</v>
      </c>
      <c r="F165" s="311">
        <f>F166</f>
        <v>4548.3999999999996</v>
      </c>
      <c r="G165" s="363"/>
      <c r="H165" s="74"/>
      <c r="I165" s="363"/>
      <c r="J165" s="74"/>
      <c r="K165" s="363"/>
    </row>
    <row r="166" spans="1:11" s="131" customFormat="1" ht="31.5" x14ac:dyDescent="0.25">
      <c r="A166" s="364" t="s">
        <v>121</v>
      </c>
      <c r="B166" s="365" t="s">
        <v>116</v>
      </c>
      <c r="C166" s="365" t="s">
        <v>132</v>
      </c>
      <c r="D166" s="365" t="s">
        <v>444</v>
      </c>
      <c r="E166" s="365" t="s">
        <v>122</v>
      </c>
      <c r="F166" s="311">
        <f>'Пр.4 ведом.22'!G129</f>
        <v>4548.3999999999996</v>
      </c>
      <c r="G166" s="363"/>
      <c r="H166" s="74"/>
      <c r="I166" s="363"/>
      <c r="J166" s="74"/>
      <c r="K166" s="363"/>
    </row>
    <row r="167" spans="1:11" s="131" customFormat="1" ht="31.5" x14ac:dyDescent="0.25">
      <c r="A167" s="364" t="s">
        <v>153</v>
      </c>
      <c r="B167" s="365" t="s">
        <v>116</v>
      </c>
      <c r="C167" s="365" t="s">
        <v>132</v>
      </c>
      <c r="D167" s="365" t="s">
        <v>444</v>
      </c>
      <c r="E167" s="365" t="s">
        <v>124</v>
      </c>
      <c r="F167" s="311">
        <f>F168</f>
        <v>1409.3</v>
      </c>
      <c r="G167" s="363"/>
      <c r="H167" s="74"/>
      <c r="I167" s="363"/>
      <c r="J167" s="74"/>
      <c r="K167" s="363"/>
    </row>
    <row r="168" spans="1:11" s="131" customFormat="1" ht="31.5" x14ac:dyDescent="0.25">
      <c r="A168" s="364" t="s">
        <v>125</v>
      </c>
      <c r="B168" s="365" t="s">
        <v>116</v>
      </c>
      <c r="C168" s="365" t="s">
        <v>132</v>
      </c>
      <c r="D168" s="365" t="s">
        <v>444</v>
      </c>
      <c r="E168" s="365" t="s">
        <v>126</v>
      </c>
      <c r="F168" s="311">
        <f>'Пр.4 ведом.22'!G131</f>
        <v>1409.3</v>
      </c>
      <c r="G168" s="363"/>
      <c r="H168" s="74"/>
      <c r="I168" s="363"/>
      <c r="J168" s="74"/>
      <c r="K168" s="363"/>
    </row>
    <row r="169" spans="1:11" s="131" customFormat="1" ht="47.25" x14ac:dyDescent="0.25">
      <c r="A169" s="364" t="s">
        <v>416</v>
      </c>
      <c r="B169" s="365" t="s">
        <v>116</v>
      </c>
      <c r="C169" s="365" t="s">
        <v>132</v>
      </c>
      <c r="D169" s="365" t="s">
        <v>445</v>
      </c>
      <c r="E169" s="365"/>
      <c r="F169" s="311">
        <f>F170</f>
        <v>129</v>
      </c>
      <c r="G169" s="363"/>
      <c r="H169" s="74"/>
      <c r="I169" s="363"/>
      <c r="J169" s="74"/>
      <c r="K169" s="363"/>
    </row>
    <row r="170" spans="1:11" s="131" customFormat="1" ht="78.75" x14ac:dyDescent="0.25">
      <c r="A170" s="364" t="s">
        <v>119</v>
      </c>
      <c r="B170" s="365" t="s">
        <v>116</v>
      </c>
      <c r="C170" s="365" t="s">
        <v>132</v>
      </c>
      <c r="D170" s="365" t="s">
        <v>445</v>
      </c>
      <c r="E170" s="365" t="s">
        <v>120</v>
      </c>
      <c r="F170" s="311">
        <f>F171</f>
        <v>129</v>
      </c>
      <c r="G170" s="363"/>
      <c r="H170" s="74"/>
      <c r="I170" s="363"/>
      <c r="J170" s="74"/>
      <c r="K170" s="363"/>
    </row>
    <row r="171" spans="1:11" s="131" customFormat="1" ht="31.5" x14ac:dyDescent="0.25">
      <c r="A171" s="364" t="s">
        <v>121</v>
      </c>
      <c r="B171" s="365" t="s">
        <v>116</v>
      </c>
      <c r="C171" s="365" t="s">
        <v>132</v>
      </c>
      <c r="D171" s="365" t="s">
        <v>445</v>
      </c>
      <c r="E171" s="365" t="s">
        <v>122</v>
      </c>
      <c r="F171" s="311">
        <f>'Пр.4 ведом.22'!G134</f>
        <v>129</v>
      </c>
      <c r="G171" s="363"/>
      <c r="H171" s="74"/>
      <c r="I171" s="363"/>
      <c r="J171" s="74"/>
      <c r="K171" s="363"/>
    </row>
    <row r="172" spans="1:11" ht="47.25" x14ac:dyDescent="0.25">
      <c r="A172" s="315" t="s">
        <v>871</v>
      </c>
      <c r="B172" s="7" t="s">
        <v>116</v>
      </c>
      <c r="C172" s="7" t="s">
        <v>132</v>
      </c>
      <c r="D172" s="7" t="s">
        <v>213</v>
      </c>
      <c r="E172" s="7"/>
      <c r="F172" s="310">
        <f>F173</f>
        <v>762.31999999999994</v>
      </c>
      <c r="G172" s="74"/>
    </row>
    <row r="173" spans="1:11" ht="78.75" x14ac:dyDescent="0.25">
      <c r="A173" s="359" t="s">
        <v>851</v>
      </c>
      <c r="B173" s="7" t="s">
        <v>116</v>
      </c>
      <c r="C173" s="7" t="s">
        <v>132</v>
      </c>
      <c r="D173" s="7" t="s">
        <v>222</v>
      </c>
      <c r="E173" s="7"/>
      <c r="F173" s="310">
        <f>F174</f>
        <v>762.31999999999994</v>
      </c>
      <c r="G173" s="74"/>
    </row>
    <row r="174" spans="1:11" s="131" customFormat="1" ht="63" x14ac:dyDescent="0.25">
      <c r="A174" s="170" t="s">
        <v>606</v>
      </c>
      <c r="B174" s="7" t="s">
        <v>116</v>
      </c>
      <c r="C174" s="7" t="s">
        <v>132</v>
      </c>
      <c r="D174" s="7" t="s">
        <v>480</v>
      </c>
      <c r="E174" s="7"/>
      <c r="F174" s="310">
        <f>F175+F178+F181</f>
        <v>762.31999999999994</v>
      </c>
      <c r="G174" s="74"/>
      <c r="H174" s="363"/>
      <c r="I174" s="363"/>
      <c r="J174" s="363"/>
      <c r="K174" s="363"/>
    </row>
    <row r="175" spans="1:11" ht="31.5" x14ac:dyDescent="0.25">
      <c r="A175" s="70" t="s">
        <v>649</v>
      </c>
      <c r="B175" s="360" t="s">
        <v>116</v>
      </c>
      <c r="C175" s="360" t="s">
        <v>132</v>
      </c>
      <c r="D175" s="360" t="s">
        <v>738</v>
      </c>
      <c r="E175" s="360"/>
      <c r="F175" s="311">
        <f t="shared" ref="F175:F176" si="26">F176</f>
        <v>440.8</v>
      </c>
    </row>
    <row r="176" spans="1:11" ht="31.5" x14ac:dyDescent="0.25">
      <c r="A176" s="22" t="s">
        <v>123</v>
      </c>
      <c r="B176" s="360" t="s">
        <v>116</v>
      </c>
      <c r="C176" s="360" t="s">
        <v>132</v>
      </c>
      <c r="D176" s="360" t="s">
        <v>738</v>
      </c>
      <c r="E176" s="360" t="s">
        <v>124</v>
      </c>
      <c r="F176" s="311">
        <f t="shared" si="26"/>
        <v>440.8</v>
      </c>
    </row>
    <row r="177" spans="1:11" ht="31.5" x14ac:dyDescent="0.25">
      <c r="A177" s="22" t="s">
        <v>125</v>
      </c>
      <c r="B177" s="360" t="s">
        <v>116</v>
      </c>
      <c r="C177" s="360" t="s">
        <v>132</v>
      </c>
      <c r="D177" s="360" t="s">
        <v>738</v>
      </c>
      <c r="E177" s="360" t="s">
        <v>126</v>
      </c>
      <c r="F177" s="311">
        <f>'Пр.4 ведом.22'!G253</f>
        <v>440.8</v>
      </c>
    </row>
    <row r="178" spans="1:11" s="291" customFormat="1" ht="31.5" x14ac:dyDescent="0.25">
      <c r="A178" s="31" t="s">
        <v>1016</v>
      </c>
      <c r="B178" s="360" t="s">
        <v>116</v>
      </c>
      <c r="C178" s="360" t="s">
        <v>132</v>
      </c>
      <c r="D178" s="360" t="s">
        <v>1049</v>
      </c>
      <c r="E178" s="360"/>
      <c r="F178" s="311">
        <f>F179</f>
        <v>215.1</v>
      </c>
      <c r="G178" s="363"/>
      <c r="H178" s="363"/>
      <c r="I178" s="363"/>
      <c r="J178" s="363"/>
      <c r="K178" s="363"/>
    </row>
    <row r="179" spans="1:11" s="291" customFormat="1" ht="31.5" x14ac:dyDescent="0.25">
      <c r="A179" s="22" t="s">
        <v>123</v>
      </c>
      <c r="B179" s="360" t="s">
        <v>116</v>
      </c>
      <c r="C179" s="360" t="s">
        <v>132</v>
      </c>
      <c r="D179" s="360" t="s">
        <v>1049</v>
      </c>
      <c r="E179" s="360" t="s">
        <v>124</v>
      </c>
      <c r="F179" s="311">
        <f>F180</f>
        <v>215.1</v>
      </c>
      <c r="G179" s="363"/>
      <c r="H179" s="363"/>
      <c r="I179" s="363"/>
      <c r="J179" s="363"/>
      <c r="K179" s="363"/>
    </row>
    <row r="180" spans="1:11" s="291" customFormat="1" ht="31.5" x14ac:dyDescent="0.25">
      <c r="A180" s="22" t="s">
        <v>125</v>
      </c>
      <c r="B180" s="360" t="s">
        <v>116</v>
      </c>
      <c r="C180" s="360" t="s">
        <v>132</v>
      </c>
      <c r="D180" s="360" t="s">
        <v>1049</v>
      </c>
      <c r="E180" s="360" t="s">
        <v>126</v>
      </c>
      <c r="F180" s="311">
        <f>'Пр.4 ведом.22'!G256</f>
        <v>215.1</v>
      </c>
      <c r="G180" s="363"/>
      <c r="H180" s="363"/>
      <c r="I180" s="363"/>
      <c r="J180" s="363"/>
      <c r="K180" s="363"/>
    </row>
    <row r="181" spans="1:11" s="362" customFormat="1" ht="31.5" x14ac:dyDescent="0.25">
      <c r="A181" s="22" t="s">
        <v>1131</v>
      </c>
      <c r="B181" s="360" t="s">
        <v>116</v>
      </c>
      <c r="C181" s="360" t="s">
        <v>132</v>
      </c>
      <c r="D181" s="9" t="s">
        <v>1132</v>
      </c>
      <c r="E181" s="360"/>
      <c r="F181" s="311">
        <f>F182</f>
        <v>106.42</v>
      </c>
      <c r="G181" s="363"/>
      <c r="H181" s="363"/>
      <c r="I181" s="363"/>
      <c r="J181" s="363"/>
      <c r="K181" s="363"/>
    </row>
    <row r="182" spans="1:11" s="362" customFormat="1" ht="31.5" x14ac:dyDescent="0.25">
      <c r="A182" s="22" t="s">
        <v>123</v>
      </c>
      <c r="B182" s="360" t="s">
        <v>116</v>
      </c>
      <c r="C182" s="360" t="s">
        <v>132</v>
      </c>
      <c r="D182" s="9" t="s">
        <v>1132</v>
      </c>
      <c r="E182" s="360" t="s">
        <v>124</v>
      </c>
      <c r="F182" s="311">
        <f>F183</f>
        <v>106.42</v>
      </c>
      <c r="G182" s="363"/>
      <c r="H182" s="363"/>
      <c r="I182" s="363"/>
      <c r="J182" s="363"/>
      <c r="K182" s="363"/>
    </row>
    <row r="183" spans="1:11" s="362" customFormat="1" ht="31.5" x14ac:dyDescent="0.25">
      <c r="A183" s="22" t="s">
        <v>125</v>
      </c>
      <c r="B183" s="360" t="s">
        <v>116</v>
      </c>
      <c r="C183" s="360" t="s">
        <v>132</v>
      </c>
      <c r="D183" s="9" t="s">
        <v>1132</v>
      </c>
      <c r="E183" s="360" t="s">
        <v>126</v>
      </c>
      <c r="F183" s="311">
        <f>'Пр.4 ведом.22'!G259</f>
        <v>106.42</v>
      </c>
      <c r="G183" s="363"/>
      <c r="H183" s="363"/>
      <c r="I183" s="363"/>
      <c r="J183" s="363"/>
      <c r="K183" s="363"/>
    </row>
    <row r="184" spans="1:11" s="362" customFormat="1" ht="47.25" x14ac:dyDescent="0.25">
      <c r="A184" s="315" t="s">
        <v>859</v>
      </c>
      <c r="B184" s="316" t="s">
        <v>116</v>
      </c>
      <c r="C184" s="316" t="s">
        <v>132</v>
      </c>
      <c r="D184" s="316" t="s">
        <v>206</v>
      </c>
      <c r="E184" s="316"/>
      <c r="F184" s="310">
        <f>F185</f>
        <v>12</v>
      </c>
      <c r="G184" s="363"/>
      <c r="H184" s="363"/>
      <c r="I184" s="363"/>
      <c r="J184" s="363"/>
      <c r="K184" s="363"/>
    </row>
    <row r="185" spans="1:11" s="362" customFormat="1" ht="47.25" x14ac:dyDescent="0.25">
      <c r="A185" s="364" t="s">
        <v>634</v>
      </c>
      <c r="B185" s="365" t="s">
        <v>116</v>
      </c>
      <c r="C185" s="365" t="s">
        <v>132</v>
      </c>
      <c r="D185" s="365" t="s">
        <v>589</v>
      </c>
      <c r="E185" s="365"/>
      <c r="F185" s="311">
        <f>F186</f>
        <v>12</v>
      </c>
      <c r="G185" s="363"/>
      <c r="H185" s="363"/>
      <c r="I185" s="363"/>
      <c r="J185" s="363"/>
      <c r="K185" s="363"/>
    </row>
    <row r="186" spans="1:11" s="362" customFormat="1" ht="31.5" x14ac:dyDescent="0.25">
      <c r="A186" s="364" t="s">
        <v>153</v>
      </c>
      <c r="B186" s="365" t="s">
        <v>116</v>
      </c>
      <c r="C186" s="365" t="s">
        <v>132</v>
      </c>
      <c r="D186" s="365" t="s">
        <v>589</v>
      </c>
      <c r="E186" s="365" t="s">
        <v>124</v>
      </c>
      <c r="F186" s="311">
        <f>F187</f>
        <v>12</v>
      </c>
      <c r="G186" s="363"/>
      <c r="H186" s="363"/>
      <c r="I186" s="363"/>
      <c r="J186" s="363"/>
      <c r="K186" s="363"/>
    </row>
    <row r="187" spans="1:11" s="362" customFormat="1" ht="31.5" x14ac:dyDescent="0.25">
      <c r="A187" s="364" t="s">
        <v>125</v>
      </c>
      <c r="B187" s="365" t="s">
        <v>116</v>
      </c>
      <c r="C187" s="365" t="s">
        <v>132</v>
      </c>
      <c r="D187" s="365" t="s">
        <v>589</v>
      </c>
      <c r="E187" s="365" t="s">
        <v>126</v>
      </c>
      <c r="F187" s="311">
        <f>'Пр.4 ведом.22'!G138</f>
        <v>12</v>
      </c>
      <c r="G187" s="363"/>
      <c r="H187" s="363"/>
      <c r="I187" s="363"/>
      <c r="J187" s="363"/>
      <c r="K187" s="363"/>
    </row>
    <row r="188" spans="1:11" ht="47.25" x14ac:dyDescent="0.25">
      <c r="A188" s="315" t="s">
        <v>852</v>
      </c>
      <c r="B188" s="316" t="s">
        <v>116</v>
      </c>
      <c r="C188" s="316" t="s">
        <v>132</v>
      </c>
      <c r="D188" s="316" t="s">
        <v>209</v>
      </c>
      <c r="E188" s="316"/>
      <c r="F188" s="38">
        <f>F189</f>
        <v>120</v>
      </c>
    </row>
    <row r="189" spans="1:11" ht="31.5" x14ac:dyDescent="0.25">
      <c r="A189" s="315" t="s">
        <v>610</v>
      </c>
      <c r="B189" s="316" t="s">
        <v>116</v>
      </c>
      <c r="C189" s="316" t="s">
        <v>132</v>
      </c>
      <c r="D189" s="316" t="s">
        <v>611</v>
      </c>
      <c r="E189" s="316"/>
      <c r="F189" s="38">
        <f>F190+F193+F196+F199+F202</f>
        <v>120</v>
      </c>
    </row>
    <row r="190" spans="1:11" ht="31.5" x14ac:dyDescent="0.25">
      <c r="A190" s="69" t="s">
        <v>210</v>
      </c>
      <c r="B190" s="365" t="s">
        <v>116</v>
      </c>
      <c r="C190" s="365" t="s">
        <v>132</v>
      </c>
      <c r="D190" s="365" t="s">
        <v>612</v>
      </c>
      <c r="E190" s="365"/>
      <c r="F190" s="10">
        <f t="shared" ref="F190" si="27">F191</f>
        <v>100</v>
      </c>
    </row>
    <row r="191" spans="1:11" ht="31.5" x14ac:dyDescent="0.25">
      <c r="A191" s="364" t="s">
        <v>123</v>
      </c>
      <c r="B191" s="365" t="s">
        <v>116</v>
      </c>
      <c r="C191" s="365" t="s">
        <v>132</v>
      </c>
      <c r="D191" s="365" t="s">
        <v>612</v>
      </c>
      <c r="E191" s="365" t="s">
        <v>124</v>
      </c>
      <c r="F191" s="10">
        <f>F192</f>
        <v>100</v>
      </c>
    </row>
    <row r="192" spans="1:11" ht="31.5" x14ac:dyDescent="0.25">
      <c r="A192" s="364" t="s">
        <v>125</v>
      </c>
      <c r="B192" s="365" t="s">
        <v>116</v>
      </c>
      <c r="C192" s="365" t="s">
        <v>132</v>
      </c>
      <c r="D192" s="365" t="s">
        <v>612</v>
      </c>
      <c r="E192" s="365" t="s">
        <v>126</v>
      </c>
      <c r="F192" s="10">
        <f>'Пр.4 ведом.22'!G615+'Пр.4 ведом.22'!G264+'Пр.4 ведом.22'!G850</f>
        <v>100</v>
      </c>
    </row>
    <row r="193" spans="1:11" ht="31.5" x14ac:dyDescent="0.25">
      <c r="A193" s="364" t="s">
        <v>211</v>
      </c>
      <c r="B193" s="365" t="s">
        <v>116</v>
      </c>
      <c r="C193" s="365" t="s">
        <v>132</v>
      </c>
      <c r="D193" s="365" t="s">
        <v>613</v>
      </c>
      <c r="E193" s="365"/>
      <c r="F193" s="10">
        <f>F194</f>
        <v>20</v>
      </c>
    </row>
    <row r="194" spans="1:11" ht="31.5" x14ac:dyDescent="0.25">
      <c r="A194" s="364" t="s">
        <v>123</v>
      </c>
      <c r="B194" s="365" t="s">
        <v>116</v>
      </c>
      <c r="C194" s="365" t="s">
        <v>132</v>
      </c>
      <c r="D194" s="365" t="s">
        <v>613</v>
      </c>
      <c r="E194" s="365" t="s">
        <v>124</v>
      </c>
      <c r="F194" s="10">
        <f>F195</f>
        <v>20</v>
      </c>
    </row>
    <row r="195" spans="1:11" ht="39.200000000000003" customHeight="1" x14ac:dyDescent="0.25">
      <c r="A195" s="364" t="s">
        <v>125</v>
      </c>
      <c r="B195" s="365" t="s">
        <v>116</v>
      </c>
      <c r="C195" s="365" t="s">
        <v>132</v>
      </c>
      <c r="D195" s="365" t="s">
        <v>613</v>
      </c>
      <c r="E195" s="365" t="s">
        <v>126</v>
      </c>
      <c r="F195" s="10">
        <f>'Пр.4 ведом.22'!G267</f>
        <v>20</v>
      </c>
    </row>
    <row r="196" spans="1:11" ht="47.25" hidden="1" x14ac:dyDescent="0.25">
      <c r="A196" s="24" t="s">
        <v>351</v>
      </c>
      <c r="B196" s="365" t="s">
        <v>116</v>
      </c>
      <c r="C196" s="365" t="s">
        <v>132</v>
      </c>
      <c r="D196" s="365" t="s">
        <v>614</v>
      </c>
      <c r="E196" s="365"/>
      <c r="F196" s="10">
        <f t="shared" ref="F196" si="28">F197</f>
        <v>0</v>
      </c>
    </row>
    <row r="197" spans="1:11" ht="31.5" hidden="1" x14ac:dyDescent="0.25">
      <c r="A197" s="364" t="s">
        <v>123</v>
      </c>
      <c r="B197" s="365" t="s">
        <v>116</v>
      </c>
      <c r="C197" s="365" t="s">
        <v>132</v>
      </c>
      <c r="D197" s="365" t="s">
        <v>614</v>
      </c>
      <c r="E197" s="365" t="s">
        <v>124</v>
      </c>
      <c r="F197" s="10">
        <f>F198</f>
        <v>0</v>
      </c>
    </row>
    <row r="198" spans="1:11" ht="31.5" hidden="1" x14ac:dyDescent="0.25">
      <c r="A198" s="364" t="s">
        <v>125</v>
      </c>
      <c r="B198" s="365" t="s">
        <v>116</v>
      </c>
      <c r="C198" s="365" t="s">
        <v>132</v>
      </c>
      <c r="D198" s="365" t="s">
        <v>614</v>
      </c>
      <c r="E198" s="365" t="s">
        <v>126</v>
      </c>
      <c r="F198" s="10">
        <f>'Пр.4 ведом.22'!G270</f>
        <v>0</v>
      </c>
    </row>
    <row r="199" spans="1:11" ht="15.75" hidden="1" x14ac:dyDescent="0.25">
      <c r="A199" s="364" t="s">
        <v>557</v>
      </c>
      <c r="B199" s="365" t="s">
        <v>116</v>
      </c>
      <c r="C199" s="365" t="s">
        <v>132</v>
      </c>
      <c r="D199" s="365" t="s">
        <v>615</v>
      </c>
      <c r="E199" s="365"/>
      <c r="F199" s="10">
        <f t="shared" ref="F199" si="29">F200</f>
        <v>0</v>
      </c>
    </row>
    <row r="200" spans="1:11" ht="31.5" hidden="1" x14ac:dyDescent="0.25">
      <c r="A200" s="364" t="s">
        <v>123</v>
      </c>
      <c r="B200" s="365" t="s">
        <v>116</v>
      </c>
      <c r="C200" s="365" t="s">
        <v>132</v>
      </c>
      <c r="D200" s="365" t="s">
        <v>615</v>
      </c>
      <c r="E200" s="365" t="s">
        <v>124</v>
      </c>
      <c r="F200" s="10">
        <f>F201</f>
        <v>0</v>
      </c>
    </row>
    <row r="201" spans="1:11" ht="31.5" hidden="1" x14ac:dyDescent="0.25">
      <c r="A201" s="364" t="s">
        <v>125</v>
      </c>
      <c r="B201" s="365" t="s">
        <v>116</v>
      </c>
      <c r="C201" s="365" t="s">
        <v>132</v>
      </c>
      <c r="D201" s="365" t="s">
        <v>615</v>
      </c>
      <c r="E201" s="365" t="s">
        <v>126</v>
      </c>
      <c r="F201" s="10">
        <f>'Пр.4 ведом.22'!G273</f>
        <v>0</v>
      </c>
    </row>
    <row r="202" spans="1:11" ht="31.5" hidden="1" x14ac:dyDescent="0.25">
      <c r="A202" s="24" t="s">
        <v>352</v>
      </c>
      <c r="B202" s="365" t="s">
        <v>116</v>
      </c>
      <c r="C202" s="365" t="s">
        <v>132</v>
      </c>
      <c r="D202" s="365" t="s">
        <v>616</v>
      </c>
      <c r="E202" s="365"/>
      <c r="F202" s="10">
        <f>F203</f>
        <v>0</v>
      </c>
    </row>
    <row r="203" spans="1:11" ht="31.5" hidden="1" x14ac:dyDescent="0.25">
      <c r="A203" s="364" t="s">
        <v>123</v>
      </c>
      <c r="B203" s="365" t="s">
        <v>116</v>
      </c>
      <c r="C203" s="365" t="s">
        <v>132</v>
      </c>
      <c r="D203" s="365" t="s">
        <v>616</v>
      </c>
      <c r="E203" s="365" t="s">
        <v>124</v>
      </c>
      <c r="F203" s="10">
        <f>F204</f>
        <v>0</v>
      </c>
    </row>
    <row r="204" spans="1:11" ht="31.5" hidden="1" x14ac:dyDescent="0.25">
      <c r="A204" s="364" t="s">
        <v>125</v>
      </c>
      <c r="B204" s="365" t="s">
        <v>116</v>
      </c>
      <c r="C204" s="365" t="s">
        <v>132</v>
      </c>
      <c r="D204" s="365" t="s">
        <v>616</v>
      </c>
      <c r="E204" s="365" t="s">
        <v>126</v>
      </c>
      <c r="F204" s="10">
        <f>'Пр.4 ведом.22'!G276</f>
        <v>0</v>
      </c>
    </row>
    <row r="205" spans="1:11" ht="47.25" x14ac:dyDescent="0.25">
      <c r="A205" s="359" t="s">
        <v>855</v>
      </c>
      <c r="B205" s="8" t="s">
        <v>116</v>
      </c>
      <c r="C205" s="8" t="s">
        <v>132</v>
      </c>
      <c r="D205" s="316" t="s">
        <v>339</v>
      </c>
      <c r="E205" s="323"/>
      <c r="F205" s="38">
        <f>F206+F210</f>
        <v>58</v>
      </c>
    </row>
    <row r="206" spans="1:11" s="131" customFormat="1" ht="47.25" x14ac:dyDescent="0.25">
      <c r="A206" s="358" t="s">
        <v>422</v>
      </c>
      <c r="B206" s="316" t="s">
        <v>116</v>
      </c>
      <c r="C206" s="316" t="s">
        <v>132</v>
      </c>
      <c r="D206" s="316" t="s">
        <v>428</v>
      </c>
      <c r="E206" s="316"/>
      <c r="F206" s="38">
        <f>F207</f>
        <v>43</v>
      </c>
      <c r="G206" s="363"/>
      <c r="H206" s="363"/>
      <c r="I206" s="363"/>
      <c r="J206" s="363"/>
      <c r="K206" s="363"/>
    </row>
    <row r="207" spans="1:11" ht="39.75" customHeight="1" x14ac:dyDescent="0.25">
      <c r="A207" s="70" t="s">
        <v>355</v>
      </c>
      <c r="B207" s="365" t="s">
        <v>116</v>
      </c>
      <c r="C207" s="365" t="s">
        <v>132</v>
      </c>
      <c r="D207" s="365" t="s">
        <v>423</v>
      </c>
      <c r="E207" s="365"/>
      <c r="F207" s="10">
        <f t="shared" ref="F207:F208" si="30">F208</f>
        <v>43</v>
      </c>
    </row>
    <row r="208" spans="1:11" ht="31.5" x14ac:dyDescent="0.25">
      <c r="A208" s="364" t="s">
        <v>123</v>
      </c>
      <c r="B208" s="365" t="s">
        <v>116</v>
      </c>
      <c r="C208" s="365" t="s">
        <v>132</v>
      </c>
      <c r="D208" s="365" t="s">
        <v>423</v>
      </c>
      <c r="E208" s="365" t="s">
        <v>124</v>
      </c>
      <c r="F208" s="10">
        <f t="shared" si="30"/>
        <v>43</v>
      </c>
    </row>
    <row r="209" spans="1:11" ht="31.5" x14ac:dyDescent="0.25">
      <c r="A209" s="364" t="s">
        <v>125</v>
      </c>
      <c r="B209" s="365" t="s">
        <v>116</v>
      </c>
      <c r="C209" s="365" t="s">
        <v>132</v>
      </c>
      <c r="D209" s="365" t="s">
        <v>423</v>
      </c>
      <c r="E209" s="365" t="s">
        <v>126</v>
      </c>
      <c r="F209" s="10">
        <f>'Пр.4 ведом.22'!G281+'Пр.4 ведом.22'!G143</f>
        <v>43</v>
      </c>
    </row>
    <row r="210" spans="1:11" s="131" customFormat="1" ht="31.5" x14ac:dyDescent="0.25">
      <c r="A210" s="322" t="s">
        <v>586</v>
      </c>
      <c r="B210" s="316" t="s">
        <v>116</v>
      </c>
      <c r="C210" s="316" t="s">
        <v>132</v>
      </c>
      <c r="D210" s="316" t="s">
        <v>429</v>
      </c>
      <c r="E210" s="323"/>
      <c r="F210" s="38">
        <f>F211</f>
        <v>15</v>
      </c>
      <c r="G210" s="363"/>
      <c r="H210" s="363"/>
      <c r="I210" s="363"/>
      <c r="J210" s="363"/>
      <c r="K210" s="363"/>
    </row>
    <row r="211" spans="1:11" ht="33" customHeight="1" x14ac:dyDescent="0.25">
      <c r="A211" s="70" t="s">
        <v>356</v>
      </c>
      <c r="B211" s="365" t="s">
        <v>116</v>
      </c>
      <c r="C211" s="365" t="s">
        <v>132</v>
      </c>
      <c r="D211" s="365" t="s">
        <v>424</v>
      </c>
      <c r="E211" s="319"/>
      <c r="F211" s="10">
        <f t="shared" ref="F211:F212" si="31">F212</f>
        <v>15</v>
      </c>
    </row>
    <row r="212" spans="1:11" ht="31.7" customHeight="1" x14ac:dyDescent="0.25">
      <c r="A212" s="364" t="s">
        <v>123</v>
      </c>
      <c r="B212" s="365" t="s">
        <v>116</v>
      </c>
      <c r="C212" s="365" t="s">
        <v>132</v>
      </c>
      <c r="D212" s="365" t="s">
        <v>424</v>
      </c>
      <c r="E212" s="319" t="s">
        <v>124</v>
      </c>
      <c r="F212" s="10">
        <f t="shared" si="31"/>
        <v>15</v>
      </c>
    </row>
    <row r="213" spans="1:11" ht="40.700000000000003" customHeight="1" x14ac:dyDescent="0.25">
      <c r="A213" s="364" t="s">
        <v>125</v>
      </c>
      <c r="B213" s="365" t="s">
        <v>116</v>
      </c>
      <c r="C213" s="365" t="s">
        <v>132</v>
      </c>
      <c r="D213" s="365" t="s">
        <v>424</v>
      </c>
      <c r="E213" s="319" t="s">
        <v>126</v>
      </c>
      <c r="F213" s="10">
        <f>'Пр.4 ведом.22'!G147</f>
        <v>15</v>
      </c>
    </row>
    <row r="214" spans="1:11" ht="63" hidden="1" x14ac:dyDescent="0.25">
      <c r="A214" s="143" t="s">
        <v>977</v>
      </c>
      <c r="B214" s="316" t="s">
        <v>116</v>
      </c>
      <c r="C214" s="316" t="s">
        <v>132</v>
      </c>
      <c r="D214" s="316" t="s">
        <v>360</v>
      </c>
      <c r="E214" s="323"/>
      <c r="F214" s="38">
        <f>F216</f>
        <v>0</v>
      </c>
    </row>
    <row r="215" spans="1:11" s="131" customFormat="1" ht="31.5" hidden="1" x14ac:dyDescent="0.25">
      <c r="A215" s="315" t="s">
        <v>501</v>
      </c>
      <c r="B215" s="316" t="s">
        <v>116</v>
      </c>
      <c r="C215" s="316" t="s">
        <v>132</v>
      </c>
      <c r="D215" s="316" t="s">
        <v>583</v>
      </c>
      <c r="E215" s="323"/>
      <c r="F215" s="38">
        <f>F216</f>
        <v>0</v>
      </c>
      <c r="G215" s="363"/>
      <c r="H215" s="363"/>
      <c r="I215" s="363"/>
      <c r="J215" s="363"/>
      <c r="K215" s="363"/>
    </row>
    <row r="216" spans="1:11" ht="31.5" hidden="1" x14ac:dyDescent="0.25">
      <c r="A216" s="111" t="s">
        <v>368</v>
      </c>
      <c r="B216" s="365" t="s">
        <v>116</v>
      </c>
      <c r="C216" s="365" t="s">
        <v>132</v>
      </c>
      <c r="D216" s="365" t="s">
        <v>584</v>
      </c>
      <c r="E216" s="319"/>
      <c r="F216" s="10">
        <f>F217</f>
        <v>0</v>
      </c>
    </row>
    <row r="217" spans="1:11" ht="31.5" hidden="1" x14ac:dyDescent="0.25">
      <c r="A217" s="111" t="s">
        <v>123</v>
      </c>
      <c r="B217" s="365" t="s">
        <v>116</v>
      </c>
      <c r="C217" s="365" t="s">
        <v>132</v>
      </c>
      <c r="D217" s="365" t="s">
        <v>584</v>
      </c>
      <c r="E217" s="319" t="s">
        <v>124</v>
      </c>
      <c r="F217" s="10">
        <f>F218</f>
        <v>0</v>
      </c>
    </row>
    <row r="218" spans="1:11" ht="31.5" hidden="1" x14ac:dyDescent="0.25">
      <c r="A218" s="111" t="s">
        <v>125</v>
      </c>
      <c r="B218" s="365" t="s">
        <v>116</v>
      </c>
      <c r="C218" s="365" t="s">
        <v>132</v>
      </c>
      <c r="D218" s="365" t="s">
        <v>584</v>
      </c>
      <c r="E218" s="319" t="s">
        <v>126</v>
      </c>
      <c r="F218" s="10">
        <f>'Пр.4 ведом.22'!G591</f>
        <v>0</v>
      </c>
    </row>
    <row r="219" spans="1:11" ht="78.75" x14ac:dyDescent="0.25">
      <c r="A219" s="359" t="s">
        <v>872</v>
      </c>
      <c r="B219" s="8" t="s">
        <v>116</v>
      </c>
      <c r="C219" s="8" t="s">
        <v>132</v>
      </c>
      <c r="D219" s="366" t="s">
        <v>395</v>
      </c>
      <c r="E219" s="8"/>
      <c r="F219" s="38">
        <f>F220</f>
        <v>45</v>
      </c>
    </row>
    <row r="220" spans="1:11" s="131" customFormat="1" ht="47.25" x14ac:dyDescent="0.25">
      <c r="A220" s="139" t="s">
        <v>430</v>
      </c>
      <c r="B220" s="8" t="s">
        <v>116</v>
      </c>
      <c r="C220" s="8" t="s">
        <v>132</v>
      </c>
      <c r="D220" s="122" t="s">
        <v>630</v>
      </c>
      <c r="E220" s="8"/>
      <c r="F220" s="38">
        <f>F221</f>
        <v>45</v>
      </c>
      <c r="G220" s="363"/>
      <c r="H220" s="363"/>
      <c r="I220" s="363"/>
      <c r="J220" s="363"/>
      <c r="K220" s="363"/>
    </row>
    <row r="221" spans="1:11" ht="31.5" x14ac:dyDescent="0.25">
      <c r="A221" s="69" t="s">
        <v>145</v>
      </c>
      <c r="B221" s="9" t="s">
        <v>116</v>
      </c>
      <c r="C221" s="9" t="s">
        <v>132</v>
      </c>
      <c r="D221" s="5" t="s">
        <v>431</v>
      </c>
      <c r="E221" s="9"/>
      <c r="F221" s="10">
        <f>F222</f>
        <v>45</v>
      </c>
    </row>
    <row r="222" spans="1:11" ht="31.5" x14ac:dyDescent="0.25">
      <c r="A222" s="364" t="s">
        <v>123</v>
      </c>
      <c r="B222" s="9" t="s">
        <v>116</v>
      </c>
      <c r="C222" s="9" t="s">
        <v>132</v>
      </c>
      <c r="D222" s="5" t="s">
        <v>431</v>
      </c>
      <c r="E222" s="9" t="s">
        <v>124</v>
      </c>
      <c r="F222" s="10">
        <f>F223</f>
        <v>45</v>
      </c>
    </row>
    <row r="223" spans="1:11" ht="31.5" x14ac:dyDescent="0.25">
      <c r="A223" s="364" t="s">
        <v>125</v>
      </c>
      <c r="B223" s="9" t="s">
        <v>116</v>
      </c>
      <c r="C223" s="9" t="s">
        <v>132</v>
      </c>
      <c r="D223" s="5" t="s">
        <v>431</v>
      </c>
      <c r="E223" s="9" t="s">
        <v>126</v>
      </c>
      <c r="F223" s="10">
        <f>'Пр.4 ведом.22'!G152</f>
        <v>45</v>
      </c>
    </row>
    <row r="224" spans="1:11" s="362" customFormat="1" ht="63" x14ac:dyDescent="0.25">
      <c r="A224" s="359" t="s">
        <v>1317</v>
      </c>
      <c r="B224" s="8" t="s">
        <v>116</v>
      </c>
      <c r="C224" s="8" t="s">
        <v>132</v>
      </c>
      <c r="D224" s="122" t="s">
        <v>1307</v>
      </c>
      <c r="E224" s="8"/>
      <c r="F224" s="38">
        <f>F225</f>
        <v>30</v>
      </c>
      <c r="G224" s="363"/>
      <c r="H224" s="363"/>
      <c r="I224" s="363"/>
      <c r="J224" s="363"/>
      <c r="K224" s="363"/>
    </row>
    <row r="225" spans="1:11" s="362" customFormat="1" ht="47.25" x14ac:dyDescent="0.25">
      <c r="A225" s="359" t="s">
        <v>1318</v>
      </c>
      <c r="B225" s="9" t="s">
        <v>116</v>
      </c>
      <c r="C225" s="9" t="s">
        <v>132</v>
      </c>
      <c r="D225" s="5" t="s">
        <v>1308</v>
      </c>
      <c r="E225" s="9"/>
      <c r="F225" s="10">
        <f>F226</f>
        <v>30</v>
      </c>
      <c r="G225" s="363"/>
      <c r="H225" s="363"/>
      <c r="I225" s="363"/>
      <c r="J225" s="363"/>
      <c r="K225" s="363"/>
    </row>
    <row r="226" spans="1:11" s="362" customFormat="1" ht="31.5" x14ac:dyDescent="0.25">
      <c r="A226" s="364" t="s">
        <v>1319</v>
      </c>
      <c r="B226" s="9" t="s">
        <v>116</v>
      </c>
      <c r="C226" s="9" t="s">
        <v>132</v>
      </c>
      <c r="D226" s="5" t="s">
        <v>1309</v>
      </c>
      <c r="E226" s="9"/>
      <c r="F226" s="10">
        <f>F227</f>
        <v>30</v>
      </c>
      <c r="G226" s="363"/>
      <c r="H226" s="363"/>
      <c r="I226" s="363"/>
      <c r="J226" s="363"/>
      <c r="K226" s="363"/>
    </row>
    <row r="227" spans="1:11" s="362" customFormat="1" ht="31.5" x14ac:dyDescent="0.25">
      <c r="A227" s="560" t="s">
        <v>177</v>
      </c>
      <c r="B227" s="9" t="s">
        <v>116</v>
      </c>
      <c r="C227" s="9" t="s">
        <v>132</v>
      </c>
      <c r="D227" s="5" t="s">
        <v>1309</v>
      </c>
      <c r="E227" s="9" t="s">
        <v>178</v>
      </c>
      <c r="F227" s="10">
        <f>F228</f>
        <v>30</v>
      </c>
      <c r="G227" s="363"/>
      <c r="H227" s="363"/>
      <c r="I227" s="363"/>
      <c r="J227" s="363"/>
      <c r="K227" s="363"/>
    </row>
    <row r="228" spans="1:11" s="362" customFormat="1" ht="15.75" x14ac:dyDescent="0.25">
      <c r="A228" s="364" t="s">
        <v>1320</v>
      </c>
      <c r="B228" s="9" t="s">
        <v>116</v>
      </c>
      <c r="C228" s="9" t="s">
        <v>132</v>
      </c>
      <c r="D228" s="5" t="s">
        <v>1309</v>
      </c>
      <c r="E228" s="9" t="s">
        <v>1310</v>
      </c>
      <c r="F228" s="10">
        <f>'Пр.4 ведом.22'!G157</f>
        <v>30</v>
      </c>
      <c r="G228" s="363"/>
      <c r="H228" s="363"/>
      <c r="I228" s="363"/>
      <c r="J228" s="363"/>
      <c r="K228" s="363"/>
    </row>
    <row r="229" spans="1:11" ht="63" x14ac:dyDescent="0.25">
      <c r="A229" s="359" t="s">
        <v>873</v>
      </c>
      <c r="B229" s="8" t="s">
        <v>116</v>
      </c>
      <c r="C229" s="8" t="s">
        <v>132</v>
      </c>
      <c r="D229" s="122" t="s">
        <v>396</v>
      </c>
      <c r="E229" s="8"/>
      <c r="F229" s="310">
        <f>F230</f>
        <v>80</v>
      </c>
    </row>
    <row r="230" spans="1:11" ht="31.5" x14ac:dyDescent="0.25">
      <c r="A230" s="37" t="s">
        <v>432</v>
      </c>
      <c r="B230" s="8" t="s">
        <v>116</v>
      </c>
      <c r="C230" s="8" t="s">
        <v>132</v>
      </c>
      <c r="D230" s="122" t="s">
        <v>440</v>
      </c>
      <c r="E230" s="8"/>
      <c r="F230" s="310">
        <f t="shared" ref="F230:F231" si="32">F231</f>
        <v>80</v>
      </c>
    </row>
    <row r="231" spans="1:11" ht="15.75" x14ac:dyDescent="0.25">
      <c r="A231" s="31" t="s">
        <v>400</v>
      </c>
      <c r="B231" s="9" t="s">
        <v>116</v>
      </c>
      <c r="C231" s="9" t="s">
        <v>132</v>
      </c>
      <c r="D231" s="5" t="s">
        <v>433</v>
      </c>
      <c r="E231" s="9"/>
      <c r="F231" s="255">
        <f t="shared" si="32"/>
        <v>80</v>
      </c>
    </row>
    <row r="232" spans="1:11" ht="39.75" customHeight="1" x14ac:dyDescent="0.25">
      <c r="A232" s="364" t="s">
        <v>123</v>
      </c>
      <c r="B232" s="9" t="s">
        <v>116</v>
      </c>
      <c r="C232" s="9" t="s">
        <v>132</v>
      </c>
      <c r="D232" s="5" t="s">
        <v>433</v>
      </c>
      <c r="E232" s="9" t="s">
        <v>124</v>
      </c>
      <c r="F232" s="255">
        <f>F233</f>
        <v>80</v>
      </c>
      <c r="G232" s="74"/>
    </row>
    <row r="233" spans="1:11" ht="31.5" x14ac:dyDescent="0.25">
      <c r="A233" s="364" t="s">
        <v>125</v>
      </c>
      <c r="B233" s="9" t="s">
        <v>116</v>
      </c>
      <c r="C233" s="9" t="s">
        <v>132</v>
      </c>
      <c r="D233" s="5" t="s">
        <v>433</v>
      </c>
      <c r="E233" s="9" t="s">
        <v>126</v>
      </c>
      <c r="F233" s="311">
        <f>'Пр.4 ведом.22'!G162</f>
        <v>80</v>
      </c>
    </row>
    <row r="234" spans="1:11" s="131" customFormat="1" ht="15.75" hidden="1" x14ac:dyDescent="0.25">
      <c r="A234" s="315" t="s">
        <v>157</v>
      </c>
      <c r="B234" s="316" t="s">
        <v>158</v>
      </c>
      <c r="C234" s="316"/>
      <c r="D234" s="316"/>
      <c r="E234" s="316"/>
      <c r="F234" s="310">
        <f t="shared" ref="F234:F239" si="33">F235</f>
        <v>0</v>
      </c>
      <c r="G234" s="363"/>
      <c r="H234" s="363"/>
      <c r="I234" s="363"/>
      <c r="J234" s="363"/>
      <c r="K234" s="363"/>
    </row>
    <row r="235" spans="1:11" s="131" customFormat="1" ht="19.5" hidden="1" customHeight="1" x14ac:dyDescent="0.25">
      <c r="A235" s="315" t="s">
        <v>160</v>
      </c>
      <c r="B235" s="316" t="s">
        <v>158</v>
      </c>
      <c r="C235" s="316" t="s">
        <v>161</v>
      </c>
      <c r="D235" s="316"/>
      <c r="E235" s="316"/>
      <c r="F235" s="310">
        <f t="shared" si="33"/>
        <v>0</v>
      </c>
      <c r="G235" s="363"/>
      <c r="H235" s="363"/>
      <c r="I235" s="363"/>
      <c r="J235" s="363"/>
      <c r="K235" s="363"/>
    </row>
    <row r="236" spans="1:11" s="131" customFormat="1" ht="15.75" hidden="1" x14ac:dyDescent="0.25">
      <c r="A236" s="315" t="s">
        <v>133</v>
      </c>
      <c r="B236" s="316" t="s">
        <v>158</v>
      </c>
      <c r="C236" s="316" t="s">
        <v>161</v>
      </c>
      <c r="D236" s="316" t="s">
        <v>442</v>
      </c>
      <c r="E236" s="316"/>
      <c r="F236" s="310">
        <f t="shared" si="33"/>
        <v>0</v>
      </c>
      <c r="G236" s="363"/>
      <c r="H236" s="363"/>
      <c r="I236" s="363"/>
      <c r="J236" s="363"/>
      <c r="K236" s="363"/>
    </row>
    <row r="237" spans="1:11" s="131" customFormat="1" ht="31.5" hidden="1" x14ac:dyDescent="0.25">
      <c r="A237" s="315" t="s">
        <v>446</v>
      </c>
      <c r="B237" s="316" t="s">
        <v>158</v>
      </c>
      <c r="C237" s="316" t="s">
        <v>161</v>
      </c>
      <c r="D237" s="316" t="s">
        <v>441</v>
      </c>
      <c r="E237" s="316"/>
      <c r="F237" s="310">
        <f t="shared" si="33"/>
        <v>0</v>
      </c>
      <c r="G237" s="363"/>
      <c r="H237" s="363"/>
      <c r="I237" s="363"/>
      <c r="J237" s="363"/>
      <c r="K237" s="363"/>
    </row>
    <row r="238" spans="1:11" s="131" customFormat="1" ht="15.75" hidden="1" x14ac:dyDescent="0.25">
      <c r="A238" s="364" t="s">
        <v>162</v>
      </c>
      <c r="B238" s="365" t="s">
        <v>158</v>
      </c>
      <c r="C238" s="365" t="s">
        <v>161</v>
      </c>
      <c r="D238" s="365" t="s">
        <v>447</v>
      </c>
      <c r="E238" s="365"/>
      <c r="F238" s="311">
        <f t="shared" si="33"/>
        <v>0</v>
      </c>
      <c r="G238" s="363"/>
      <c r="H238" s="363"/>
      <c r="I238" s="363"/>
      <c r="J238" s="363"/>
      <c r="K238" s="363"/>
    </row>
    <row r="239" spans="1:11" s="131" customFormat="1" ht="31.5" hidden="1" x14ac:dyDescent="0.25">
      <c r="A239" s="364" t="s">
        <v>153</v>
      </c>
      <c r="B239" s="365" t="s">
        <v>158</v>
      </c>
      <c r="C239" s="365" t="s">
        <v>161</v>
      </c>
      <c r="D239" s="365" t="s">
        <v>447</v>
      </c>
      <c r="E239" s="365" t="s">
        <v>124</v>
      </c>
      <c r="F239" s="311">
        <f t="shared" si="33"/>
        <v>0</v>
      </c>
      <c r="G239" s="363"/>
      <c r="H239" s="363"/>
      <c r="I239" s="363"/>
      <c r="J239" s="363"/>
      <c r="K239" s="363"/>
    </row>
    <row r="240" spans="1:11" s="131" customFormat="1" ht="31.5" hidden="1" x14ac:dyDescent="0.25">
      <c r="A240" s="364" t="s">
        <v>125</v>
      </c>
      <c r="B240" s="365" t="s">
        <v>158</v>
      </c>
      <c r="C240" s="365" t="s">
        <v>161</v>
      </c>
      <c r="D240" s="365" t="s">
        <v>447</v>
      </c>
      <c r="E240" s="365" t="s">
        <v>126</v>
      </c>
      <c r="F240" s="311">
        <f>'Пр.4 ведом.22'!G169</f>
        <v>0</v>
      </c>
      <c r="G240" s="363"/>
      <c r="H240" s="363"/>
      <c r="I240" s="363"/>
      <c r="J240" s="363"/>
      <c r="K240" s="363"/>
    </row>
    <row r="241" spans="1:10" ht="31.5" x14ac:dyDescent="0.25">
      <c r="A241" s="315" t="s">
        <v>163</v>
      </c>
      <c r="B241" s="316" t="s">
        <v>159</v>
      </c>
      <c r="C241" s="316"/>
      <c r="D241" s="316"/>
      <c r="E241" s="316"/>
      <c r="F241" s="310">
        <f t="shared" ref="F241" si="34">F242</f>
        <v>7704.7</v>
      </c>
    </row>
    <row r="242" spans="1:10" ht="47.25" x14ac:dyDescent="0.25">
      <c r="A242" s="315" t="s">
        <v>848</v>
      </c>
      <c r="B242" s="316" t="s">
        <v>159</v>
      </c>
      <c r="C242" s="316" t="s">
        <v>174</v>
      </c>
      <c r="D242" s="365"/>
      <c r="E242" s="365"/>
      <c r="F242" s="310">
        <f>F243+F261</f>
        <v>7704.7</v>
      </c>
      <c r="G242" s="74"/>
      <c r="H242" s="74"/>
      <c r="I242" s="74"/>
      <c r="J242" s="74"/>
    </row>
    <row r="243" spans="1:10" ht="15.75" x14ac:dyDescent="0.25">
      <c r="A243" s="315" t="s">
        <v>133</v>
      </c>
      <c r="B243" s="316" t="s">
        <v>159</v>
      </c>
      <c r="C243" s="316" t="s">
        <v>174</v>
      </c>
      <c r="D243" s="316" t="s">
        <v>442</v>
      </c>
      <c r="E243" s="316"/>
      <c r="F243" s="310">
        <f>F244+F251</f>
        <v>7704.7</v>
      </c>
    </row>
    <row r="244" spans="1:10" ht="31.5" x14ac:dyDescent="0.25">
      <c r="A244" s="315" t="s">
        <v>446</v>
      </c>
      <c r="B244" s="316" t="s">
        <v>159</v>
      </c>
      <c r="C244" s="316" t="s">
        <v>174</v>
      </c>
      <c r="D244" s="316" t="s">
        <v>441</v>
      </c>
      <c r="E244" s="316"/>
      <c r="F244" s="310">
        <f>F245+F248</f>
        <v>1388.8</v>
      </c>
    </row>
    <row r="245" spans="1:10" ht="47.25" x14ac:dyDescent="0.25">
      <c r="A245" s="364" t="s">
        <v>164</v>
      </c>
      <c r="B245" s="365" t="s">
        <v>159</v>
      </c>
      <c r="C245" s="365" t="s">
        <v>174</v>
      </c>
      <c r="D245" s="365" t="s">
        <v>451</v>
      </c>
      <c r="E245" s="365"/>
      <c r="F245" s="311">
        <f t="shared" ref="F245:F246" si="35">F246</f>
        <v>1084.8</v>
      </c>
    </row>
    <row r="246" spans="1:10" ht="31.5" x14ac:dyDescent="0.25">
      <c r="A246" s="364" t="s">
        <v>153</v>
      </c>
      <c r="B246" s="365" t="s">
        <v>159</v>
      </c>
      <c r="C246" s="365" t="s">
        <v>174</v>
      </c>
      <c r="D246" s="365" t="s">
        <v>451</v>
      </c>
      <c r="E246" s="365" t="s">
        <v>124</v>
      </c>
      <c r="F246" s="311">
        <f t="shared" si="35"/>
        <v>1084.8</v>
      </c>
    </row>
    <row r="247" spans="1:10" ht="31.5" x14ac:dyDescent="0.25">
      <c r="A247" s="364" t="s">
        <v>125</v>
      </c>
      <c r="B247" s="365" t="s">
        <v>159</v>
      </c>
      <c r="C247" s="365" t="s">
        <v>174</v>
      </c>
      <c r="D247" s="365" t="s">
        <v>451</v>
      </c>
      <c r="E247" s="365" t="s">
        <v>126</v>
      </c>
      <c r="F247" s="258">
        <f>'Пр.4 ведом.22'!G176</f>
        <v>1084.8</v>
      </c>
    </row>
    <row r="248" spans="1:10" ht="15.75" x14ac:dyDescent="0.25">
      <c r="A248" s="364" t="s">
        <v>165</v>
      </c>
      <c r="B248" s="365" t="s">
        <v>159</v>
      </c>
      <c r="C248" s="365" t="s">
        <v>174</v>
      </c>
      <c r="D248" s="365" t="s">
        <v>452</v>
      </c>
      <c r="E248" s="365"/>
      <c r="F248" s="258">
        <f t="shared" ref="F248:F249" si="36">F249</f>
        <v>304</v>
      </c>
    </row>
    <row r="249" spans="1:10" ht="31.5" x14ac:dyDescent="0.25">
      <c r="A249" s="364" t="s">
        <v>153</v>
      </c>
      <c r="B249" s="365" t="s">
        <v>159</v>
      </c>
      <c r="C249" s="365" t="s">
        <v>174</v>
      </c>
      <c r="D249" s="365" t="s">
        <v>452</v>
      </c>
      <c r="E249" s="365" t="s">
        <v>124</v>
      </c>
      <c r="F249" s="258">
        <f t="shared" si="36"/>
        <v>304</v>
      </c>
    </row>
    <row r="250" spans="1:10" ht="31.5" x14ac:dyDescent="0.25">
      <c r="A250" s="364" t="s">
        <v>125</v>
      </c>
      <c r="B250" s="365" t="s">
        <v>159</v>
      </c>
      <c r="C250" s="365" t="s">
        <v>174</v>
      </c>
      <c r="D250" s="365" t="s">
        <v>452</v>
      </c>
      <c r="E250" s="365" t="s">
        <v>126</v>
      </c>
      <c r="F250" s="258">
        <f>'Пр.4 ведом.22'!G179+'Пр.4 ведом.22'!G964</f>
        <v>304</v>
      </c>
    </row>
    <row r="251" spans="1:10" ht="31.5" x14ac:dyDescent="0.25">
      <c r="A251" s="315" t="s">
        <v>494</v>
      </c>
      <c r="B251" s="316" t="s">
        <v>159</v>
      </c>
      <c r="C251" s="316" t="s">
        <v>174</v>
      </c>
      <c r="D251" s="316" t="s">
        <v>448</v>
      </c>
      <c r="E251" s="316"/>
      <c r="F251" s="310">
        <f>F252+F257</f>
        <v>6315.9</v>
      </c>
    </row>
    <row r="252" spans="1:10" ht="31.5" x14ac:dyDescent="0.25">
      <c r="A252" s="364" t="s">
        <v>498</v>
      </c>
      <c r="B252" s="365" t="s">
        <v>159</v>
      </c>
      <c r="C252" s="365" t="s">
        <v>174</v>
      </c>
      <c r="D252" s="365" t="s">
        <v>449</v>
      </c>
      <c r="E252" s="365"/>
      <c r="F252" s="255">
        <f>F253+F255</f>
        <v>6057.9</v>
      </c>
      <c r="G252" s="154">
        <f>F252+F257</f>
        <v>6315.9</v>
      </c>
    </row>
    <row r="253" spans="1:10" ht="78.75" x14ac:dyDescent="0.25">
      <c r="A253" s="364" t="s">
        <v>119</v>
      </c>
      <c r="B253" s="365" t="s">
        <v>159</v>
      </c>
      <c r="C253" s="365" t="s">
        <v>174</v>
      </c>
      <c r="D253" s="365" t="s">
        <v>449</v>
      </c>
      <c r="E253" s="365" t="s">
        <v>120</v>
      </c>
      <c r="F253" s="255">
        <f>F254</f>
        <v>5894.9</v>
      </c>
    </row>
    <row r="254" spans="1:10" ht="15.75" x14ac:dyDescent="0.25">
      <c r="A254" s="364" t="s">
        <v>155</v>
      </c>
      <c r="B254" s="365" t="s">
        <v>159</v>
      </c>
      <c r="C254" s="365" t="s">
        <v>174</v>
      </c>
      <c r="D254" s="365" t="s">
        <v>449</v>
      </c>
      <c r="E254" s="365" t="s">
        <v>156</v>
      </c>
      <c r="F254" s="311">
        <f>'Пр.4 ведом.22'!G183</f>
        <v>5894.9</v>
      </c>
    </row>
    <row r="255" spans="1:10" ht="31.5" x14ac:dyDescent="0.25">
      <c r="A255" s="364" t="s">
        <v>153</v>
      </c>
      <c r="B255" s="365" t="s">
        <v>159</v>
      </c>
      <c r="C255" s="365" t="s">
        <v>174</v>
      </c>
      <c r="D255" s="365" t="s">
        <v>449</v>
      </c>
      <c r="E255" s="365" t="s">
        <v>124</v>
      </c>
      <c r="F255" s="311">
        <f>F256</f>
        <v>163</v>
      </c>
    </row>
    <row r="256" spans="1:10" ht="31.5" x14ac:dyDescent="0.25">
      <c r="A256" s="364" t="s">
        <v>125</v>
      </c>
      <c r="B256" s="365" t="s">
        <v>159</v>
      </c>
      <c r="C256" s="365" t="s">
        <v>174</v>
      </c>
      <c r="D256" s="365" t="s">
        <v>449</v>
      </c>
      <c r="E256" s="365" t="s">
        <v>126</v>
      </c>
      <c r="F256" s="311">
        <f>'Пр.4 ведом.22'!G185</f>
        <v>163</v>
      </c>
    </row>
    <row r="257" spans="1:12" ht="47.25" x14ac:dyDescent="0.25">
      <c r="A257" s="364" t="s">
        <v>416</v>
      </c>
      <c r="B257" s="365" t="s">
        <v>159</v>
      </c>
      <c r="C257" s="365" t="s">
        <v>174</v>
      </c>
      <c r="D257" s="365" t="s">
        <v>450</v>
      </c>
      <c r="E257" s="365"/>
      <c r="F257" s="311">
        <f t="shared" ref="F257" si="37">F258</f>
        <v>258</v>
      </c>
    </row>
    <row r="258" spans="1:12" ht="78.75" x14ac:dyDescent="0.25">
      <c r="A258" s="364" t="s">
        <v>119</v>
      </c>
      <c r="B258" s="365" t="s">
        <v>159</v>
      </c>
      <c r="C258" s="365" t="s">
        <v>174</v>
      </c>
      <c r="D258" s="365" t="s">
        <v>450</v>
      </c>
      <c r="E258" s="365" t="s">
        <v>120</v>
      </c>
      <c r="F258" s="311">
        <f>F259</f>
        <v>258</v>
      </c>
    </row>
    <row r="259" spans="1:12" s="131" customFormat="1" ht="16.5" customHeight="1" x14ac:dyDescent="0.25">
      <c r="A259" s="32" t="s">
        <v>212</v>
      </c>
      <c r="B259" s="365" t="s">
        <v>159</v>
      </c>
      <c r="C259" s="365" t="s">
        <v>174</v>
      </c>
      <c r="D259" s="365" t="s">
        <v>450</v>
      </c>
      <c r="E259" s="365" t="s">
        <v>156</v>
      </c>
      <c r="F259" s="311">
        <f>'Пр.4 ведом.22'!G188</f>
        <v>258</v>
      </c>
      <c r="G259" s="363"/>
      <c r="H259" s="363"/>
      <c r="I259" s="363"/>
      <c r="J259" s="363"/>
      <c r="K259" s="363"/>
    </row>
    <row r="260" spans="1:12" s="309" customFormat="1" ht="47.25" hidden="1" x14ac:dyDescent="0.25">
      <c r="A260" s="359" t="s">
        <v>855</v>
      </c>
      <c r="B260" s="8" t="s">
        <v>116</v>
      </c>
      <c r="C260" s="8" t="s">
        <v>132</v>
      </c>
      <c r="D260" s="316" t="s">
        <v>339</v>
      </c>
      <c r="E260" s="365"/>
      <c r="F260" s="310">
        <f>F261</f>
        <v>0</v>
      </c>
      <c r="G260" s="363"/>
      <c r="H260" s="363"/>
      <c r="I260" s="363"/>
      <c r="J260" s="363"/>
      <c r="K260" s="363"/>
    </row>
    <row r="261" spans="1:12" s="309" customFormat="1" ht="31.5" hidden="1" x14ac:dyDescent="0.25">
      <c r="A261" s="315" t="s">
        <v>1017</v>
      </c>
      <c r="B261" s="316" t="s">
        <v>159</v>
      </c>
      <c r="C261" s="316" t="s">
        <v>174</v>
      </c>
      <c r="D261" s="316" t="s">
        <v>1018</v>
      </c>
      <c r="E261" s="323"/>
      <c r="F261" s="310">
        <f>F262+F265</f>
        <v>0</v>
      </c>
      <c r="G261" s="363"/>
      <c r="H261" s="363"/>
      <c r="I261" s="363"/>
      <c r="J261" s="363"/>
      <c r="K261" s="363"/>
    </row>
    <row r="262" spans="1:12" s="309" customFormat="1" ht="15.75" hidden="1" x14ac:dyDescent="0.25">
      <c r="A262" s="364" t="s">
        <v>165</v>
      </c>
      <c r="B262" s="365" t="s">
        <v>159</v>
      </c>
      <c r="C262" s="365" t="s">
        <v>174</v>
      </c>
      <c r="D262" s="365" t="s">
        <v>1019</v>
      </c>
      <c r="E262" s="319"/>
      <c r="F262" s="311">
        <f>F263</f>
        <v>0</v>
      </c>
      <c r="G262" s="363"/>
      <c r="H262" s="363"/>
      <c r="I262" s="363"/>
      <c r="J262" s="363"/>
      <c r="K262" s="363"/>
    </row>
    <row r="263" spans="1:12" s="309" customFormat="1" ht="31.5" hidden="1" x14ac:dyDescent="0.25">
      <c r="A263" s="364" t="s">
        <v>123</v>
      </c>
      <c r="B263" s="365" t="s">
        <v>159</v>
      </c>
      <c r="C263" s="365" t="s">
        <v>174</v>
      </c>
      <c r="D263" s="365" t="s">
        <v>1019</v>
      </c>
      <c r="E263" s="319" t="s">
        <v>124</v>
      </c>
      <c r="F263" s="311">
        <f>F264</f>
        <v>0</v>
      </c>
      <c r="G263" s="363"/>
      <c r="H263" s="363"/>
      <c r="I263" s="363"/>
      <c r="J263" s="363"/>
      <c r="K263" s="363"/>
    </row>
    <row r="264" spans="1:12" s="309" customFormat="1" ht="31.5" hidden="1" x14ac:dyDescent="0.25">
      <c r="A264" s="364" t="s">
        <v>125</v>
      </c>
      <c r="B264" s="365" t="s">
        <v>159</v>
      </c>
      <c r="C264" s="365" t="s">
        <v>174</v>
      </c>
      <c r="D264" s="365" t="s">
        <v>1019</v>
      </c>
      <c r="E264" s="319" t="s">
        <v>126</v>
      </c>
      <c r="F264" s="311">
        <f>'Пр.4 ведом.22'!G193</f>
        <v>0</v>
      </c>
      <c r="G264" s="363"/>
      <c r="H264" s="363"/>
      <c r="I264" s="363"/>
      <c r="J264" s="363"/>
      <c r="K264" s="363"/>
    </row>
    <row r="265" spans="1:12" s="309" customFormat="1" ht="47.25" hidden="1" x14ac:dyDescent="0.25">
      <c r="A265" s="364" t="s">
        <v>1052</v>
      </c>
      <c r="B265" s="365" t="s">
        <v>159</v>
      </c>
      <c r="C265" s="365" t="s">
        <v>174</v>
      </c>
      <c r="D265" s="365" t="s">
        <v>1053</v>
      </c>
      <c r="E265" s="319"/>
      <c r="F265" s="311">
        <f>F266</f>
        <v>0</v>
      </c>
      <c r="G265" s="363"/>
      <c r="H265" s="363"/>
      <c r="I265" s="363"/>
      <c r="J265" s="363"/>
      <c r="K265" s="363"/>
    </row>
    <row r="266" spans="1:12" s="309" customFormat="1" ht="31.5" hidden="1" x14ac:dyDescent="0.25">
      <c r="A266" s="364" t="s">
        <v>177</v>
      </c>
      <c r="B266" s="365" t="s">
        <v>159</v>
      </c>
      <c r="C266" s="365" t="s">
        <v>174</v>
      </c>
      <c r="D266" s="365" t="s">
        <v>1053</v>
      </c>
      <c r="E266" s="319" t="s">
        <v>178</v>
      </c>
      <c r="F266" s="311">
        <f>F267</f>
        <v>0</v>
      </c>
      <c r="G266" s="363"/>
      <c r="H266" s="363"/>
      <c r="I266" s="363"/>
      <c r="J266" s="363"/>
      <c r="K266" s="363"/>
    </row>
    <row r="267" spans="1:12" s="309" customFormat="1" ht="31.5" hidden="1" x14ac:dyDescent="0.25">
      <c r="A267" s="364" t="s">
        <v>179</v>
      </c>
      <c r="B267" s="365" t="s">
        <v>159</v>
      </c>
      <c r="C267" s="365" t="s">
        <v>174</v>
      </c>
      <c r="D267" s="365" t="s">
        <v>1053</v>
      </c>
      <c r="E267" s="319" t="s">
        <v>180</v>
      </c>
      <c r="F267" s="311">
        <f>'Пр.4 ведом.22'!G199</f>
        <v>0</v>
      </c>
      <c r="G267" s="363"/>
      <c r="H267" s="363"/>
      <c r="I267" s="363"/>
      <c r="J267" s="363"/>
      <c r="K267" s="363"/>
    </row>
    <row r="268" spans="1:12" ht="15.75" x14ac:dyDescent="0.25">
      <c r="A268" s="315" t="s">
        <v>166</v>
      </c>
      <c r="B268" s="316" t="s">
        <v>139</v>
      </c>
      <c r="C268" s="316"/>
      <c r="D268" s="316"/>
      <c r="E268" s="365"/>
      <c r="F268" s="310">
        <f>F279+F285+F299+F269</f>
        <v>7074.6</v>
      </c>
      <c r="K268" s="74">
        <f>F268-F301-'Пр.4 ведом.22'!U1226-'Пр.4 ведом.22'!W1226-'Пр.4 ведом.22'!Z1226</f>
        <v>6758.8</v>
      </c>
      <c r="L268" s="16">
        <f>F301+F314+F327-'Пр.4 ведом.22'!U1225-'Пр.4 ведом.22'!Z1225-'Пр.4 ведом.22'!W1225+F272</f>
        <v>745</v>
      </c>
    </row>
    <row r="269" spans="1:12" ht="15.75" x14ac:dyDescent="0.25">
      <c r="A269" s="315" t="s">
        <v>167</v>
      </c>
      <c r="B269" s="316" t="s">
        <v>139</v>
      </c>
      <c r="C269" s="316" t="s">
        <v>168</v>
      </c>
      <c r="D269" s="316"/>
      <c r="E269" s="365"/>
      <c r="F269" s="310">
        <f>F270</f>
        <v>19.199999999999989</v>
      </c>
    </row>
    <row r="270" spans="1:12" ht="31.7" customHeight="1" x14ac:dyDescent="0.25">
      <c r="A270" s="26" t="s">
        <v>874</v>
      </c>
      <c r="B270" s="316" t="s">
        <v>139</v>
      </c>
      <c r="C270" s="316" t="s">
        <v>168</v>
      </c>
      <c r="D270" s="122" t="s">
        <v>147</v>
      </c>
      <c r="E270" s="323"/>
      <c r="F270" s="310">
        <f>F271+F275</f>
        <v>19.199999999999989</v>
      </c>
    </row>
    <row r="271" spans="1:12" ht="31.5" x14ac:dyDescent="0.25">
      <c r="A271" s="26" t="s">
        <v>569</v>
      </c>
      <c r="B271" s="316" t="s">
        <v>139</v>
      </c>
      <c r="C271" s="316" t="s">
        <v>168</v>
      </c>
      <c r="D271" s="171" t="s">
        <v>453</v>
      </c>
      <c r="E271" s="323"/>
      <c r="F271" s="310">
        <f>F272</f>
        <v>19.199999999999989</v>
      </c>
    </row>
    <row r="272" spans="1:12" ht="31.5" x14ac:dyDescent="0.25">
      <c r="A272" s="364" t="s">
        <v>169</v>
      </c>
      <c r="B272" s="365" t="s">
        <v>139</v>
      </c>
      <c r="C272" s="365" t="s">
        <v>168</v>
      </c>
      <c r="D272" s="365" t="s">
        <v>469</v>
      </c>
      <c r="E272" s="319"/>
      <c r="F272" s="311">
        <f>F273</f>
        <v>19.199999999999989</v>
      </c>
    </row>
    <row r="273" spans="1:11" ht="15.75" x14ac:dyDescent="0.25">
      <c r="A273" s="22" t="s">
        <v>127</v>
      </c>
      <c r="B273" s="365" t="s">
        <v>139</v>
      </c>
      <c r="C273" s="365" t="s">
        <v>168</v>
      </c>
      <c r="D273" s="365" t="s">
        <v>469</v>
      </c>
      <c r="E273" s="319" t="s">
        <v>134</v>
      </c>
      <c r="F273" s="311">
        <f>F274</f>
        <v>19.199999999999989</v>
      </c>
    </row>
    <row r="274" spans="1:11" ht="47.25" x14ac:dyDescent="0.25">
      <c r="A274" s="22" t="s">
        <v>148</v>
      </c>
      <c r="B274" s="365" t="s">
        <v>139</v>
      </c>
      <c r="C274" s="365" t="s">
        <v>168</v>
      </c>
      <c r="D274" s="365" t="s">
        <v>469</v>
      </c>
      <c r="E274" s="319" t="s">
        <v>142</v>
      </c>
      <c r="F274" s="311">
        <f>'Пр.4 ведом.22'!G206</f>
        <v>19.199999999999989</v>
      </c>
    </row>
    <row r="275" spans="1:11" ht="47.25" hidden="1" x14ac:dyDescent="0.25">
      <c r="A275" s="140" t="s">
        <v>570</v>
      </c>
      <c r="B275" s="316" t="s">
        <v>139</v>
      </c>
      <c r="C275" s="316" t="s">
        <v>168</v>
      </c>
      <c r="D275" s="122" t="s">
        <v>455</v>
      </c>
      <c r="E275" s="323"/>
      <c r="F275" s="310">
        <f>F276</f>
        <v>0</v>
      </c>
    </row>
    <row r="276" spans="1:11" s="131" customFormat="1" ht="15.75" hidden="1" x14ac:dyDescent="0.25">
      <c r="A276" s="364" t="s">
        <v>454</v>
      </c>
      <c r="B276" s="365" t="s">
        <v>139</v>
      </c>
      <c r="C276" s="365" t="s">
        <v>168</v>
      </c>
      <c r="D276" s="5" t="s">
        <v>470</v>
      </c>
      <c r="E276" s="319"/>
      <c r="F276" s="311">
        <f>F277</f>
        <v>0</v>
      </c>
      <c r="G276" s="363"/>
      <c r="H276" s="363"/>
      <c r="I276" s="363"/>
      <c r="J276" s="363"/>
      <c r="K276" s="363"/>
    </row>
    <row r="277" spans="1:11" s="131" customFormat="1" ht="15.75" hidden="1" x14ac:dyDescent="0.25">
      <c r="A277" s="22" t="s">
        <v>127</v>
      </c>
      <c r="B277" s="365" t="s">
        <v>139</v>
      </c>
      <c r="C277" s="365" t="s">
        <v>168</v>
      </c>
      <c r="D277" s="5" t="s">
        <v>470</v>
      </c>
      <c r="E277" s="319" t="s">
        <v>134</v>
      </c>
      <c r="F277" s="311">
        <f>F278</f>
        <v>0</v>
      </c>
      <c r="G277" s="363"/>
      <c r="H277" s="363"/>
      <c r="I277" s="363"/>
      <c r="J277" s="363"/>
      <c r="K277" s="363"/>
    </row>
    <row r="278" spans="1:11" s="131" customFormat="1" ht="47.25" hidden="1" x14ac:dyDescent="0.25">
      <c r="A278" s="22" t="s">
        <v>148</v>
      </c>
      <c r="B278" s="365" t="s">
        <v>139</v>
      </c>
      <c r="C278" s="365" t="s">
        <v>168</v>
      </c>
      <c r="D278" s="5" t="s">
        <v>470</v>
      </c>
      <c r="E278" s="319" t="s">
        <v>142</v>
      </c>
      <c r="F278" s="311">
        <f>'Пр.4 ведом.22'!G210</f>
        <v>0</v>
      </c>
      <c r="G278" s="363"/>
      <c r="H278" s="363"/>
      <c r="I278" s="363"/>
      <c r="J278" s="363"/>
      <c r="K278" s="363"/>
    </row>
    <row r="279" spans="1:11" ht="15.75" x14ac:dyDescent="0.25">
      <c r="A279" s="315" t="s">
        <v>256</v>
      </c>
      <c r="B279" s="316" t="s">
        <v>139</v>
      </c>
      <c r="C279" s="316" t="s">
        <v>203</v>
      </c>
      <c r="D279" s="316"/>
      <c r="E279" s="316"/>
      <c r="F279" s="310">
        <f t="shared" ref="F279:F283" si="38">F280</f>
        <v>3258</v>
      </c>
    </row>
    <row r="280" spans="1:11" ht="15.75" x14ac:dyDescent="0.25">
      <c r="A280" s="315" t="s">
        <v>133</v>
      </c>
      <c r="B280" s="316" t="s">
        <v>139</v>
      </c>
      <c r="C280" s="316" t="s">
        <v>203</v>
      </c>
      <c r="D280" s="316" t="s">
        <v>442</v>
      </c>
      <c r="E280" s="316"/>
      <c r="F280" s="310">
        <f t="shared" si="38"/>
        <v>3258</v>
      </c>
    </row>
    <row r="281" spans="1:11" ht="31.5" x14ac:dyDescent="0.25">
      <c r="A281" s="315" t="s">
        <v>446</v>
      </c>
      <c r="B281" s="316" t="s">
        <v>139</v>
      </c>
      <c r="C281" s="316" t="s">
        <v>203</v>
      </c>
      <c r="D281" s="316" t="s">
        <v>441</v>
      </c>
      <c r="E281" s="316"/>
      <c r="F281" s="310">
        <f t="shared" si="38"/>
        <v>3258</v>
      </c>
    </row>
    <row r="282" spans="1:11" ht="17.45" customHeight="1" x14ac:dyDescent="0.25">
      <c r="A282" s="364" t="s">
        <v>257</v>
      </c>
      <c r="B282" s="365" t="s">
        <v>139</v>
      </c>
      <c r="C282" s="365" t="s">
        <v>203</v>
      </c>
      <c r="D282" s="365" t="s">
        <v>522</v>
      </c>
      <c r="E282" s="365"/>
      <c r="F282" s="311">
        <f t="shared" si="38"/>
        <v>3258</v>
      </c>
    </row>
    <row r="283" spans="1:11" ht="34.5" customHeight="1" x14ac:dyDescent="0.25">
      <c r="A283" s="364" t="s">
        <v>123</v>
      </c>
      <c r="B283" s="365" t="s">
        <v>139</v>
      </c>
      <c r="C283" s="365" t="s">
        <v>203</v>
      </c>
      <c r="D283" s="365" t="s">
        <v>522</v>
      </c>
      <c r="E283" s="365" t="s">
        <v>124</v>
      </c>
      <c r="F283" s="311">
        <f t="shared" si="38"/>
        <v>3258</v>
      </c>
    </row>
    <row r="284" spans="1:11" ht="38.25" customHeight="1" x14ac:dyDescent="0.25">
      <c r="A284" s="364" t="s">
        <v>125</v>
      </c>
      <c r="B284" s="365" t="s">
        <v>139</v>
      </c>
      <c r="C284" s="365" t="s">
        <v>203</v>
      </c>
      <c r="D284" s="365" t="s">
        <v>522</v>
      </c>
      <c r="E284" s="365" t="s">
        <v>126</v>
      </c>
      <c r="F284" s="255">
        <f>'Пр.4 ведом.22'!G980</f>
        <v>3258</v>
      </c>
    </row>
    <row r="285" spans="1:11" ht="15.75" x14ac:dyDescent="0.25">
      <c r="A285" s="315" t="s">
        <v>258</v>
      </c>
      <c r="B285" s="316" t="s">
        <v>139</v>
      </c>
      <c r="C285" s="316" t="s">
        <v>161</v>
      </c>
      <c r="D285" s="365"/>
      <c r="E285" s="316"/>
      <c r="F285" s="310">
        <f t="shared" ref="F285" si="39">F286</f>
        <v>3071.6000000000004</v>
      </c>
    </row>
    <row r="286" spans="1:11" ht="47.25" x14ac:dyDescent="0.25">
      <c r="A286" s="26" t="s">
        <v>870</v>
      </c>
      <c r="B286" s="316" t="s">
        <v>139</v>
      </c>
      <c r="C286" s="316" t="s">
        <v>161</v>
      </c>
      <c r="D286" s="316" t="s">
        <v>259</v>
      </c>
      <c r="E286" s="316"/>
      <c r="F286" s="38">
        <f>F287+F291</f>
        <v>3071.6000000000004</v>
      </c>
    </row>
    <row r="287" spans="1:11" ht="31.5" hidden="1" x14ac:dyDescent="0.25">
      <c r="A287" s="26" t="s">
        <v>562</v>
      </c>
      <c r="B287" s="316" t="s">
        <v>139</v>
      </c>
      <c r="C287" s="316" t="s">
        <v>161</v>
      </c>
      <c r="D287" s="7" t="s">
        <v>523</v>
      </c>
      <c r="E287" s="316"/>
      <c r="F287" s="38">
        <f>F288</f>
        <v>0</v>
      </c>
    </row>
    <row r="288" spans="1:11" ht="15.75" hidden="1" x14ac:dyDescent="0.25">
      <c r="A288" s="22" t="s">
        <v>564</v>
      </c>
      <c r="B288" s="365" t="s">
        <v>139</v>
      </c>
      <c r="C288" s="365" t="s">
        <v>161</v>
      </c>
      <c r="D288" s="360" t="s">
        <v>563</v>
      </c>
      <c r="E288" s="365"/>
      <c r="F288" s="10">
        <f>F289</f>
        <v>0</v>
      </c>
    </row>
    <row r="289" spans="1:11" ht="31.5" hidden="1" x14ac:dyDescent="0.25">
      <c r="A289" s="364" t="s">
        <v>123</v>
      </c>
      <c r="B289" s="365" t="s">
        <v>139</v>
      </c>
      <c r="C289" s="365" t="s">
        <v>161</v>
      </c>
      <c r="D289" s="360" t="s">
        <v>563</v>
      </c>
      <c r="E289" s="365" t="s">
        <v>124</v>
      </c>
      <c r="F289" s="255">
        <f>F290</f>
        <v>0</v>
      </c>
    </row>
    <row r="290" spans="1:11" ht="31.5" hidden="1" x14ac:dyDescent="0.25">
      <c r="A290" s="364" t="s">
        <v>125</v>
      </c>
      <c r="B290" s="365" t="s">
        <v>139</v>
      </c>
      <c r="C290" s="365" t="s">
        <v>161</v>
      </c>
      <c r="D290" s="360" t="s">
        <v>563</v>
      </c>
      <c r="E290" s="365" t="s">
        <v>126</v>
      </c>
      <c r="F290" s="255">
        <f>'Пр.4 ведом.22'!G986</f>
        <v>0</v>
      </c>
    </row>
    <row r="291" spans="1:11" ht="31.5" x14ac:dyDescent="0.25">
      <c r="A291" s="26" t="s">
        <v>618</v>
      </c>
      <c r="B291" s="316" t="s">
        <v>139</v>
      </c>
      <c r="C291" s="316" t="s">
        <v>161</v>
      </c>
      <c r="D291" s="316" t="s">
        <v>524</v>
      </c>
      <c r="E291" s="316"/>
      <c r="F291" s="257">
        <f>F292</f>
        <v>3071.6000000000004</v>
      </c>
    </row>
    <row r="292" spans="1:11" s="131" customFormat="1" ht="15.75" x14ac:dyDescent="0.25">
      <c r="A292" s="22" t="s">
        <v>260</v>
      </c>
      <c r="B292" s="365" t="s">
        <v>139</v>
      </c>
      <c r="C292" s="365" t="s">
        <v>161</v>
      </c>
      <c r="D292" s="360" t="s">
        <v>565</v>
      </c>
      <c r="E292" s="365"/>
      <c r="F292" s="255">
        <f>F295+F297+F293</f>
        <v>3071.6000000000004</v>
      </c>
      <c r="G292" s="363"/>
      <c r="H292" s="363"/>
      <c r="I292" s="363"/>
      <c r="J292" s="363"/>
      <c r="K292" s="363"/>
    </row>
    <row r="293" spans="1:11" s="131" customFormat="1" ht="78.75" x14ac:dyDescent="0.25">
      <c r="A293" s="364" t="s">
        <v>119</v>
      </c>
      <c r="B293" s="365" t="s">
        <v>139</v>
      </c>
      <c r="C293" s="365" t="s">
        <v>161</v>
      </c>
      <c r="D293" s="360" t="s">
        <v>565</v>
      </c>
      <c r="E293" s="365" t="s">
        <v>120</v>
      </c>
      <c r="F293" s="255">
        <f>F294</f>
        <v>1907.4</v>
      </c>
      <c r="G293" s="363"/>
      <c r="H293" s="363"/>
      <c r="I293" s="363"/>
      <c r="J293" s="363"/>
      <c r="K293" s="363"/>
    </row>
    <row r="294" spans="1:11" s="131" customFormat="1" ht="15.75" x14ac:dyDescent="0.25">
      <c r="A294" s="364" t="s">
        <v>155</v>
      </c>
      <c r="B294" s="365" t="s">
        <v>139</v>
      </c>
      <c r="C294" s="365" t="s">
        <v>161</v>
      </c>
      <c r="D294" s="360" t="s">
        <v>565</v>
      </c>
      <c r="E294" s="365" t="s">
        <v>156</v>
      </c>
      <c r="F294" s="255">
        <f>'Пр.4 ведом.22'!G990</f>
        <v>1907.4</v>
      </c>
      <c r="G294" s="363"/>
      <c r="H294" s="363"/>
      <c r="I294" s="363"/>
      <c r="J294" s="363"/>
      <c r="K294" s="363"/>
    </row>
    <row r="295" spans="1:11" s="131" customFormat="1" ht="31.5" x14ac:dyDescent="0.25">
      <c r="A295" s="364" t="s">
        <v>123</v>
      </c>
      <c r="B295" s="365" t="s">
        <v>139</v>
      </c>
      <c r="C295" s="365" t="s">
        <v>161</v>
      </c>
      <c r="D295" s="360" t="s">
        <v>565</v>
      </c>
      <c r="E295" s="365" t="s">
        <v>124</v>
      </c>
      <c r="F295" s="255">
        <f>F296</f>
        <v>1164.2</v>
      </c>
      <c r="G295" s="363"/>
      <c r="H295" s="363"/>
      <c r="I295" s="363"/>
      <c r="J295" s="363"/>
      <c r="K295" s="363"/>
    </row>
    <row r="296" spans="1:11" s="131" customFormat="1" ht="35.450000000000003" customHeight="1" x14ac:dyDescent="0.25">
      <c r="A296" s="364" t="s">
        <v>125</v>
      </c>
      <c r="B296" s="365" t="s">
        <v>139</v>
      </c>
      <c r="C296" s="365" t="s">
        <v>161</v>
      </c>
      <c r="D296" s="360" t="s">
        <v>565</v>
      </c>
      <c r="E296" s="365" t="s">
        <v>126</v>
      </c>
      <c r="F296" s="255">
        <f>'Пр.4 ведом.22'!G992</f>
        <v>1164.2</v>
      </c>
      <c r="G296" s="363"/>
      <c r="H296" s="363"/>
      <c r="I296" s="363"/>
      <c r="J296" s="363"/>
      <c r="K296" s="363"/>
    </row>
    <row r="297" spans="1:11" s="131" customFormat="1" ht="15.75" hidden="1" x14ac:dyDescent="0.25">
      <c r="A297" s="364" t="s">
        <v>127</v>
      </c>
      <c r="B297" s="365" t="s">
        <v>139</v>
      </c>
      <c r="C297" s="365" t="s">
        <v>161</v>
      </c>
      <c r="D297" s="360" t="s">
        <v>565</v>
      </c>
      <c r="E297" s="365" t="s">
        <v>134</v>
      </c>
      <c r="F297" s="255">
        <f>F298</f>
        <v>0</v>
      </c>
      <c r="G297" s="363"/>
      <c r="H297" s="363"/>
      <c r="I297" s="363"/>
      <c r="J297" s="363"/>
      <c r="K297" s="363"/>
    </row>
    <row r="298" spans="1:11" s="131" customFormat="1" ht="15.75" hidden="1" x14ac:dyDescent="0.25">
      <c r="A298" s="364" t="s">
        <v>280</v>
      </c>
      <c r="B298" s="365" t="s">
        <v>139</v>
      </c>
      <c r="C298" s="365" t="s">
        <v>161</v>
      </c>
      <c r="D298" s="360" t="s">
        <v>565</v>
      </c>
      <c r="E298" s="365" t="s">
        <v>130</v>
      </c>
      <c r="F298" s="255">
        <f>'Пр.4 ведом.22'!G994</f>
        <v>0</v>
      </c>
      <c r="G298" s="363"/>
      <c r="H298" s="363"/>
      <c r="I298" s="363"/>
      <c r="J298" s="363"/>
      <c r="K298" s="363"/>
    </row>
    <row r="299" spans="1:11" ht="41.45" customHeight="1" x14ac:dyDescent="0.25">
      <c r="A299" s="315" t="s">
        <v>170</v>
      </c>
      <c r="B299" s="316" t="s">
        <v>139</v>
      </c>
      <c r="C299" s="316" t="s">
        <v>171</v>
      </c>
      <c r="D299" s="316"/>
      <c r="E299" s="316"/>
      <c r="F299" s="38">
        <f>F300+F307+F325</f>
        <v>725.8</v>
      </c>
    </row>
    <row r="300" spans="1:11" ht="31.5" x14ac:dyDescent="0.25">
      <c r="A300" s="315" t="s">
        <v>488</v>
      </c>
      <c r="B300" s="316" t="s">
        <v>139</v>
      </c>
      <c r="C300" s="316" t="s">
        <v>171</v>
      </c>
      <c r="D300" s="316" t="s">
        <v>434</v>
      </c>
      <c r="E300" s="316"/>
      <c r="F300" s="38">
        <f>F301</f>
        <v>315.8</v>
      </c>
    </row>
    <row r="301" spans="1:11" ht="31.5" x14ac:dyDescent="0.25">
      <c r="A301" s="315" t="s">
        <v>460</v>
      </c>
      <c r="B301" s="316" t="s">
        <v>139</v>
      </c>
      <c r="C301" s="316" t="s">
        <v>171</v>
      </c>
      <c r="D301" s="316" t="s">
        <v>439</v>
      </c>
      <c r="E301" s="316"/>
      <c r="F301" s="38">
        <f>F302</f>
        <v>315.8</v>
      </c>
    </row>
    <row r="302" spans="1:11" ht="63" x14ac:dyDescent="0.25">
      <c r="A302" s="24" t="s">
        <v>172</v>
      </c>
      <c r="B302" s="365" t="s">
        <v>139</v>
      </c>
      <c r="C302" s="365" t="s">
        <v>171</v>
      </c>
      <c r="D302" s="365" t="s">
        <v>495</v>
      </c>
      <c r="E302" s="365"/>
      <c r="F302" s="10">
        <f>F303+F305</f>
        <v>315.8</v>
      </c>
      <c r="G302" s="154">
        <f>F302+F62+F65+F66+F79+F71+F76+F970+F976</f>
        <v>7554.1</v>
      </c>
    </row>
    <row r="303" spans="1:11" ht="78.75" x14ac:dyDescent="0.25">
      <c r="A303" s="364" t="s">
        <v>119</v>
      </c>
      <c r="B303" s="365" t="s">
        <v>139</v>
      </c>
      <c r="C303" s="365" t="s">
        <v>171</v>
      </c>
      <c r="D303" s="365" t="s">
        <v>495</v>
      </c>
      <c r="E303" s="365" t="s">
        <v>120</v>
      </c>
      <c r="F303" s="10">
        <f>F304</f>
        <v>287.10000000000002</v>
      </c>
    </row>
    <row r="304" spans="1:11" ht="32.25" customHeight="1" x14ac:dyDescent="0.25">
      <c r="A304" s="364" t="s">
        <v>121</v>
      </c>
      <c r="B304" s="365" t="s">
        <v>139</v>
      </c>
      <c r="C304" s="365" t="s">
        <v>171</v>
      </c>
      <c r="D304" s="365" t="s">
        <v>495</v>
      </c>
      <c r="E304" s="365" t="s">
        <v>122</v>
      </c>
      <c r="F304" s="10">
        <f>'Пр.4 ведом.22'!G216</f>
        <v>287.10000000000002</v>
      </c>
    </row>
    <row r="305" spans="1:11" ht="31.5" x14ac:dyDescent="0.25">
      <c r="A305" s="364" t="s">
        <v>123</v>
      </c>
      <c r="B305" s="365" t="s">
        <v>139</v>
      </c>
      <c r="C305" s="365" t="s">
        <v>171</v>
      </c>
      <c r="D305" s="365" t="s">
        <v>495</v>
      </c>
      <c r="E305" s="365" t="s">
        <v>124</v>
      </c>
      <c r="F305" s="10">
        <f>F306</f>
        <v>28.7</v>
      </c>
    </row>
    <row r="306" spans="1:11" ht="31.5" x14ac:dyDescent="0.25">
      <c r="A306" s="364" t="s">
        <v>125</v>
      </c>
      <c r="B306" s="365" t="s">
        <v>139</v>
      </c>
      <c r="C306" s="365" t="s">
        <v>171</v>
      </c>
      <c r="D306" s="365" t="s">
        <v>495</v>
      </c>
      <c r="E306" s="365" t="s">
        <v>126</v>
      </c>
      <c r="F306" s="10">
        <f>'Пр.4 ведом.22'!G218</f>
        <v>28.7</v>
      </c>
    </row>
    <row r="307" spans="1:11" s="131" customFormat="1" ht="47.25" x14ac:dyDescent="0.25">
      <c r="A307" s="315" t="s">
        <v>737</v>
      </c>
      <c r="B307" s="316" t="s">
        <v>139</v>
      </c>
      <c r="C307" s="316" t="s">
        <v>171</v>
      </c>
      <c r="D307" s="316" t="s">
        <v>213</v>
      </c>
      <c r="E307" s="323"/>
      <c r="F307" s="38">
        <f>F308</f>
        <v>260</v>
      </c>
      <c r="G307" s="363"/>
      <c r="H307" s="363"/>
      <c r="I307" s="363"/>
      <c r="J307" s="363"/>
      <c r="K307" s="363"/>
    </row>
    <row r="308" spans="1:11" s="131" customFormat="1" ht="63" x14ac:dyDescent="0.25">
      <c r="A308" s="315" t="s">
        <v>224</v>
      </c>
      <c r="B308" s="316" t="s">
        <v>139</v>
      </c>
      <c r="C308" s="316" t="s">
        <v>171</v>
      </c>
      <c r="D308" s="316" t="s">
        <v>221</v>
      </c>
      <c r="E308" s="316"/>
      <c r="F308" s="38">
        <f>F309+F313+F317+F321</f>
        <v>260</v>
      </c>
      <c r="G308" s="363"/>
      <c r="H308" s="363"/>
      <c r="I308" s="363"/>
      <c r="J308" s="363"/>
      <c r="K308" s="363"/>
    </row>
    <row r="309" spans="1:11" s="131" customFormat="1" ht="47.25" hidden="1" x14ac:dyDescent="0.25">
      <c r="A309" s="141" t="s">
        <v>604</v>
      </c>
      <c r="B309" s="316" t="s">
        <v>139</v>
      </c>
      <c r="C309" s="316" t="s">
        <v>171</v>
      </c>
      <c r="D309" s="316" t="s">
        <v>478</v>
      </c>
      <c r="E309" s="316"/>
      <c r="F309" s="38">
        <f>F310</f>
        <v>0</v>
      </c>
      <c r="G309" s="363"/>
      <c r="H309" s="363"/>
      <c r="I309" s="363"/>
      <c r="J309" s="363"/>
      <c r="K309" s="363"/>
    </row>
    <row r="310" spans="1:11" s="131" customFormat="1" ht="47.25" hidden="1" x14ac:dyDescent="0.25">
      <c r="A310" s="364" t="s">
        <v>227</v>
      </c>
      <c r="B310" s="365" t="s">
        <v>139</v>
      </c>
      <c r="C310" s="365" t="s">
        <v>171</v>
      </c>
      <c r="D310" s="365" t="s">
        <v>824</v>
      </c>
      <c r="E310" s="365"/>
      <c r="F310" s="10">
        <f>F311</f>
        <v>0</v>
      </c>
      <c r="G310" s="363"/>
      <c r="H310" s="363"/>
      <c r="I310" s="363"/>
      <c r="J310" s="363"/>
      <c r="K310" s="363"/>
    </row>
    <row r="311" spans="1:11" s="131" customFormat="1" ht="21.2" hidden="1" customHeight="1" x14ac:dyDescent="0.25">
      <c r="A311" s="364" t="s">
        <v>177</v>
      </c>
      <c r="B311" s="365" t="s">
        <v>139</v>
      </c>
      <c r="C311" s="365" t="s">
        <v>171</v>
      </c>
      <c r="D311" s="365" t="s">
        <v>824</v>
      </c>
      <c r="E311" s="365" t="s">
        <v>178</v>
      </c>
      <c r="F311" s="10">
        <f>F312</f>
        <v>0</v>
      </c>
      <c r="G311" s="363"/>
      <c r="H311" s="363"/>
      <c r="I311" s="363"/>
      <c r="J311" s="363"/>
      <c r="K311" s="363"/>
    </row>
    <row r="312" spans="1:11" s="131" customFormat="1" ht="31.5" hidden="1" x14ac:dyDescent="0.25">
      <c r="A312" s="364" t="s">
        <v>179</v>
      </c>
      <c r="B312" s="365" t="s">
        <v>139</v>
      </c>
      <c r="C312" s="365" t="s">
        <v>171</v>
      </c>
      <c r="D312" s="365" t="s">
        <v>824</v>
      </c>
      <c r="E312" s="365" t="s">
        <v>180</v>
      </c>
      <c r="F312" s="10">
        <f>'Пр.4 ведом.22'!G289</f>
        <v>0</v>
      </c>
      <c r="G312" s="363"/>
      <c r="H312" s="363"/>
      <c r="I312" s="363"/>
      <c r="J312" s="363"/>
      <c r="K312" s="363"/>
    </row>
    <row r="313" spans="1:11" s="131" customFormat="1" ht="31.5" x14ac:dyDescent="0.25">
      <c r="A313" s="315" t="s">
        <v>603</v>
      </c>
      <c r="B313" s="316" t="s">
        <v>139</v>
      </c>
      <c r="C313" s="316" t="s">
        <v>171</v>
      </c>
      <c r="D313" s="316" t="s">
        <v>739</v>
      </c>
      <c r="E313" s="316"/>
      <c r="F313" s="38">
        <f>F314</f>
        <v>260</v>
      </c>
      <c r="G313" s="363"/>
      <c r="H313" s="363"/>
      <c r="I313" s="363"/>
      <c r="J313" s="363"/>
      <c r="K313" s="363"/>
    </row>
    <row r="314" spans="1:11" s="131" customFormat="1" ht="110.25" x14ac:dyDescent="0.25">
      <c r="A314" s="364" t="s">
        <v>226</v>
      </c>
      <c r="B314" s="365" t="s">
        <v>139</v>
      </c>
      <c r="C314" s="365" t="s">
        <v>171</v>
      </c>
      <c r="D314" s="365" t="s">
        <v>740</v>
      </c>
      <c r="E314" s="365"/>
      <c r="F314" s="10">
        <f>F315</f>
        <v>260</v>
      </c>
      <c r="G314" s="363"/>
      <c r="H314" s="363"/>
      <c r="I314" s="363"/>
      <c r="J314" s="363"/>
      <c r="K314" s="363"/>
    </row>
    <row r="315" spans="1:11" s="131" customFormat="1" ht="31.5" x14ac:dyDescent="0.25">
      <c r="A315" s="364" t="s">
        <v>191</v>
      </c>
      <c r="B315" s="365" t="s">
        <v>139</v>
      </c>
      <c r="C315" s="365" t="s">
        <v>171</v>
      </c>
      <c r="D315" s="365" t="s">
        <v>740</v>
      </c>
      <c r="E315" s="365" t="s">
        <v>192</v>
      </c>
      <c r="F315" s="10">
        <f>F316</f>
        <v>260</v>
      </c>
      <c r="G315" s="363"/>
      <c r="H315" s="363"/>
      <c r="I315" s="363"/>
      <c r="J315" s="363"/>
      <c r="K315" s="363"/>
    </row>
    <row r="316" spans="1:11" s="131" customFormat="1" ht="63" x14ac:dyDescent="0.25">
      <c r="A316" s="364" t="s">
        <v>643</v>
      </c>
      <c r="B316" s="365" t="s">
        <v>139</v>
      </c>
      <c r="C316" s="365" t="s">
        <v>171</v>
      </c>
      <c r="D316" s="365" t="s">
        <v>740</v>
      </c>
      <c r="E316" s="365" t="s">
        <v>225</v>
      </c>
      <c r="F316" s="10">
        <f>'Пр.4 ведом.22'!G293</f>
        <v>260</v>
      </c>
      <c r="G316" s="363"/>
      <c r="H316" s="363"/>
      <c r="I316" s="363"/>
      <c r="J316" s="363"/>
      <c r="K316" s="363"/>
    </row>
    <row r="317" spans="1:11" s="131" customFormat="1" ht="31.5" hidden="1" x14ac:dyDescent="0.25">
      <c r="A317" s="315" t="s">
        <v>558</v>
      </c>
      <c r="B317" s="316" t="s">
        <v>139</v>
      </c>
      <c r="C317" s="316" t="s">
        <v>171</v>
      </c>
      <c r="D317" s="316" t="s">
        <v>821</v>
      </c>
      <c r="E317" s="316"/>
      <c r="F317" s="38">
        <f>F318</f>
        <v>0</v>
      </c>
      <c r="G317" s="363"/>
      <c r="H317" s="363"/>
      <c r="I317" s="363"/>
      <c r="J317" s="363"/>
      <c r="K317" s="363"/>
    </row>
    <row r="318" spans="1:11" s="131" customFormat="1" ht="31.5" hidden="1" x14ac:dyDescent="0.25">
      <c r="A318" s="172" t="s">
        <v>605</v>
      </c>
      <c r="B318" s="365" t="s">
        <v>139</v>
      </c>
      <c r="C318" s="365" t="s">
        <v>171</v>
      </c>
      <c r="D318" s="365" t="s">
        <v>822</v>
      </c>
      <c r="E318" s="365"/>
      <c r="F318" s="10">
        <f>F319</f>
        <v>0</v>
      </c>
      <c r="G318" s="363"/>
      <c r="H318" s="363"/>
      <c r="I318" s="363"/>
      <c r="J318" s="363"/>
      <c r="K318" s="363"/>
    </row>
    <row r="319" spans="1:11" s="131" customFormat="1" ht="31.5" hidden="1" x14ac:dyDescent="0.25">
      <c r="A319" s="364" t="s">
        <v>123</v>
      </c>
      <c r="B319" s="365" t="s">
        <v>139</v>
      </c>
      <c r="C319" s="365" t="s">
        <v>171</v>
      </c>
      <c r="D319" s="365" t="s">
        <v>822</v>
      </c>
      <c r="E319" s="365" t="s">
        <v>124</v>
      </c>
      <c r="F319" s="10">
        <f>F320</f>
        <v>0</v>
      </c>
      <c r="G319" s="363"/>
      <c r="H319" s="363"/>
      <c r="I319" s="363"/>
      <c r="J319" s="363"/>
      <c r="K319" s="363"/>
    </row>
    <row r="320" spans="1:11" s="131" customFormat="1" ht="31.5" hidden="1" x14ac:dyDescent="0.25">
      <c r="A320" s="364" t="s">
        <v>125</v>
      </c>
      <c r="B320" s="365" t="s">
        <v>139</v>
      </c>
      <c r="C320" s="365" t="s">
        <v>171</v>
      </c>
      <c r="D320" s="365" t="s">
        <v>822</v>
      </c>
      <c r="E320" s="365" t="s">
        <v>126</v>
      </c>
      <c r="F320" s="10">
        <f>'Пр.4 ведом.22'!G297</f>
        <v>0</v>
      </c>
      <c r="G320" s="363"/>
      <c r="H320" s="363"/>
      <c r="I320" s="363"/>
      <c r="J320" s="363"/>
      <c r="K320" s="363"/>
    </row>
    <row r="321" spans="1:12" s="131" customFormat="1" ht="31.5" hidden="1" x14ac:dyDescent="0.25">
      <c r="A321" s="322" t="s">
        <v>656</v>
      </c>
      <c r="B321" s="316" t="s">
        <v>139</v>
      </c>
      <c r="C321" s="316" t="s">
        <v>171</v>
      </c>
      <c r="D321" s="316" t="s">
        <v>741</v>
      </c>
      <c r="E321" s="316"/>
      <c r="F321" s="314">
        <f>F322</f>
        <v>0</v>
      </c>
      <c r="G321" s="363"/>
      <c r="H321" s="363"/>
      <c r="I321" s="363"/>
      <c r="J321" s="363"/>
      <c r="K321" s="363"/>
    </row>
    <row r="322" spans="1:12" s="131" customFormat="1" ht="31.5" hidden="1" x14ac:dyDescent="0.25">
      <c r="A322" s="155" t="s">
        <v>657</v>
      </c>
      <c r="B322" s="365" t="s">
        <v>139</v>
      </c>
      <c r="C322" s="365" t="s">
        <v>171</v>
      </c>
      <c r="D322" s="365" t="s">
        <v>742</v>
      </c>
      <c r="E322" s="365"/>
      <c r="F322" s="318">
        <f>F323</f>
        <v>0</v>
      </c>
      <c r="G322" s="363"/>
      <c r="H322" s="363"/>
      <c r="I322" s="363"/>
      <c r="J322" s="363"/>
      <c r="K322" s="363"/>
    </row>
    <row r="323" spans="1:12" s="131" customFormat="1" ht="31.5" hidden="1" x14ac:dyDescent="0.25">
      <c r="A323" s="364" t="s">
        <v>123</v>
      </c>
      <c r="B323" s="365" t="s">
        <v>139</v>
      </c>
      <c r="C323" s="365" t="s">
        <v>171</v>
      </c>
      <c r="D323" s="365" t="s">
        <v>742</v>
      </c>
      <c r="E323" s="365" t="s">
        <v>124</v>
      </c>
      <c r="F323" s="318">
        <f>F324</f>
        <v>0</v>
      </c>
      <c r="G323" s="363"/>
      <c r="H323" s="363"/>
      <c r="I323" s="363"/>
      <c r="J323" s="363"/>
      <c r="K323" s="363"/>
    </row>
    <row r="324" spans="1:12" s="131" customFormat="1" ht="31.5" hidden="1" x14ac:dyDescent="0.25">
      <c r="A324" s="364" t="s">
        <v>125</v>
      </c>
      <c r="B324" s="365" t="s">
        <v>139</v>
      </c>
      <c r="C324" s="365" t="s">
        <v>171</v>
      </c>
      <c r="D324" s="365" t="s">
        <v>742</v>
      </c>
      <c r="E324" s="365" t="s">
        <v>126</v>
      </c>
      <c r="F324" s="318">
        <f>'Пр.4 ведом.22'!G301</f>
        <v>0</v>
      </c>
      <c r="G324" s="363"/>
      <c r="H324" s="363"/>
      <c r="I324" s="363"/>
      <c r="J324" s="363"/>
      <c r="K324" s="363"/>
    </row>
    <row r="325" spans="1:12" ht="47.25" x14ac:dyDescent="0.25">
      <c r="A325" s="315" t="s">
        <v>839</v>
      </c>
      <c r="B325" s="316" t="s">
        <v>139</v>
      </c>
      <c r="C325" s="316" t="s">
        <v>171</v>
      </c>
      <c r="D325" s="316" t="s">
        <v>141</v>
      </c>
      <c r="E325" s="316"/>
      <c r="F325" s="38">
        <f>F326</f>
        <v>150</v>
      </c>
    </row>
    <row r="326" spans="1:12" ht="47.25" x14ac:dyDescent="0.25">
      <c r="A326" s="315" t="s">
        <v>621</v>
      </c>
      <c r="B326" s="316" t="s">
        <v>139</v>
      </c>
      <c r="C326" s="316" t="s">
        <v>171</v>
      </c>
      <c r="D326" s="316" t="s">
        <v>619</v>
      </c>
      <c r="E326" s="316"/>
      <c r="F326" s="38">
        <f>F327</f>
        <v>150</v>
      </c>
    </row>
    <row r="327" spans="1:12" ht="31.5" x14ac:dyDescent="0.25">
      <c r="A327" s="364" t="s">
        <v>622</v>
      </c>
      <c r="B327" s="365" t="s">
        <v>139</v>
      </c>
      <c r="C327" s="365" t="s">
        <v>171</v>
      </c>
      <c r="D327" s="365" t="s">
        <v>620</v>
      </c>
      <c r="E327" s="365"/>
      <c r="F327" s="10">
        <f>F328</f>
        <v>150</v>
      </c>
    </row>
    <row r="328" spans="1:12" ht="15.75" x14ac:dyDescent="0.25">
      <c r="A328" s="364" t="s">
        <v>127</v>
      </c>
      <c r="B328" s="365" t="s">
        <v>139</v>
      </c>
      <c r="C328" s="365" t="s">
        <v>171</v>
      </c>
      <c r="D328" s="365" t="s">
        <v>620</v>
      </c>
      <c r="E328" s="365" t="s">
        <v>134</v>
      </c>
      <c r="F328" s="10">
        <f>F329</f>
        <v>150</v>
      </c>
    </row>
    <row r="329" spans="1:12" ht="47.25" x14ac:dyDescent="0.25">
      <c r="A329" s="364" t="s">
        <v>148</v>
      </c>
      <c r="B329" s="365" t="s">
        <v>139</v>
      </c>
      <c r="C329" s="365" t="s">
        <v>171</v>
      </c>
      <c r="D329" s="365" t="s">
        <v>620</v>
      </c>
      <c r="E329" s="365" t="s">
        <v>142</v>
      </c>
      <c r="F329" s="10">
        <f>'Пр.4 ведом.22'!G223</f>
        <v>150</v>
      </c>
    </row>
    <row r="330" spans="1:12" ht="15.75" x14ac:dyDescent="0.25">
      <c r="A330" s="315" t="s">
        <v>231</v>
      </c>
      <c r="B330" s="316" t="s">
        <v>168</v>
      </c>
      <c r="C330" s="316"/>
      <c r="D330" s="316"/>
      <c r="E330" s="316"/>
      <c r="F330" s="310">
        <f>F331++F348+F413+F475</f>
        <v>86195.1</v>
      </c>
      <c r="G330" s="363">
        <v>67341.100000000006</v>
      </c>
      <c r="H330" s="74">
        <f>G330-F330</f>
        <v>-18854</v>
      </c>
      <c r="K330" s="154">
        <f>F330-F451-'Пр.4 ведом.22'!J1216-'Пр.4 ведом.22'!P1216</f>
        <v>84049.3</v>
      </c>
      <c r="L330" s="156">
        <f>F451+F468-'Пр.4 ведом.22'!J1215-'Пр.4 ведом.22'!P1215</f>
        <v>28235.8</v>
      </c>
    </row>
    <row r="331" spans="1:12" ht="15.75" x14ac:dyDescent="0.25">
      <c r="A331" s="315" t="s">
        <v>232</v>
      </c>
      <c r="B331" s="316" t="s">
        <v>168</v>
      </c>
      <c r="C331" s="316" t="s">
        <v>116</v>
      </c>
      <c r="D331" s="316"/>
      <c r="E331" s="316"/>
      <c r="F331" s="310">
        <f t="shared" ref="F331:F332" si="40">F332</f>
        <v>13719.47</v>
      </c>
      <c r="G331" s="74"/>
      <c r="H331" s="74"/>
      <c r="I331" s="74"/>
      <c r="L331" s="16"/>
    </row>
    <row r="332" spans="1:12" ht="15.75" x14ac:dyDescent="0.25">
      <c r="A332" s="315" t="s">
        <v>133</v>
      </c>
      <c r="B332" s="316" t="s">
        <v>168</v>
      </c>
      <c r="C332" s="316" t="s">
        <v>116</v>
      </c>
      <c r="D332" s="316" t="s">
        <v>442</v>
      </c>
      <c r="E332" s="316"/>
      <c r="F332" s="310">
        <f t="shared" si="40"/>
        <v>13719.47</v>
      </c>
    </row>
    <row r="333" spans="1:12" ht="31.5" x14ac:dyDescent="0.25">
      <c r="A333" s="315" t="s">
        <v>446</v>
      </c>
      <c r="B333" s="316" t="s">
        <v>168</v>
      </c>
      <c r="C333" s="316" t="s">
        <v>116</v>
      </c>
      <c r="D333" s="316" t="s">
        <v>441</v>
      </c>
      <c r="E333" s="316"/>
      <c r="F333" s="310">
        <f>F334+F339+F342+F345</f>
        <v>13719.47</v>
      </c>
    </row>
    <row r="334" spans="1:12" ht="15.75" hidden="1" x14ac:dyDescent="0.25">
      <c r="A334" s="364" t="s">
        <v>261</v>
      </c>
      <c r="B334" s="365" t="s">
        <v>353</v>
      </c>
      <c r="C334" s="365" t="s">
        <v>116</v>
      </c>
      <c r="D334" s="365" t="s">
        <v>525</v>
      </c>
      <c r="E334" s="316"/>
      <c r="F334" s="311">
        <f t="shared" ref="F334" si="41">F335+F337</f>
        <v>0</v>
      </c>
    </row>
    <row r="335" spans="1:12" ht="31.5" hidden="1" x14ac:dyDescent="0.25">
      <c r="A335" s="364" t="s">
        <v>123</v>
      </c>
      <c r="B335" s="365" t="s">
        <v>168</v>
      </c>
      <c r="C335" s="365" t="s">
        <v>116</v>
      </c>
      <c r="D335" s="365" t="s">
        <v>525</v>
      </c>
      <c r="E335" s="365" t="s">
        <v>124</v>
      </c>
      <c r="F335" s="311">
        <f t="shared" ref="F335" si="42">F336</f>
        <v>0</v>
      </c>
    </row>
    <row r="336" spans="1:12" ht="31.5" hidden="1" x14ac:dyDescent="0.25">
      <c r="A336" s="364" t="s">
        <v>125</v>
      </c>
      <c r="B336" s="365" t="s">
        <v>168</v>
      </c>
      <c r="C336" s="365" t="s">
        <v>116</v>
      </c>
      <c r="D336" s="365" t="s">
        <v>525</v>
      </c>
      <c r="E336" s="365" t="s">
        <v>126</v>
      </c>
      <c r="F336" s="311">
        <f>'Пр.4 ведом.22'!G1001</f>
        <v>0</v>
      </c>
    </row>
    <row r="337" spans="1:11" ht="15.75" hidden="1" x14ac:dyDescent="0.25">
      <c r="A337" s="364" t="s">
        <v>127</v>
      </c>
      <c r="B337" s="365" t="s">
        <v>168</v>
      </c>
      <c r="C337" s="365" t="s">
        <v>116</v>
      </c>
      <c r="D337" s="365" t="s">
        <v>525</v>
      </c>
      <c r="E337" s="365" t="s">
        <v>134</v>
      </c>
      <c r="F337" s="311">
        <f t="shared" ref="F337" si="43">F338</f>
        <v>0</v>
      </c>
    </row>
    <row r="338" spans="1:11" ht="47.25" hidden="1" x14ac:dyDescent="0.25">
      <c r="A338" s="364" t="s">
        <v>148</v>
      </c>
      <c r="B338" s="365" t="s">
        <v>168</v>
      </c>
      <c r="C338" s="365" t="s">
        <v>116</v>
      </c>
      <c r="D338" s="365" t="s">
        <v>525</v>
      </c>
      <c r="E338" s="365" t="s">
        <v>142</v>
      </c>
      <c r="F338" s="311">
        <f>'Пр.4 ведом.22'!G1003</f>
        <v>0</v>
      </c>
    </row>
    <row r="339" spans="1:11" ht="31.5" x14ac:dyDescent="0.25">
      <c r="A339" s="22" t="s">
        <v>233</v>
      </c>
      <c r="B339" s="365" t="s">
        <v>168</v>
      </c>
      <c r="C339" s="365" t="s">
        <v>116</v>
      </c>
      <c r="D339" s="365" t="s">
        <v>526</v>
      </c>
      <c r="E339" s="316"/>
      <c r="F339" s="311">
        <f t="shared" ref="F339:F340" si="44">F340</f>
        <v>5190.7999999999993</v>
      </c>
    </row>
    <row r="340" spans="1:11" ht="31.5" x14ac:dyDescent="0.25">
      <c r="A340" s="364" t="s">
        <v>123</v>
      </c>
      <c r="B340" s="365" t="s">
        <v>168</v>
      </c>
      <c r="C340" s="365" t="s">
        <v>116</v>
      </c>
      <c r="D340" s="365" t="s">
        <v>526</v>
      </c>
      <c r="E340" s="365" t="s">
        <v>124</v>
      </c>
      <c r="F340" s="311">
        <f t="shared" si="44"/>
        <v>5190.7999999999993</v>
      </c>
    </row>
    <row r="341" spans="1:11" ht="31.5" x14ac:dyDescent="0.25">
      <c r="A341" s="364" t="s">
        <v>125</v>
      </c>
      <c r="B341" s="365" t="s">
        <v>168</v>
      </c>
      <c r="C341" s="365" t="s">
        <v>116</v>
      </c>
      <c r="D341" s="365" t="s">
        <v>526</v>
      </c>
      <c r="E341" s="365" t="s">
        <v>126</v>
      </c>
      <c r="F341" s="311">
        <f>'Пр.4 ведом.22'!G598+'Пр.4 ведом.22'!G1006</f>
        <v>5190.7999999999993</v>
      </c>
    </row>
    <row r="342" spans="1:11" ht="31.5" x14ac:dyDescent="0.25">
      <c r="A342" s="22" t="s">
        <v>503</v>
      </c>
      <c r="B342" s="365" t="s">
        <v>168</v>
      </c>
      <c r="C342" s="365" t="s">
        <v>116</v>
      </c>
      <c r="D342" s="365" t="s">
        <v>527</v>
      </c>
      <c r="E342" s="316"/>
      <c r="F342" s="311">
        <f>F343</f>
        <v>1140</v>
      </c>
    </row>
    <row r="343" spans="1:11" ht="31.5" x14ac:dyDescent="0.25">
      <c r="A343" s="364" t="s">
        <v>123</v>
      </c>
      <c r="B343" s="365" t="s">
        <v>168</v>
      </c>
      <c r="C343" s="365" t="s">
        <v>116</v>
      </c>
      <c r="D343" s="365" t="s">
        <v>527</v>
      </c>
      <c r="E343" s="365" t="s">
        <v>124</v>
      </c>
      <c r="F343" s="311">
        <f>F344</f>
        <v>1140</v>
      </c>
    </row>
    <row r="344" spans="1:11" ht="31.5" x14ac:dyDescent="0.25">
      <c r="A344" s="364" t="s">
        <v>125</v>
      </c>
      <c r="B344" s="365" t="s">
        <v>168</v>
      </c>
      <c r="C344" s="365" t="s">
        <v>116</v>
      </c>
      <c r="D344" s="365" t="s">
        <v>527</v>
      </c>
      <c r="E344" s="365" t="s">
        <v>126</v>
      </c>
      <c r="F344" s="311">
        <f>'Пр.4 ведом.22'!G1009+'Пр.4 ведом.22'!G601</f>
        <v>1140</v>
      </c>
    </row>
    <row r="345" spans="1:11" s="291" customFormat="1" ht="31.5" x14ac:dyDescent="0.25">
      <c r="A345" s="364" t="s">
        <v>1006</v>
      </c>
      <c r="B345" s="365" t="s">
        <v>168</v>
      </c>
      <c r="C345" s="365" t="s">
        <v>116</v>
      </c>
      <c r="D345" s="365" t="s">
        <v>1007</v>
      </c>
      <c r="E345" s="365"/>
      <c r="F345" s="311">
        <f>F346</f>
        <v>7388.67</v>
      </c>
      <c r="G345" s="363"/>
      <c r="H345" s="363"/>
      <c r="I345" s="363"/>
      <c r="J345" s="363"/>
      <c r="K345" s="363"/>
    </row>
    <row r="346" spans="1:11" s="291" customFormat="1" ht="31.5" x14ac:dyDescent="0.25">
      <c r="A346" s="364" t="s">
        <v>123</v>
      </c>
      <c r="B346" s="365" t="s">
        <v>168</v>
      </c>
      <c r="C346" s="365" t="s">
        <v>116</v>
      </c>
      <c r="D346" s="365" t="s">
        <v>1007</v>
      </c>
      <c r="E346" s="365" t="s">
        <v>124</v>
      </c>
      <c r="F346" s="311">
        <f>F347</f>
        <v>7388.67</v>
      </c>
      <c r="G346" s="363"/>
      <c r="H346" s="363"/>
      <c r="I346" s="363"/>
      <c r="J346" s="363"/>
      <c r="K346" s="363"/>
    </row>
    <row r="347" spans="1:11" s="291" customFormat="1" ht="31.5" x14ac:dyDescent="0.25">
      <c r="A347" s="364" t="s">
        <v>125</v>
      </c>
      <c r="B347" s="365" t="s">
        <v>168</v>
      </c>
      <c r="C347" s="365" t="s">
        <v>116</v>
      </c>
      <c r="D347" s="365" t="s">
        <v>1007</v>
      </c>
      <c r="E347" s="365" t="s">
        <v>126</v>
      </c>
      <c r="F347" s="311">
        <f>'Пр.4 ведом.22'!G1012</f>
        <v>7388.67</v>
      </c>
      <c r="G347" s="363"/>
      <c r="H347" s="363"/>
      <c r="I347" s="363"/>
      <c r="J347" s="363"/>
      <c r="K347" s="363"/>
    </row>
    <row r="348" spans="1:11" ht="15.75" x14ac:dyDescent="0.25">
      <c r="A348" s="315" t="s">
        <v>262</v>
      </c>
      <c r="B348" s="316" t="s">
        <v>168</v>
      </c>
      <c r="C348" s="316" t="s">
        <v>158</v>
      </c>
      <c r="D348" s="316"/>
      <c r="E348" s="316"/>
      <c r="F348" s="310">
        <f>F379+F349+F408</f>
        <v>7587.0200000000013</v>
      </c>
      <c r="H348" s="74"/>
    </row>
    <row r="349" spans="1:11" ht="15.75" x14ac:dyDescent="0.25">
      <c r="A349" s="315" t="s">
        <v>133</v>
      </c>
      <c r="B349" s="316" t="s">
        <v>168</v>
      </c>
      <c r="C349" s="316" t="s">
        <v>158</v>
      </c>
      <c r="D349" s="316" t="s">
        <v>442</v>
      </c>
      <c r="E349" s="316"/>
      <c r="F349" s="310">
        <f>F350+F362</f>
        <v>6683.0200000000013</v>
      </c>
    </row>
    <row r="350" spans="1:11" ht="33" customHeight="1" x14ac:dyDescent="0.25">
      <c r="A350" s="315" t="s">
        <v>446</v>
      </c>
      <c r="B350" s="316" t="s">
        <v>168</v>
      </c>
      <c r="C350" s="316" t="s">
        <v>158</v>
      </c>
      <c r="D350" s="316" t="s">
        <v>441</v>
      </c>
      <c r="E350" s="316"/>
      <c r="F350" s="310">
        <f>F351+F357</f>
        <v>6683.0200000000013</v>
      </c>
    </row>
    <row r="351" spans="1:11" ht="17.45" hidden="1" customHeight="1" x14ac:dyDescent="0.25">
      <c r="A351" s="27" t="s">
        <v>271</v>
      </c>
      <c r="B351" s="365" t="s">
        <v>168</v>
      </c>
      <c r="C351" s="365" t="s">
        <v>158</v>
      </c>
      <c r="D351" s="365" t="s">
        <v>544</v>
      </c>
      <c r="E351" s="365"/>
      <c r="F351" s="311">
        <f>F352+F354</f>
        <v>0</v>
      </c>
    </row>
    <row r="352" spans="1:11" ht="35.450000000000003" hidden="1" customHeight="1" x14ac:dyDescent="0.25">
      <c r="A352" s="364" t="s">
        <v>123</v>
      </c>
      <c r="B352" s="365" t="s">
        <v>168</v>
      </c>
      <c r="C352" s="365" t="s">
        <v>158</v>
      </c>
      <c r="D352" s="365" t="s">
        <v>544</v>
      </c>
      <c r="E352" s="365" t="s">
        <v>124</v>
      </c>
      <c r="F352" s="311">
        <f>F353</f>
        <v>0</v>
      </c>
    </row>
    <row r="353" spans="1:11" ht="31.5" hidden="1" x14ac:dyDescent="0.25">
      <c r="A353" s="364" t="s">
        <v>125</v>
      </c>
      <c r="B353" s="365" t="s">
        <v>168</v>
      </c>
      <c r="C353" s="365" t="s">
        <v>158</v>
      </c>
      <c r="D353" s="365" t="s">
        <v>544</v>
      </c>
      <c r="E353" s="365" t="s">
        <v>126</v>
      </c>
      <c r="F353" s="311">
        <f>'Пр.4 ведом.22'!G1018</f>
        <v>0</v>
      </c>
    </row>
    <row r="354" spans="1:11" ht="15.75" hidden="1" x14ac:dyDescent="0.25">
      <c r="A354" s="364" t="s">
        <v>127</v>
      </c>
      <c r="B354" s="365" t="s">
        <v>168</v>
      </c>
      <c r="C354" s="365" t="s">
        <v>158</v>
      </c>
      <c r="D354" s="365" t="s">
        <v>544</v>
      </c>
      <c r="E354" s="365" t="s">
        <v>134</v>
      </c>
      <c r="F354" s="311">
        <f>F355+F356</f>
        <v>0</v>
      </c>
    </row>
    <row r="355" spans="1:11" ht="47.25" hidden="1" x14ac:dyDescent="0.25">
      <c r="A355" s="364" t="s">
        <v>148</v>
      </c>
      <c r="B355" s="365" t="s">
        <v>168</v>
      </c>
      <c r="C355" s="365" t="s">
        <v>158</v>
      </c>
      <c r="D355" s="365" t="s">
        <v>544</v>
      </c>
      <c r="E355" s="365" t="s">
        <v>142</v>
      </c>
      <c r="F355" s="311">
        <f>'Пр.4 ведом.22'!G1020</f>
        <v>0</v>
      </c>
    </row>
    <row r="356" spans="1:11" s="131" customFormat="1" ht="15.75" hidden="1" x14ac:dyDescent="0.25">
      <c r="A356" s="364" t="s">
        <v>731</v>
      </c>
      <c r="B356" s="365" t="s">
        <v>168</v>
      </c>
      <c r="C356" s="365" t="s">
        <v>158</v>
      </c>
      <c r="D356" s="365" t="s">
        <v>544</v>
      </c>
      <c r="E356" s="365" t="s">
        <v>136</v>
      </c>
      <c r="F356" s="311">
        <f>'Пр.4 ведом.22'!G1021</f>
        <v>0</v>
      </c>
      <c r="G356" s="363"/>
      <c r="H356" s="363"/>
      <c r="I356" s="363"/>
      <c r="J356" s="363"/>
      <c r="K356" s="363"/>
    </row>
    <row r="357" spans="1:11" ht="31.5" x14ac:dyDescent="0.25">
      <c r="A357" s="22" t="s">
        <v>503</v>
      </c>
      <c r="B357" s="365" t="s">
        <v>168</v>
      </c>
      <c r="C357" s="365" t="s">
        <v>158</v>
      </c>
      <c r="D357" s="365" t="s">
        <v>527</v>
      </c>
      <c r="E357" s="365"/>
      <c r="F357" s="311">
        <f>F358+F360</f>
        <v>6683.0200000000013</v>
      </c>
    </row>
    <row r="358" spans="1:11" ht="31.5" x14ac:dyDescent="0.25">
      <c r="A358" s="364" t="s">
        <v>123</v>
      </c>
      <c r="B358" s="365" t="s">
        <v>168</v>
      </c>
      <c r="C358" s="365" t="s">
        <v>158</v>
      </c>
      <c r="D358" s="365" t="s">
        <v>527</v>
      </c>
      <c r="E358" s="365" t="s">
        <v>124</v>
      </c>
      <c r="F358" s="311">
        <f t="shared" ref="F358" si="45">F359</f>
        <v>6683.0200000000013</v>
      </c>
    </row>
    <row r="359" spans="1:11" ht="31.5" x14ac:dyDescent="0.25">
      <c r="A359" s="364" t="s">
        <v>125</v>
      </c>
      <c r="B359" s="365" t="s">
        <v>168</v>
      </c>
      <c r="C359" s="365" t="s">
        <v>158</v>
      </c>
      <c r="D359" s="365" t="s">
        <v>527</v>
      </c>
      <c r="E359" s="365" t="s">
        <v>126</v>
      </c>
      <c r="F359" s="311">
        <f>'Пр.4 ведом.22'!G1024</f>
        <v>6683.0200000000013</v>
      </c>
    </row>
    <row r="360" spans="1:11" ht="15.75" hidden="1" x14ac:dyDescent="0.25">
      <c r="A360" s="364" t="s">
        <v>127</v>
      </c>
      <c r="B360" s="365" t="s">
        <v>168</v>
      </c>
      <c r="C360" s="365" t="s">
        <v>158</v>
      </c>
      <c r="D360" s="365" t="s">
        <v>527</v>
      </c>
      <c r="E360" s="365" t="s">
        <v>134</v>
      </c>
      <c r="F360" s="311">
        <f>F361</f>
        <v>0</v>
      </c>
    </row>
    <row r="361" spans="1:11" ht="15.75" hidden="1" x14ac:dyDescent="0.25">
      <c r="A361" s="364" t="s">
        <v>135</v>
      </c>
      <c r="B361" s="365" t="s">
        <v>168</v>
      </c>
      <c r="C361" s="365" t="s">
        <v>158</v>
      </c>
      <c r="D361" s="365" t="s">
        <v>527</v>
      </c>
      <c r="E361" s="365" t="s">
        <v>136</v>
      </c>
      <c r="F361" s="311">
        <f>'Пр.4 ведом.22'!G1026</f>
        <v>0</v>
      </c>
    </row>
    <row r="362" spans="1:11" ht="47.25" hidden="1" x14ac:dyDescent="0.25">
      <c r="A362" s="315" t="s">
        <v>576</v>
      </c>
      <c r="B362" s="316" t="s">
        <v>168</v>
      </c>
      <c r="C362" s="316" t="s">
        <v>158</v>
      </c>
      <c r="D362" s="316" t="s">
        <v>545</v>
      </c>
      <c r="E362" s="316"/>
      <c r="F362" s="310">
        <f>F363+F368+F371+F376</f>
        <v>0</v>
      </c>
    </row>
    <row r="363" spans="1:11" ht="47.25" hidden="1" x14ac:dyDescent="0.25">
      <c r="A363" s="364" t="s">
        <v>404</v>
      </c>
      <c r="B363" s="365" t="s">
        <v>168</v>
      </c>
      <c r="C363" s="365" t="s">
        <v>158</v>
      </c>
      <c r="D363" s="365" t="s">
        <v>546</v>
      </c>
      <c r="E363" s="365"/>
      <c r="F363" s="311">
        <f>F364+F366</f>
        <v>0</v>
      </c>
    </row>
    <row r="364" spans="1:11" ht="31.5" hidden="1" x14ac:dyDescent="0.25">
      <c r="A364" s="364" t="s">
        <v>123</v>
      </c>
      <c r="B364" s="365" t="s">
        <v>168</v>
      </c>
      <c r="C364" s="365" t="s">
        <v>158</v>
      </c>
      <c r="D364" s="365" t="s">
        <v>546</v>
      </c>
      <c r="E364" s="365" t="s">
        <v>124</v>
      </c>
      <c r="F364" s="311">
        <f>F365</f>
        <v>0</v>
      </c>
    </row>
    <row r="365" spans="1:11" ht="31.5" hidden="1" x14ac:dyDescent="0.25">
      <c r="A365" s="364" t="s">
        <v>125</v>
      </c>
      <c r="B365" s="365" t="s">
        <v>168</v>
      </c>
      <c r="C365" s="365" t="s">
        <v>158</v>
      </c>
      <c r="D365" s="365" t="s">
        <v>546</v>
      </c>
      <c r="E365" s="365" t="s">
        <v>126</v>
      </c>
      <c r="F365" s="311">
        <f>'Пр.4 ведом.22'!G1030</f>
        <v>0</v>
      </c>
    </row>
    <row r="366" spans="1:11" ht="15.75" hidden="1" x14ac:dyDescent="0.25">
      <c r="A366" s="364" t="s">
        <v>127</v>
      </c>
      <c r="B366" s="365" t="s">
        <v>168</v>
      </c>
      <c r="C366" s="365" t="s">
        <v>158</v>
      </c>
      <c r="D366" s="365" t="s">
        <v>546</v>
      </c>
      <c r="E366" s="365" t="s">
        <v>414</v>
      </c>
      <c r="F366" s="311">
        <f>F367</f>
        <v>0</v>
      </c>
    </row>
    <row r="367" spans="1:11" ht="15.75" hidden="1" x14ac:dyDescent="0.25">
      <c r="A367" s="364" t="s">
        <v>280</v>
      </c>
      <c r="B367" s="365" t="s">
        <v>168</v>
      </c>
      <c r="C367" s="365" t="s">
        <v>158</v>
      </c>
      <c r="D367" s="365" t="s">
        <v>546</v>
      </c>
      <c r="E367" s="365" t="s">
        <v>624</v>
      </c>
      <c r="F367" s="311">
        <f>'Пр.4 ведом.22'!G1032</f>
        <v>0</v>
      </c>
    </row>
    <row r="368" spans="1:11" ht="49.7" hidden="1" customHeight="1" x14ac:dyDescent="0.25">
      <c r="A368" s="364" t="s">
        <v>371</v>
      </c>
      <c r="B368" s="365" t="s">
        <v>168</v>
      </c>
      <c r="C368" s="365" t="s">
        <v>158</v>
      </c>
      <c r="D368" s="365" t="s">
        <v>547</v>
      </c>
      <c r="E368" s="365"/>
      <c r="F368" s="311">
        <f>F369</f>
        <v>0</v>
      </c>
    </row>
    <row r="369" spans="1:6" ht="31.5" hidden="1" x14ac:dyDescent="0.25">
      <c r="A369" s="364" t="s">
        <v>123</v>
      </c>
      <c r="B369" s="365" t="s">
        <v>168</v>
      </c>
      <c r="C369" s="365" t="s">
        <v>158</v>
      </c>
      <c r="D369" s="365" t="s">
        <v>547</v>
      </c>
      <c r="E369" s="365" t="s">
        <v>124</v>
      </c>
      <c r="F369" s="311">
        <f>F370</f>
        <v>0</v>
      </c>
    </row>
    <row r="370" spans="1:6" ht="31.5" hidden="1" x14ac:dyDescent="0.25">
      <c r="A370" s="364" t="s">
        <v>125</v>
      </c>
      <c r="B370" s="365" t="s">
        <v>168</v>
      </c>
      <c r="C370" s="365" t="s">
        <v>158</v>
      </c>
      <c r="D370" s="365" t="s">
        <v>547</v>
      </c>
      <c r="E370" s="365" t="s">
        <v>126</v>
      </c>
      <c r="F370" s="311">
        <f>'Пр.4 ведом.22'!G1035</f>
        <v>0</v>
      </c>
    </row>
    <row r="371" spans="1:6" ht="47.25" hidden="1" x14ac:dyDescent="0.25">
      <c r="A371" s="69" t="s">
        <v>410</v>
      </c>
      <c r="B371" s="365" t="s">
        <v>168</v>
      </c>
      <c r="C371" s="365" t="s">
        <v>158</v>
      </c>
      <c r="D371" s="365" t="s">
        <v>548</v>
      </c>
      <c r="E371" s="365"/>
      <c r="F371" s="311">
        <f>F372+F374</f>
        <v>0</v>
      </c>
    </row>
    <row r="372" spans="1:6" ht="31.5" hidden="1" x14ac:dyDescent="0.25">
      <c r="A372" s="364" t="s">
        <v>415</v>
      </c>
      <c r="B372" s="365" t="s">
        <v>168</v>
      </c>
      <c r="C372" s="365" t="s">
        <v>158</v>
      </c>
      <c r="D372" s="365" t="s">
        <v>548</v>
      </c>
      <c r="E372" s="365" t="s">
        <v>414</v>
      </c>
      <c r="F372" s="311">
        <f>F373</f>
        <v>0</v>
      </c>
    </row>
    <row r="373" spans="1:6" ht="31.7" hidden="1" customHeight="1" x14ac:dyDescent="0.25">
      <c r="A373" s="364" t="s">
        <v>609</v>
      </c>
      <c r="B373" s="365" t="s">
        <v>168</v>
      </c>
      <c r="C373" s="365" t="s">
        <v>158</v>
      </c>
      <c r="D373" s="365" t="s">
        <v>548</v>
      </c>
      <c r="E373" s="365" t="s">
        <v>624</v>
      </c>
      <c r="F373" s="311">
        <f>'Пр.4 ведом.22'!G1038</f>
        <v>0</v>
      </c>
    </row>
    <row r="374" spans="1:6" ht="21.2" hidden="1" customHeight="1" x14ac:dyDescent="0.25">
      <c r="A374" s="364" t="s">
        <v>127</v>
      </c>
      <c r="B374" s="365" t="s">
        <v>168</v>
      </c>
      <c r="C374" s="365" t="s">
        <v>158</v>
      </c>
      <c r="D374" s="365" t="s">
        <v>548</v>
      </c>
      <c r="E374" s="365" t="s">
        <v>134</v>
      </c>
      <c r="F374" s="311">
        <f>F375</f>
        <v>0</v>
      </c>
    </row>
    <row r="375" spans="1:6" ht="21.75" hidden="1" customHeight="1" x14ac:dyDescent="0.25">
      <c r="A375" s="364" t="s">
        <v>338</v>
      </c>
      <c r="B375" s="365" t="s">
        <v>168</v>
      </c>
      <c r="C375" s="365" t="s">
        <v>158</v>
      </c>
      <c r="D375" s="365" t="s">
        <v>548</v>
      </c>
      <c r="E375" s="365" t="s">
        <v>130</v>
      </c>
      <c r="F375" s="311">
        <f>'Пр.4 ведом.22'!G1040</f>
        <v>0</v>
      </c>
    </row>
    <row r="376" spans="1:6" ht="31.5" hidden="1" x14ac:dyDescent="0.25">
      <c r="A376" s="364" t="s">
        <v>625</v>
      </c>
      <c r="B376" s="365" t="s">
        <v>168</v>
      </c>
      <c r="C376" s="365" t="s">
        <v>158</v>
      </c>
      <c r="D376" s="365" t="s">
        <v>626</v>
      </c>
      <c r="E376" s="365"/>
      <c r="F376" s="311">
        <f t="shared" ref="F376:F377" si="46">F377</f>
        <v>0</v>
      </c>
    </row>
    <row r="377" spans="1:6" ht="31.5" hidden="1" x14ac:dyDescent="0.25">
      <c r="A377" s="364" t="s">
        <v>123</v>
      </c>
      <c r="B377" s="365" t="s">
        <v>168</v>
      </c>
      <c r="C377" s="365" t="s">
        <v>158</v>
      </c>
      <c r="D377" s="365" t="s">
        <v>626</v>
      </c>
      <c r="E377" s="365" t="s">
        <v>124</v>
      </c>
      <c r="F377" s="311">
        <f t="shared" si="46"/>
        <v>0</v>
      </c>
    </row>
    <row r="378" spans="1:6" ht="31.5" hidden="1" x14ac:dyDescent="0.25">
      <c r="A378" s="364" t="s">
        <v>125</v>
      </c>
      <c r="B378" s="365" t="s">
        <v>168</v>
      </c>
      <c r="C378" s="365" t="s">
        <v>158</v>
      </c>
      <c r="D378" s="365" t="s">
        <v>626</v>
      </c>
      <c r="E378" s="365" t="s">
        <v>126</v>
      </c>
      <c r="F378" s="311">
        <f>'Пр.4 ведом.22'!G1043</f>
        <v>0</v>
      </c>
    </row>
    <row r="379" spans="1:6" ht="63" x14ac:dyDescent="0.25">
      <c r="A379" s="315" t="s">
        <v>975</v>
      </c>
      <c r="B379" s="316" t="s">
        <v>168</v>
      </c>
      <c r="C379" s="316" t="s">
        <v>158</v>
      </c>
      <c r="D379" s="316" t="s">
        <v>263</v>
      </c>
      <c r="E379" s="316"/>
      <c r="F379" s="310">
        <f>F380+F384+F388+F392+F396+F400+F404</f>
        <v>700</v>
      </c>
    </row>
    <row r="380" spans="1:6" ht="31.5" x14ac:dyDescent="0.25">
      <c r="A380" s="315" t="s">
        <v>528</v>
      </c>
      <c r="B380" s="316" t="s">
        <v>168</v>
      </c>
      <c r="C380" s="316" t="s">
        <v>158</v>
      </c>
      <c r="D380" s="316" t="s">
        <v>530</v>
      </c>
      <c r="E380" s="316"/>
      <c r="F380" s="310">
        <f>F381</f>
        <v>700</v>
      </c>
    </row>
    <row r="381" spans="1:6" ht="15.75" x14ac:dyDescent="0.25">
      <c r="A381" s="31" t="s">
        <v>529</v>
      </c>
      <c r="B381" s="360" t="s">
        <v>168</v>
      </c>
      <c r="C381" s="360" t="s">
        <v>158</v>
      </c>
      <c r="D381" s="365" t="s">
        <v>531</v>
      </c>
      <c r="E381" s="360"/>
      <c r="F381" s="311">
        <f t="shared" ref="F381:F382" si="47">F382</f>
        <v>700</v>
      </c>
    </row>
    <row r="382" spans="1:6" ht="31.5" x14ac:dyDescent="0.25">
      <c r="A382" s="24" t="s">
        <v>123</v>
      </c>
      <c r="B382" s="360" t="s">
        <v>168</v>
      </c>
      <c r="C382" s="360" t="s">
        <v>158</v>
      </c>
      <c r="D382" s="365" t="s">
        <v>531</v>
      </c>
      <c r="E382" s="360" t="s">
        <v>124</v>
      </c>
      <c r="F382" s="311">
        <f t="shared" si="47"/>
        <v>700</v>
      </c>
    </row>
    <row r="383" spans="1:6" ht="31.5" x14ac:dyDescent="0.25">
      <c r="A383" s="24" t="s">
        <v>125</v>
      </c>
      <c r="B383" s="360" t="s">
        <v>168</v>
      </c>
      <c r="C383" s="360" t="s">
        <v>158</v>
      </c>
      <c r="D383" s="365" t="s">
        <v>531</v>
      </c>
      <c r="E383" s="360" t="s">
        <v>126</v>
      </c>
      <c r="F383" s="311">
        <f>'Пр.4 ведом.22'!G1048</f>
        <v>700</v>
      </c>
    </row>
    <row r="384" spans="1:6" ht="31.5" hidden="1" x14ac:dyDescent="0.25">
      <c r="A384" s="26" t="s">
        <v>532</v>
      </c>
      <c r="B384" s="7" t="s">
        <v>168</v>
      </c>
      <c r="C384" s="7" t="s">
        <v>158</v>
      </c>
      <c r="D384" s="316" t="s">
        <v>533</v>
      </c>
      <c r="E384" s="7"/>
      <c r="F384" s="310">
        <f>F385</f>
        <v>0</v>
      </c>
    </row>
    <row r="385" spans="1:6" ht="15.75" hidden="1" x14ac:dyDescent="0.25">
      <c r="A385" s="31" t="s">
        <v>265</v>
      </c>
      <c r="B385" s="360" t="s">
        <v>168</v>
      </c>
      <c r="C385" s="360" t="s">
        <v>158</v>
      </c>
      <c r="D385" s="365" t="s">
        <v>536</v>
      </c>
      <c r="E385" s="360"/>
      <c r="F385" s="311">
        <f>F386</f>
        <v>0</v>
      </c>
    </row>
    <row r="386" spans="1:6" ht="31.5" hidden="1" x14ac:dyDescent="0.25">
      <c r="A386" s="24" t="s">
        <v>123</v>
      </c>
      <c r="B386" s="360" t="s">
        <v>168</v>
      </c>
      <c r="C386" s="360" t="s">
        <v>158</v>
      </c>
      <c r="D386" s="365" t="s">
        <v>536</v>
      </c>
      <c r="E386" s="360" t="s">
        <v>124</v>
      </c>
      <c r="F386" s="311">
        <f>F387</f>
        <v>0</v>
      </c>
    </row>
    <row r="387" spans="1:6" ht="31.5" hidden="1" x14ac:dyDescent="0.25">
      <c r="A387" s="24" t="s">
        <v>125</v>
      </c>
      <c r="B387" s="360" t="s">
        <v>168</v>
      </c>
      <c r="C387" s="360" t="s">
        <v>158</v>
      </c>
      <c r="D387" s="365" t="s">
        <v>536</v>
      </c>
      <c r="E387" s="360" t="s">
        <v>126</v>
      </c>
      <c r="F387" s="311">
        <f>'Пр.4 ведом.22'!G1052</f>
        <v>0</v>
      </c>
    </row>
    <row r="388" spans="1:6" ht="31.5" hidden="1" x14ac:dyDescent="0.25">
      <c r="A388" s="37" t="s">
        <v>534</v>
      </c>
      <c r="B388" s="7" t="s">
        <v>168</v>
      </c>
      <c r="C388" s="7" t="s">
        <v>158</v>
      </c>
      <c r="D388" s="316" t="s">
        <v>535</v>
      </c>
      <c r="E388" s="7"/>
      <c r="F388" s="310">
        <f>F389</f>
        <v>0</v>
      </c>
    </row>
    <row r="389" spans="1:6" ht="15.75" hidden="1" x14ac:dyDescent="0.25">
      <c r="A389" s="31" t="s">
        <v>266</v>
      </c>
      <c r="B389" s="360" t="s">
        <v>168</v>
      </c>
      <c r="C389" s="360" t="s">
        <v>158</v>
      </c>
      <c r="D389" s="365" t="s">
        <v>537</v>
      </c>
      <c r="E389" s="360"/>
      <c r="F389" s="311">
        <f>F390</f>
        <v>0</v>
      </c>
    </row>
    <row r="390" spans="1:6" ht="31.5" hidden="1" x14ac:dyDescent="0.25">
      <c r="A390" s="24" t="s">
        <v>123</v>
      </c>
      <c r="B390" s="360" t="s">
        <v>168</v>
      </c>
      <c r="C390" s="360" t="s">
        <v>158</v>
      </c>
      <c r="D390" s="365" t="s">
        <v>537</v>
      </c>
      <c r="E390" s="360" t="s">
        <v>124</v>
      </c>
      <c r="F390" s="311">
        <f>F391</f>
        <v>0</v>
      </c>
    </row>
    <row r="391" spans="1:6" ht="31.5" hidden="1" x14ac:dyDescent="0.25">
      <c r="A391" s="24" t="s">
        <v>125</v>
      </c>
      <c r="B391" s="360" t="s">
        <v>168</v>
      </c>
      <c r="C391" s="360" t="s">
        <v>158</v>
      </c>
      <c r="D391" s="365" t="s">
        <v>537</v>
      </c>
      <c r="E391" s="360" t="s">
        <v>126</v>
      </c>
      <c r="F391" s="311">
        <f>'Пр.4 ведом.22'!G1056</f>
        <v>0</v>
      </c>
    </row>
    <row r="392" spans="1:6" ht="31.5" hidden="1" x14ac:dyDescent="0.25">
      <c r="A392" s="37" t="s">
        <v>538</v>
      </c>
      <c r="B392" s="7" t="s">
        <v>168</v>
      </c>
      <c r="C392" s="7" t="s">
        <v>158</v>
      </c>
      <c r="D392" s="316" t="s">
        <v>539</v>
      </c>
      <c r="E392" s="7"/>
      <c r="F392" s="310">
        <f>F393</f>
        <v>0</v>
      </c>
    </row>
    <row r="393" spans="1:6" ht="15.75" hidden="1" x14ac:dyDescent="0.25">
      <c r="A393" s="31" t="s">
        <v>267</v>
      </c>
      <c r="B393" s="360" t="s">
        <v>168</v>
      </c>
      <c r="C393" s="360" t="s">
        <v>158</v>
      </c>
      <c r="D393" s="365" t="s">
        <v>540</v>
      </c>
      <c r="E393" s="360"/>
      <c r="F393" s="311">
        <f>F394</f>
        <v>0</v>
      </c>
    </row>
    <row r="394" spans="1:6" ht="31.5" hidden="1" x14ac:dyDescent="0.25">
      <c r="A394" s="24" t="s">
        <v>123</v>
      </c>
      <c r="B394" s="360" t="s">
        <v>168</v>
      </c>
      <c r="C394" s="360" t="s">
        <v>158</v>
      </c>
      <c r="D394" s="365" t="s">
        <v>540</v>
      </c>
      <c r="E394" s="360" t="s">
        <v>124</v>
      </c>
      <c r="F394" s="311">
        <f>F395</f>
        <v>0</v>
      </c>
    </row>
    <row r="395" spans="1:6" ht="31.5" hidden="1" x14ac:dyDescent="0.25">
      <c r="A395" s="24" t="s">
        <v>125</v>
      </c>
      <c r="B395" s="360" t="s">
        <v>168</v>
      </c>
      <c r="C395" s="360" t="s">
        <v>158</v>
      </c>
      <c r="D395" s="365" t="s">
        <v>540</v>
      </c>
      <c r="E395" s="360" t="s">
        <v>126</v>
      </c>
      <c r="F395" s="311">
        <f>'Пр.4 ведом.22'!G1060</f>
        <v>0</v>
      </c>
    </row>
    <row r="396" spans="1:6" ht="31.5" hidden="1" x14ac:dyDescent="0.25">
      <c r="A396" s="26" t="s">
        <v>577</v>
      </c>
      <c r="B396" s="7" t="s">
        <v>168</v>
      </c>
      <c r="C396" s="7" t="s">
        <v>158</v>
      </c>
      <c r="D396" s="316" t="s">
        <v>578</v>
      </c>
      <c r="E396" s="7"/>
      <c r="F396" s="310">
        <f>F397</f>
        <v>0</v>
      </c>
    </row>
    <row r="397" spans="1:6" ht="18" hidden="1" customHeight="1" x14ac:dyDescent="0.25">
      <c r="A397" s="31" t="s">
        <v>268</v>
      </c>
      <c r="B397" s="360" t="s">
        <v>168</v>
      </c>
      <c r="C397" s="360" t="s">
        <v>158</v>
      </c>
      <c r="D397" s="365" t="s">
        <v>581</v>
      </c>
      <c r="E397" s="360"/>
      <c r="F397" s="311">
        <f>F398</f>
        <v>0</v>
      </c>
    </row>
    <row r="398" spans="1:6" ht="31.5" hidden="1" x14ac:dyDescent="0.25">
      <c r="A398" s="24" t="s">
        <v>123</v>
      </c>
      <c r="B398" s="360" t="s">
        <v>168</v>
      </c>
      <c r="C398" s="360" t="s">
        <v>158</v>
      </c>
      <c r="D398" s="365" t="s">
        <v>581</v>
      </c>
      <c r="E398" s="360" t="s">
        <v>124</v>
      </c>
      <c r="F398" s="311">
        <f>F399</f>
        <v>0</v>
      </c>
    </row>
    <row r="399" spans="1:6" ht="31.5" hidden="1" x14ac:dyDescent="0.25">
      <c r="A399" s="24" t="s">
        <v>125</v>
      </c>
      <c r="B399" s="360" t="s">
        <v>168</v>
      </c>
      <c r="C399" s="360" t="s">
        <v>158</v>
      </c>
      <c r="D399" s="365" t="s">
        <v>581</v>
      </c>
      <c r="E399" s="360" t="s">
        <v>126</v>
      </c>
      <c r="F399" s="311">
        <f>'Пр.4 ведом.22'!G1064</f>
        <v>0</v>
      </c>
    </row>
    <row r="400" spans="1:6" ht="31.5" hidden="1" x14ac:dyDescent="0.25">
      <c r="A400" s="146" t="s">
        <v>579</v>
      </c>
      <c r="B400" s="7" t="s">
        <v>168</v>
      </c>
      <c r="C400" s="7" t="s">
        <v>158</v>
      </c>
      <c r="D400" s="316" t="s">
        <v>580</v>
      </c>
      <c r="E400" s="7"/>
      <c r="F400" s="310">
        <f>F401</f>
        <v>0</v>
      </c>
    </row>
    <row r="401" spans="1:11" ht="31.5" hidden="1" x14ac:dyDescent="0.25">
      <c r="A401" s="103" t="s">
        <v>269</v>
      </c>
      <c r="B401" s="360" t="s">
        <v>168</v>
      </c>
      <c r="C401" s="360" t="s">
        <v>158</v>
      </c>
      <c r="D401" s="365" t="s">
        <v>582</v>
      </c>
      <c r="E401" s="360"/>
      <c r="F401" s="311">
        <f>F402</f>
        <v>0</v>
      </c>
    </row>
    <row r="402" spans="1:11" ht="31.5" hidden="1" x14ac:dyDescent="0.25">
      <c r="A402" s="24" t="s">
        <v>123</v>
      </c>
      <c r="B402" s="360" t="s">
        <v>168</v>
      </c>
      <c r="C402" s="360" t="s">
        <v>158</v>
      </c>
      <c r="D402" s="365" t="s">
        <v>582</v>
      </c>
      <c r="E402" s="360" t="s">
        <v>124</v>
      </c>
      <c r="F402" s="311">
        <f>F403</f>
        <v>0</v>
      </c>
    </row>
    <row r="403" spans="1:11" ht="31.5" hidden="1" x14ac:dyDescent="0.25">
      <c r="A403" s="24" t="s">
        <v>125</v>
      </c>
      <c r="B403" s="360" t="s">
        <v>168</v>
      </c>
      <c r="C403" s="360" t="s">
        <v>158</v>
      </c>
      <c r="D403" s="365" t="s">
        <v>582</v>
      </c>
      <c r="E403" s="360" t="s">
        <v>126</v>
      </c>
      <c r="F403" s="311">
        <f>'Пр.4 ведом.22'!G1068</f>
        <v>0</v>
      </c>
    </row>
    <row r="404" spans="1:11" ht="31.5" hidden="1" x14ac:dyDescent="0.25">
      <c r="A404" s="146" t="s">
        <v>542</v>
      </c>
      <c r="B404" s="7" t="s">
        <v>168</v>
      </c>
      <c r="C404" s="7" t="s">
        <v>158</v>
      </c>
      <c r="D404" s="316" t="s">
        <v>543</v>
      </c>
      <c r="E404" s="7"/>
      <c r="F404" s="310">
        <f>F405</f>
        <v>0</v>
      </c>
    </row>
    <row r="405" spans="1:11" ht="15.75" hidden="1" x14ac:dyDescent="0.25">
      <c r="A405" s="103" t="s">
        <v>270</v>
      </c>
      <c r="B405" s="360" t="s">
        <v>168</v>
      </c>
      <c r="C405" s="360" t="s">
        <v>158</v>
      </c>
      <c r="D405" s="365" t="s">
        <v>541</v>
      </c>
      <c r="E405" s="360"/>
      <c r="F405" s="311">
        <f>F406</f>
        <v>0</v>
      </c>
    </row>
    <row r="406" spans="1:11" ht="31.5" hidden="1" x14ac:dyDescent="0.25">
      <c r="A406" s="364" t="s">
        <v>123</v>
      </c>
      <c r="B406" s="360" t="s">
        <v>168</v>
      </c>
      <c r="C406" s="360" t="s">
        <v>158</v>
      </c>
      <c r="D406" s="365" t="s">
        <v>541</v>
      </c>
      <c r="E406" s="360" t="s">
        <v>124</v>
      </c>
      <c r="F406" s="311">
        <f>F407</f>
        <v>0</v>
      </c>
    </row>
    <row r="407" spans="1:11" s="131" customFormat="1" ht="31.5" hidden="1" x14ac:dyDescent="0.25">
      <c r="A407" s="364" t="s">
        <v>125</v>
      </c>
      <c r="B407" s="360" t="s">
        <v>168</v>
      </c>
      <c r="C407" s="360" t="s">
        <v>158</v>
      </c>
      <c r="D407" s="365" t="s">
        <v>541</v>
      </c>
      <c r="E407" s="360" t="s">
        <v>126</v>
      </c>
      <c r="F407" s="311">
        <f>'Пр.4 ведом.22'!G1072</f>
        <v>0</v>
      </c>
      <c r="G407" s="363"/>
      <c r="H407" s="363"/>
      <c r="I407" s="363"/>
      <c r="J407" s="363"/>
      <c r="K407" s="363"/>
    </row>
    <row r="408" spans="1:11" s="131" customFormat="1" ht="47.25" x14ac:dyDescent="0.25">
      <c r="A408" s="315" t="s">
        <v>976</v>
      </c>
      <c r="B408" s="7" t="s">
        <v>168</v>
      </c>
      <c r="C408" s="7" t="s">
        <v>158</v>
      </c>
      <c r="D408" s="316" t="s">
        <v>692</v>
      </c>
      <c r="E408" s="7"/>
      <c r="F408" s="310">
        <f>F409</f>
        <v>204</v>
      </c>
      <c r="G408" s="363"/>
      <c r="H408" s="363"/>
      <c r="I408" s="363"/>
      <c r="J408" s="363"/>
      <c r="K408" s="363"/>
    </row>
    <row r="409" spans="1:11" s="131" customFormat="1" ht="31.5" x14ac:dyDescent="0.25">
      <c r="A409" s="315" t="s">
        <v>693</v>
      </c>
      <c r="B409" s="7" t="s">
        <v>168</v>
      </c>
      <c r="C409" s="7" t="s">
        <v>158</v>
      </c>
      <c r="D409" s="316" t="s">
        <v>694</v>
      </c>
      <c r="E409" s="7"/>
      <c r="F409" s="310">
        <f>F410</f>
        <v>204</v>
      </c>
      <c r="G409" s="363"/>
      <c r="H409" s="363"/>
      <c r="I409" s="363"/>
      <c r="J409" s="363"/>
      <c r="K409" s="363"/>
    </row>
    <row r="410" spans="1:11" s="131" customFormat="1" ht="15.75" x14ac:dyDescent="0.25">
      <c r="A410" s="364" t="s">
        <v>271</v>
      </c>
      <c r="B410" s="360" t="s">
        <v>168</v>
      </c>
      <c r="C410" s="360" t="s">
        <v>158</v>
      </c>
      <c r="D410" s="365" t="s">
        <v>695</v>
      </c>
      <c r="E410" s="360"/>
      <c r="F410" s="311">
        <f>F411</f>
        <v>204</v>
      </c>
      <c r="G410" s="363"/>
      <c r="H410" s="363"/>
      <c r="I410" s="363"/>
      <c r="J410" s="363"/>
      <c r="K410" s="363"/>
    </row>
    <row r="411" spans="1:11" s="131" customFormat="1" ht="31.5" x14ac:dyDescent="0.25">
      <c r="A411" s="364" t="s">
        <v>123</v>
      </c>
      <c r="B411" s="360" t="s">
        <v>168</v>
      </c>
      <c r="C411" s="360" t="s">
        <v>158</v>
      </c>
      <c r="D411" s="365" t="s">
        <v>695</v>
      </c>
      <c r="E411" s="360" t="s">
        <v>124</v>
      </c>
      <c r="F411" s="311">
        <f>F412</f>
        <v>204</v>
      </c>
      <c r="G411" s="363"/>
      <c r="H411" s="363"/>
      <c r="I411" s="363"/>
      <c r="J411" s="363"/>
      <c r="K411" s="363"/>
    </row>
    <row r="412" spans="1:11" s="131" customFormat="1" ht="31.5" x14ac:dyDescent="0.25">
      <c r="A412" s="364" t="s">
        <v>125</v>
      </c>
      <c r="B412" s="360" t="s">
        <v>168</v>
      </c>
      <c r="C412" s="360" t="s">
        <v>158</v>
      </c>
      <c r="D412" s="365" t="s">
        <v>695</v>
      </c>
      <c r="E412" s="360" t="s">
        <v>126</v>
      </c>
      <c r="F412" s="311">
        <f>'Пр.4 ведом.22'!G1077</f>
        <v>204</v>
      </c>
      <c r="G412" s="363"/>
      <c r="H412" s="363"/>
      <c r="I412" s="363"/>
      <c r="J412" s="363"/>
      <c r="K412" s="363"/>
    </row>
    <row r="413" spans="1:11" ht="15.75" x14ac:dyDescent="0.25">
      <c r="A413" s="359" t="s">
        <v>272</v>
      </c>
      <c r="B413" s="7" t="s">
        <v>168</v>
      </c>
      <c r="C413" s="7" t="s">
        <v>159</v>
      </c>
      <c r="D413" s="7"/>
      <c r="E413" s="7"/>
      <c r="F413" s="310">
        <f>F414+F419+F466</f>
        <v>35361.46</v>
      </c>
      <c r="H413" s="74"/>
    </row>
    <row r="414" spans="1:11" s="131" customFormat="1" ht="15.75" x14ac:dyDescent="0.25">
      <c r="A414" s="315" t="s">
        <v>133</v>
      </c>
      <c r="B414" s="316" t="s">
        <v>168</v>
      </c>
      <c r="C414" s="316" t="s">
        <v>159</v>
      </c>
      <c r="D414" s="316" t="s">
        <v>442</v>
      </c>
      <c r="E414" s="316"/>
      <c r="F414" s="310">
        <f>F415</f>
        <v>390</v>
      </c>
      <c r="G414" s="363"/>
      <c r="H414" s="74"/>
      <c r="I414" s="363"/>
      <c r="J414" s="363"/>
      <c r="K414" s="363"/>
    </row>
    <row r="415" spans="1:11" s="131" customFormat="1" ht="31.5" x14ac:dyDescent="0.25">
      <c r="A415" s="315" t="s">
        <v>446</v>
      </c>
      <c r="B415" s="316" t="s">
        <v>168</v>
      </c>
      <c r="C415" s="316" t="s">
        <v>159</v>
      </c>
      <c r="D415" s="316" t="s">
        <v>441</v>
      </c>
      <c r="E415" s="316"/>
      <c r="F415" s="310">
        <f>F416</f>
        <v>390</v>
      </c>
      <c r="G415" s="363"/>
      <c r="H415" s="74"/>
      <c r="I415" s="363"/>
      <c r="J415" s="363"/>
      <c r="K415" s="363"/>
    </row>
    <row r="416" spans="1:11" s="131" customFormat="1" ht="15.75" x14ac:dyDescent="0.25">
      <c r="A416" s="364" t="s">
        <v>279</v>
      </c>
      <c r="B416" s="365" t="s">
        <v>168</v>
      </c>
      <c r="C416" s="365" t="s">
        <v>159</v>
      </c>
      <c r="D416" s="365" t="s">
        <v>629</v>
      </c>
      <c r="E416" s="365"/>
      <c r="F416" s="311">
        <f>F417</f>
        <v>390</v>
      </c>
      <c r="G416" s="363"/>
      <c r="H416" s="74"/>
      <c r="I416" s="363"/>
      <c r="J416" s="363"/>
      <c r="K416" s="363"/>
    </row>
    <row r="417" spans="1:11" s="131" customFormat="1" ht="31.5" x14ac:dyDescent="0.25">
      <c r="A417" s="364" t="s">
        <v>123</v>
      </c>
      <c r="B417" s="365" t="s">
        <v>168</v>
      </c>
      <c r="C417" s="365" t="s">
        <v>159</v>
      </c>
      <c r="D417" s="365" t="s">
        <v>629</v>
      </c>
      <c r="E417" s="365" t="s">
        <v>124</v>
      </c>
      <c r="F417" s="311">
        <f>F418</f>
        <v>390</v>
      </c>
      <c r="G417" s="363"/>
      <c r="H417" s="74"/>
      <c r="I417" s="363"/>
      <c r="J417" s="363"/>
      <c r="K417" s="363"/>
    </row>
    <row r="418" spans="1:11" s="131" customFormat="1" ht="31.5" x14ac:dyDescent="0.25">
      <c r="A418" s="364" t="s">
        <v>125</v>
      </c>
      <c r="B418" s="365" t="s">
        <v>168</v>
      </c>
      <c r="C418" s="365" t="s">
        <v>159</v>
      </c>
      <c r="D418" s="365" t="s">
        <v>629</v>
      </c>
      <c r="E418" s="365" t="s">
        <v>126</v>
      </c>
      <c r="F418" s="311">
        <f>'Пр.4 ведом.22'!G1083</f>
        <v>390</v>
      </c>
      <c r="G418" s="363"/>
      <c r="H418" s="74"/>
      <c r="I418" s="363"/>
      <c r="J418" s="363"/>
      <c r="K418" s="363"/>
    </row>
    <row r="419" spans="1:11" ht="39.4" customHeight="1" x14ac:dyDescent="0.25">
      <c r="A419" s="315" t="s">
        <v>864</v>
      </c>
      <c r="B419" s="7" t="s">
        <v>168</v>
      </c>
      <c r="C419" s="7" t="s">
        <v>159</v>
      </c>
      <c r="D419" s="7" t="s">
        <v>273</v>
      </c>
      <c r="E419" s="7"/>
      <c r="F419" s="310">
        <f>F420+F424+F451+F458+F462</f>
        <v>8881.4599999999991</v>
      </c>
    </row>
    <row r="420" spans="1:11" s="131" customFormat="1" ht="47.25" hidden="1" x14ac:dyDescent="0.25">
      <c r="A420" s="315" t="s">
        <v>918</v>
      </c>
      <c r="B420" s="316" t="s">
        <v>168</v>
      </c>
      <c r="C420" s="316" t="s">
        <v>159</v>
      </c>
      <c r="D420" s="316" t="s">
        <v>800</v>
      </c>
      <c r="E420" s="316"/>
      <c r="F420" s="310">
        <f>F421</f>
        <v>0</v>
      </c>
      <c r="G420" s="363"/>
      <c r="H420" s="363"/>
      <c r="I420" s="363"/>
      <c r="J420" s="363"/>
      <c r="K420" s="363"/>
    </row>
    <row r="421" spans="1:11" s="131" customFormat="1" ht="31.5" hidden="1" x14ac:dyDescent="0.25">
      <c r="A421" s="213" t="s">
        <v>919</v>
      </c>
      <c r="B421" s="365" t="s">
        <v>168</v>
      </c>
      <c r="C421" s="365" t="s">
        <v>159</v>
      </c>
      <c r="D421" s="365" t="s">
        <v>909</v>
      </c>
      <c r="E421" s="365"/>
      <c r="F421" s="318">
        <f>F422</f>
        <v>0</v>
      </c>
      <c r="G421" s="363"/>
      <c r="H421" s="363"/>
      <c r="I421" s="363"/>
      <c r="J421" s="363"/>
      <c r="K421" s="363"/>
    </row>
    <row r="422" spans="1:11" s="131" customFormat="1" ht="31.5" hidden="1" x14ac:dyDescent="0.25">
      <c r="A422" s="364" t="s">
        <v>123</v>
      </c>
      <c r="B422" s="365" t="s">
        <v>168</v>
      </c>
      <c r="C422" s="365" t="s">
        <v>159</v>
      </c>
      <c r="D422" s="365" t="s">
        <v>909</v>
      </c>
      <c r="E422" s="365" t="s">
        <v>124</v>
      </c>
      <c r="F422" s="318">
        <f>F423</f>
        <v>0</v>
      </c>
      <c r="G422" s="363"/>
      <c r="H422" s="363"/>
      <c r="I422" s="363"/>
      <c r="J422" s="363"/>
      <c r="K422" s="363"/>
    </row>
    <row r="423" spans="1:11" s="131" customFormat="1" ht="31.5" hidden="1" x14ac:dyDescent="0.25">
      <c r="A423" s="364" t="s">
        <v>125</v>
      </c>
      <c r="B423" s="365" t="s">
        <v>168</v>
      </c>
      <c r="C423" s="365" t="s">
        <v>159</v>
      </c>
      <c r="D423" s="365" t="s">
        <v>909</v>
      </c>
      <c r="E423" s="365" t="s">
        <v>126</v>
      </c>
      <c r="F423" s="318">
        <f>'Пр.4 ведом.22'!G1088</f>
        <v>0</v>
      </c>
      <c r="G423" s="363"/>
      <c r="H423" s="363"/>
      <c r="I423" s="363"/>
      <c r="J423" s="363"/>
      <c r="K423" s="363"/>
    </row>
    <row r="424" spans="1:11" s="131" customFormat="1" ht="31.5" x14ac:dyDescent="0.25">
      <c r="A424" s="315" t="s">
        <v>921</v>
      </c>
      <c r="B424" s="316" t="s">
        <v>168</v>
      </c>
      <c r="C424" s="316" t="s">
        <v>159</v>
      </c>
      <c r="D424" s="316" t="s">
        <v>801</v>
      </c>
      <c r="E424" s="316"/>
      <c r="F424" s="310">
        <f>F425+F428+F434+F437+F440+F445+F448</f>
        <v>2248.02</v>
      </c>
      <c r="G424" s="363"/>
      <c r="H424" s="363"/>
      <c r="I424" s="363"/>
      <c r="J424" s="363"/>
      <c r="K424" s="363"/>
    </row>
    <row r="425" spans="1:11" ht="24" customHeight="1" x14ac:dyDescent="0.25">
      <c r="A425" s="364" t="s">
        <v>274</v>
      </c>
      <c r="B425" s="365" t="s">
        <v>168</v>
      </c>
      <c r="C425" s="365" t="s">
        <v>159</v>
      </c>
      <c r="D425" s="365" t="s">
        <v>917</v>
      </c>
      <c r="E425" s="365"/>
      <c r="F425" s="311">
        <f t="shared" ref="F425:F426" si="48">F426</f>
        <v>365</v>
      </c>
    </row>
    <row r="426" spans="1:11" ht="31.5" x14ac:dyDescent="0.25">
      <c r="A426" s="364" t="s">
        <v>123</v>
      </c>
      <c r="B426" s="365" t="s">
        <v>168</v>
      </c>
      <c r="C426" s="365" t="s">
        <v>159</v>
      </c>
      <c r="D426" s="365" t="s">
        <v>917</v>
      </c>
      <c r="E426" s="365" t="s">
        <v>124</v>
      </c>
      <c r="F426" s="311">
        <f t="shared" si="48"/>
        <v>365</v>
      </c>
    </row>
    <row r="427" spans="1:11" ht="31.5" x14ac:dyDescent="0.25">
      <c r="A427" s="364" t="s">
        <v>125</v>
      </c>
      <c r="B427" s="365" t="s">
        <v>168</v>
      </c>
      <c r="C427" s="365" t="s">
        <v>159</v>
      </c>
      <c r="D427" s="365" t="s">
        <v>917</v>
      </c>
      <c r="E427" s="365" t="s">
        <v>126</v>
      </c>
      <c r="F427" s="311">
        <f>'Пр.4 ведом.22'!G1092</f>
        <v>365</v>
      </c>
    </row>
    <row r="428" spans="1:11" ht="15.75" x14ac:dyDescent="0.25">
      <c r="A428" s="364" t="s">
        <v>275</v>
      </c>
      <c r="B428" s="365" t="s">
        <v>168</v>
      </c>
      <c r="C428" s="365" t="s">
        <v>159</v>
      </c>
      <c r="D428" s="365" t="s">
        <v>908</v>
      </c>
      <c r="E428" s="365"/>
      <c r="F428" s="311">
        <f>F429+F431</f>
        <v>1408.02</v>
      </c>
    </row>
    <row r="429" spans="1:11" ht="31.5" x14ac:dyDescent="0.25">
      <c r="A429" s="364" t="s">
        <v>123</v>
      </c>
      <c r="B429" s="365" t="s">
        <v>168</v>
      </c>
      <c r="C429" s="365" t="s">
        <v>159</v>
      </c>
      <c r="D429" s="365" t="s">
        <v>908</v>
      </c>
      <c r="E429" s="365" t="s">
        <v>124</v>
      </c>
      <c r="F429" s="311">
        <f t="shared" ref="F429" si="49">F430</f>
        <v>1408.02</v>
      </c>
    </row>
    <row r="430" spans="1:11" ht="31.5" x14ac:dyDescent="0.25">
      <c r="A430" s="364" t="s">
        <v>125</v>
      </c>
      <c r="B430" s="365" t="s">
        <v>168</v>
      </c>
      <c r="C430" s="365" t="s">
        <v>159</v>
      </c>
      <c r="D430" s="365" t="s">
        <v>908</v>
      </c>
      <c r="E430" s="365" t="s">
        <v>126</v>
      </c>
      <c r="F430" s="311">
        <f>'Пр.4 ведом.22'!G1095</f>
        <v>1408.02</v>
      </c>
    </row>
    <row r="431" spans="1:11" ht="15.75" hidden="1" x14ac:dyDescent="0.25">
      <c r="A431" s="22" t="s">
        <v>127</v>
      </c>
      <c r="B431" s="365" t="s">
        <v>168</v>
      </c>
      <c r="C431" s="365" t="s">
        <v>159</v>
      </c>
      <c r="D431" s="365" t="s">
        <v>908</v>
      </c>
      <c r="E431" s="365" t="s">
        <v>134</v>
      </c>
      <c r="F431" s="311">
        <f>F433+F432</f>
        <v>0</v>
      </c>
    </row>
    <row r="432" spans="1:11" s="131" customFormat="1" ht="47.25" hidden="1" x14ac:dyDescent="0.25">
      <c r="A432" s="364" t="s">
        <v>413</v>
      </c>
      <c r="B432" s="365" t="s">
        <v>168</v>
      </c>
      <c r="C432" s="365" t="s">
        <v>159</v>
      </c>
      <c r="D432" s="365" t="s">
        <v>908</v>
      </c>
      <c r="E432" s="365" t="s">
        <v>136</v>
      </c>
      <c r="F432" s="311">
        <f>'Пр.4 ведом.22'!G1097</f>
        <v>0</v>
      </c>
      <c r="G432" s="363"/>
      <c r="H432" s="363"/>
      <c r="I432" s="363"/>
      <c r="J432" s="363"/>
      <c r="K432" s="363"/>
    </row>
    <row r="433" spans="1:11" ht="15.75" hidden="1" x14ac:dyDescent="0.25">
      <c r="A433" s="22" t="s">
        <v>280</v>
      </c>
      <c r="B433" s="365" t="s">
        <v>168</v>
      </c>
      <c r="C433" s="365" t="s">
        <v>159</v>
      </c>
      <c r="D433" s="365" t="s">
        <v>908</v>
      </c>
      <c r="E433" s="365" t="s">
        <v>130</v>
      </c>
      <c r="F433" s="311">
        <f>'Пр.4 ведом.22'!G1098</f>
        <v>0</v>
      </c>
    </row>
    <row r="434" spans="1:11" ht="15.75" hidden="1" x14ac:dyDescent="0.25">
      <c r="A434" s="364" t="s">
        <v>276</v>
      </c>
      <c r="B434" s="365" t="s">
        <v>168</v>
      </c>
      <c r="C434" s="365" t="s">
        <v>159</v>
      </c>
      <c r="D434" s="365" t="s">
        <v>813</v>
      </c>
      <c r="E434" s="365"/>
      <c r="F434" s="311">
        <f t="shared" ref="F434:F435" si="50">F435</f>
        <v>0</v>
      </c>
    </row>
    <row r="435" spans="1:11" ht="31.5" hidden="1" x14ac:dyDescent="0.25">
      <c r="A435" s="364" t="s">
        <v>123</v>
      </c>
      <c r="B435" s="365" t="s">
        <v>168</v>
      </c>
      <c r="C435" s="365" t="s">
        <v>159</v>
      </c>
      <c r="D435" s="365" t="s">
        <v>813</v>
      </c>
      <c r="E435" s="365" t="s">
        <v>124</v>
      </c>
      <c r="F435" s="311">
        <f t="shared" si="50"/>
        <v>0</v>
      </c>
    </row>
    <row r="436" spans="1:11" ht="31.5" hidden="1" x14ac:dyDescent="0.25">
      <c r="A436" s="364" t="s">
        <v>125</v>
      </c>
      <c r="B436" s="365" t="s">
        <v>168</v>
      </c>
      <c r="C436" s="365" t="s">
        <v>159</v>
      </c>
      <c r="D436" s="365" t="s">
        <v>813</v>
      </c>
      <c r="E436" s="365" t="s">
        <v>126</v>
      </c>
      <c r="F436" s="311">
        <f>'Пр.4 ведом.22'!G1101</f>
        <v>0</v>
      </c>
    </row>
    <row r="437" spans="1:11" ht="15.75" x14ac:dyDescent="0.25">
      <c r="A437" s="364" t="s">
        <v>277</v>
      </c>
      <c r="B437" s="365" t="s">
        <v>168</v>
      </c>
      <c r="C437" s="365" t="s">
        <v>159</v>
      </c>
      <c r="D437" s="365" t="s">
        <v>802</v>
      </c>
      <c r="E437" s="365"/>
      <c r="F437" s="311">
        <f t="shared" ref="F437:F438" si="51">F438</f>
        <v>50</v>
      </c>
    </row>
    <row r="438" spans="1:11" ht="31.5" x14ac:dyDescent="0.25">
      <c r="A438" s="364" t="s">
        <v>123</v>
      </c>
      <c r="B438" s="365" t="s">
        <v>168</v>
      </c>
      <c r="C438" s="365" t="s">
        <v>159</v>
      </c>
      <c r="D438" s="365" t="s">
        <v>802</v>
      </c>
      <c r="E438" s="365" t="s">
        <v>124</v>
      </c>
      <c r="F438" s="311">
        <f t="shared" si="51"/>
        <v>50</v>
      </c>
    </row>
    <row r="439" spans="1:11" ht="31.5" x14ac:dyDescent="0.25">
      <c r="A439" s="364" t="s">
        <v>125</v>
      </c>
      <c r="B439" s="365" t="s">
        <v>168</v>
      </c>
      <c r="C439" s="365" t="s">
        <v>159</v>
      </c>
      <c r="D439" s="365" t="s">
        <v>802</v>
      </c>
      <c r="E439" s="365" t="s">
        <v>126</v>
      </c>
      <c r="F439" s="311">
        <f>'Пр.4 ведом.22'!G1104</f>
        <v>50</v>
      </c>
    </row>
    <row r="440" spans="1:11" ht="31.5" x14ac:dyDescent="0.25">
      <c r="A440" s="212" t="s">
        <v>920</v>
      </c>
      <c r="B440" s="365" t="s">
        <v>168</v>
      </c>
      <c r="C440" s="365" t="s">
        <v>159</v>
      </c>
      <c r="D440" s="365" t="s">
        <v>803</v>
      </c>
      <c r="E440" s="365"/>
      <c r="F440" s="311">
        <f>F441+F443</f>
        <v>375</v>
      </c>
    </row>
    <row r="441" spans="1:11" ht="31.5" x14ac:dyDescent="0.25">
      <c r="A441" s="364" t="s">
        <v>123</v>
      </c>
      <c r="B441" s="365" t="s">
        <v>168</v>
      </c>
      <c r="C441" s="365" t="s">
        <v>159</v>
      </c>
      <c r="D441" s="365" t="s">
        <v>803</v>
      </c>
      <c r="E441" s="365" t="s">
        <v>124</v>
      </c>
      <c r="F441" s="311">
        <f t="shared" ref="F441" si="52">F442</f>
        <v>375</v>
      </c>
    </row>
    <row r="442" spans="1:11" ht="31.5" x14ac:dyDescent="0.25">
      <c r="A442" s="364" t="s">
        <v>125</v>
      </c>
      <c r="B442" s="365" t="s">
        <v>168</v>
      </c>
      <c r="C442" s="365" t="s">
        <v>159</v>
      </c>
      <c r="D442" s="365" t="s">
        <v>803</v>
      </c>
      <c r="E442" s="365" t="s">
        <v>126</v>
      </c>
      <c r="F442" s="311">
        <f>'Пр.4 ведом.22'!G1107</f>
        <v>375</v>
      </c>
    </row>
    <row r="443" spans="1:11" s="131" customFormat="1" ht="15.75" hidden="1" x14ac:dyDescent="0.25">
      <c r="A443" s="22" t="s">
        <v>127</v>
      </c>
      <c r="B443" s="365" t="s">
        <v>168</v>
      </c>
      <c r="C443" s="365" t="s">
        <v>159</v>
      </c>
      <c r="D443" s="365" t="s">
        <v>803</v>
      </c>
      <c r="E443" s="365" t="s">
        <v>134</v>
      </c>
      <c r="F443" s="311">
        <f>F444</f>
        <v>0</v>
      </c>
      <c r="G443" s="363"/>
      <c r="H443" s="363"/>
      <c r="I443" s="363"/>
      <c r="J443" s="363"/>
      <c r="K443" s="363"/>
    </row>
    <row r="444" spans="1:11" s="131" customFormat="1" ht="15.75" hidden="1" x14ac:dyDescent="0.25">
      <c r="A444" s="22" t="s">
        <v>280</v>
      </c>
      <c r="B444" s="365" t="s">
        <v>168</v>
      </c>
      <c r="C444" s="365" t="s">
        <v>159</v>
      </c>
      <c r="D444" s="365" t="s">
        <v>803</v>
      </c>
      <c r="E444" s="365" t="s">
        <v>130</v>
      </c>
      <c r="F444" s="311">
        <f>'Пр.4 ведом.22'!G1109</f>
        <v>0</v>
      </c>
      <c r="G444" s="363"/>
      <c r="H444" s="363"/>
      <c r="I444" s="363"/>
      <c r="J444" s="363"/>
      <c r="K444" s="363"/>
    </row>
    <row r="445" spans="1:11" ht="15.75" hidden="1" x14ac:dyDescent="0.25">
      <c r="A445" s="70" t="s">
        <v>278</v>
      </c>
      <c r="B445" s="365" t="s">
        <v>168</v>
      </c>
      <c r="C445" s="365" t="s">
        <v>159</v>
      </c>
      <c r="D445" s="365" t="s">
        <v>804</v>
      </c>
      <c r="E445" s="365"/>
      <c r="F445" s="311">
        <f t="shared" ref="F445:F446" si="53">F446</f>
        <v>0</v>
      </c>
    </row>
    <row r="446" spans="1:11" ht="31.5" hidden="1" x14ac:dyDescent="0.25">
      <c r="A446" s="364" t="s">
        <v>123</v>
      </c>
      <c r="B446" s="365" t="s">
        <v>168</v>
      </c>
      <c r="C446" s="365" t="s">
        <v>159</v>
      </c>
      <c r="D446" s="365" t="s">
        <v>804</v>
      </c>
      <c r="E446" s="365" t="s">
        <v>124</v>
      </c>
      <c r="F446" s="311">
        <f t="shared" si="53"/>
        <v>0</v>
      </c>
    </row>
    <row r="447" spans="1:11" ht="31.5" hidden="1" x14ac:dyDescent="0.25">
      <c r="A447" s="364" t="s">
        <v>125</v>
      </c>
      <c r="B447" s="365" t="s">
        <v>168</v>
      </c>
      <c r="C447" s="365" t="s">
        <v>159</v>
      </c>
      <c r="D447" s="365" t="s">
        <v>804</v>
      </c>
      <c r="E447" s="365" t="s">
        <v>126</v>
      </c>
      <c r="F447" s="311">
        <f>'Пр.4 ведом.22'!G1112</f>
        <v>0</v>
      </c>
    </row>
    <row r="448" spans="1:11" s="131" customFormat="1" ht="31.5" x14ac:dyDescent="0.25">
      <c r="A448" s="153" t="s">
        <v>642</v>
      </c>
      <c r="B448" s="365" t="s">
        <v>168</v>
      </c>
      <c r="C448" s="365" t="s">
        <v>159</v>
      </c>
      <c r="D448" s="365" t="s">
        <v>805</v>
      </c>
      <c r="E448" s="365"/>
      <c r="F448" s="318">
        <f>F449</f>
        <v>50</v>
      </c>
      <c r="G448" s="363"/>
      <c r="H448" s="363"/>
      <c r="I448" s="363"/>
      <c r="J448" s="363"/>
      <c r="K448" s="363"/>
    </row>
    <row r="449" spans="1:11" s="131" customFormat="1" ht="31.5" x14ac:dyDescent="0.25">
      <c r="A449" s="364" t="s">
        <v>123</v>
      </c>
      <c r="B449" s="365" t="s">
        <v>168</v>
      </c>
      <c r="C449" s="365" t="s">
        <v>159</v>
      </c>
      <c r="D449" s="365" t="s">
        <v>805</v>
      </c>
      <c r="E449" s="365" t="s">
        <v>124</v>
      </c>
      <c r="F449" s="318">
        <f>F450</f>
        <v>50</v>
      </c>
      <c r="G449" s="363"/>
      <c r="H449" s="363"/>
      <c r="I449" s="363"/>
      <c r="J449" s="363"/>
      <c r="K449" s="363"/>
    </row>
    <row r="450" spans="1:11" s="131" customFormat="1" ht="31.5" x14ac:dyDescent="0.25">
      <c r="A450" s="364" t="s">
        <v>125</v>
      </c>
      <c r="B450" s="365" t="s">
        <v>168</v>
      </c>
      <c r="C450" s="365" t="s">
        <v>159</v>
      </c>
      <c r="D450" s="365" t="s">
        <v>805</v>
      </c>
      <c r="E450" s="365" t="s">
        <v>126</v>
      </c>
      <c r="F450" s="318">
        <f>'Пр.4 ведом.22'!G1115</f>
        <v>50</v>
      </c>
      <c r="G450" s="363"/>
      <c r="H450" s="363"/>
      <c r="I450" s="363"/>
      <c r="J450" s="363"/>
      <c r="K450" s="363"/>
    </row>
    <row r="451" spans="1:11" s="131" customFormat="1" ht="31.5" x14ac:dyDescent="0.25">
      <c r="A451" s="315" t="s">
        <v>464</v>
      </c>
      <c r="B451" s="7" t="s">
        <v>168</v>
      </c>
      <c r="C451" s="7" t="s">
        <v>159</v>
      </c>
      <c r="D451" s="316" t="s">
        <v>812</v>
      </c>
      <c r="E451" s="316"/>
      <c r="F451" s="310">
        <f>F452+F455</f>
        <v>2145.8000000000002</v>
      </c>
      <c r="G451" s="363"/>
      <c r="H451" s="363"/>
      <c r="I451" s="363"/>
      <c r="J451" s="363"/>
      <c r="K451" s="363"/>
    </row>
    <row r="452" spans="1:11" s="131" customFormat="1" ht="31.5" hidden="1" x14ac:dyDescent="0.25">
      <c r="A452" s="364" t="s">
        <v>332</v>
      </c>
      <c r="B452" s="365" t="s">
        <v>168</v>
      </c>
      <c r="C452" s="365" t="s">
        <v>159</v>
      </c>
      <c r="D452" s="365" t="s">
        <v>834</v>
      </c>
      <c r="E452" s="365"/>
      <c r="F452" s="311">
        <f t="shared" ref="F452" si="54">F453</f>
        <v>0</v>
      </c>
      <c r="G452" s="363"/>
      <c r="H452" s="363"/>
      <c r="I452" s="363"/>
      <c r="J452" s="363"/>
      <c r="K452" s="363"/>
    </row>
    <row r="453" spans="1:11" s="131" customFormat="1" ht="31.5" hidden="1" x14ac:dyDescent="0.25">
      <c r="A453" s="364" t="s">
        <v>123</v>
      </c>
      <c r="B453" s="365" t="s">
        <v>168</v>
      </c>
      <c r="C453" s="365" t="s">
        <v>159</v>
      </c>
      <c r="D453" s="365" t="s">
        <v>834</v>
      </c>
      <c r="E453" s="365" t="s">
        <v>124</v>
      </c>
      <c r="F453" s="311">
        <f>F454</f>
        <v>0</v>
      </c>
      <c r="G453" s="363"/>
      <c r="H453" s="363"/>
      <c r="I453" s="363"/>
      <c r="J453" s="363"/>
      <c r="K453" s="363"/>
    </row>
    <row r="454" spans="1:11" s="131" customFormat="1" ht="31.5" hidden="1" x14ac:dyDescent="0.25">
      <c r="A454" s="364" t="s">
        <v>125</v>
      </c>
      <c r="B454" s="365" t="s">
        <v>168</v>
      </c>
      <c r="C454" s="365" t="s">
        <v>159</v>
      </c>
      <c r="D454" s="365" t="s">
        <v>834</v>
      </c>
      <c r="E454" s="365" t="s">
        <v>126</v>
      </c>
      <c r="F454" s="311">
        <f>'Пр.4 ведом.22'!G1119</f>
        <v>0</v>
      </c>
      <c r="G454" s="363"/>
      <c r="H454" s="363"/>
      <c r="I454" s="363"/>
      <c r="J454" s="363"/>
      <c r="K454" s="363"/>
    </row>
    <row r="455" spans="1:11" s="131" customFormat="1" ht="63" x14ac:dyDescent="0.25">
      <c r="A455" s="364" t="s">
        <v>627</v>
      </c>
      <c r="B455" s="365" t="s">
        <v>168</v>
      </c>
      <c r="C455" s="365" t="s">
        <v>159</v>
      </c>
      <c r="D455" s="365" t="s">
        <v>811</v>
      </c>
      <c r="E455" s="365"/>
      <c r="F455" s="311">
        <f>F456</f>
        <v>2145.8000000000002</v>
      </c>
      <c r="G455" s="363"/>
      <c r="H455" s="363"/>
      <c r="I455" s="363"/>
      <c r="J455" s="363"/>
      <c r="K455" s="363"/>
    </row>
    <row r="456" spans="1:11" s="131" customFormat="1" ht="31.5" x14ac:dyDescent="0.25">
      <c r="A456" s="364" t="s">
        <v>123</v>
      </c>
      <c r="B456" s="365" t="s">
        <v>168</v>
      </c>
      <c r="C456" s="365" t="s">
        <v>159</v>
      </c>
      <c r="D456" s="365" t="s">
        <v>811</v>
      </c>
      <c r="E456" s="365" t="s">
        <v>124</v>
      </c>
      <c r="F456" s="311">
        <f>F457</f>
        <v>2145.8000000000002</v>
      </c>
      <c r="G456" s="363"/>
      <c r="H456" s="363"/>
      <c r="I456" s="363"/>
      <c r="J456" s="363"/>
      <c r="K456" s="363"/>
    </row>
    <row r="457" spans="1:11" s="131" customFormat="1" ht="31.5" x14ac:dyDescent="0.25">
      <c r="A457" s="364" t="s">
        <v>125</v>
      </c>
      <c r="B457" s="365" t="s">
        <v>168</v>
      </c>
      <c r="C457" s="365" t="s">
        <v>159</v>
      </c>
      <c r="D457" s="365" t="s">
        <v>811</v>
      </c>
      <c r="E457" s="365" t="s">
        <v>126</v>
      </c>
      <c r="F457" s="311">
        <f>'Пр.4 ведом.22'!G1122</f>
        <v>2145.8000000000002</v>
      </c>
      <c r="G457" s="363"/>
      <c r="H457" s="363"/>
      <c r="I457" s="363"/>
      <c r="J457" s="363"/>
      <c r="K457" s="363"/>
    </row>
    <row r="458" spans="1:11" s="309" customFormat="1" ht="31.5" hidden="1" x14ac:dyDescent="0.25">
      <c r="A458" s="26" t="s">
        <v>1044</v>
      </c>
      <c r="B458" s="316" t="s">
        <v>168</v>
      </c>
      <c r="C458" s="316" t="s">
        <v>159</v>
      </c>
      <c r="D458" s="316" t="s">
        <v>1045</v>
      </c>
      <c r="E458" s="316"/>
      <c r="F458" s="310">
        <f>F459</f>
        <v>0</v>
      </c>
      <c r="G458" s="363"/>
      <c r="H458" s="363"/>
      <c r="I458" s="363"/>
      <c r="J458" s="363"/>
      <c r="K458" s="363"/>
    </row>
    <row r="459" spans="1:11" s="309" customFormat="1" ht="31.5" hidden="1" x14ac:dyDescent="0.25">
      <c r="A459" s="24" t="s">
        <v>1043</v>
      </c>
      <c r="B459" s="365" t="s">
        <v>168</v>
      </c>
      <c r="C459" s="365" t="s">
        <v>159</v>
      </c>
      <c r="D459" s="365" t="s">
        <v>1046</v>
      </c>
      <c r="E459" s="365"/>
      <c r="F459" s="311">
        <f>F460</f>
        <v>0</v>
      </c>
      <c r="G459" s="363"/>
      <c r="H459" s="363"/>
      <c r="I459" s="363"/>
      <c r="J459" s="363"/>
      <c r="K459" s="363"/>
    </row>
    <row r="460" spans="1:11" s="309" customFormat="1" ht="31.5" hidden="1" x14ac:dyDescent="0.25">
      <c r="A460" s="364" t="s">
        <v>123</v>
      </c>
      <c r="B460" s="365" t="s">
        <v>168</v>
      </c>
      <c r="C460" s="365" t="s">
        <v>159</v>
      </c>
      <c r="D460" s="365" t="s">
        <v>1046</v>
      </c>
      <c r="E460" s="365" t="s">
        <v>124</v>
      </c>
      <c r="F460" s="311">
        <f>F461</f>
        <v>0</v>
      </c>
      <c r="G460" s="363"/>
      <c r="H460" s="363"/>
      <c r="I460" s="363"/>
      <c r="J460" s="363"/>
      <c r="K460" s="363"/>
    </row>
    <row r="461" spans="1:11" s="309" customFormat="1" ht="31.5" hidden="1" x14ac:dyDescent="0.25">
      <c r="A461" s="364" t="s">
        <v>125</v>
      </c>
      <c r="B461" s="365" t="s">
        <v>168</v>
      </c>
      <c r="C461" s="365" t="s">
        <v>159</v>
      </c>
      <c r="D461" s="365" t="s">
        <v>1046</v>
      </c>
      <c r="E461" s="365" t="s">
        <v>126</v>
      </c>
      <c r="F461" s="311">
        <f>'Пр.4 ведом.22'!G1126</f>
        <v>0</v>
      </c>
      <c r="G461" s="363"/>
      <c r="H461" s="363"/>
      <c r="I461" s="363"/>
      <c r="J461" s="363"/>
      <c r="K461" s="363"/>
    </row>
    <row r="462" spans="1:11" s="309" customFormat="1" ht="47.25" x14ac:dyDescent="0.25">
      <c r="A462" s="26" t="s">
        <v>1070</v>
      </c>
      <c r="B462" s="316" t="s">
        <v>168</v>
      </c>
      <c r="C462" s="316" t="s">
        <v>159</v>
      </c>
      <c r="D462" s="316" t="s">
        <v>1069</v>
      </c>
      <c r="E462" s="316"/>
      <c r="F462" s="310">
        <f>F463</f>
        <v>4487.6399999999994</v>
      </c>
      <c r="G462" s="363"/>
      <c r="H462" s="363"/>
      <c r="I462" s="363"/>
      <c r="J462" s="363"/>
      <c r="K462" s="363"/>
    </row>
    <row r="463" spans="1:11" s="309" customFormat="1" ht="31.5" x14ac:dyDescent="0.25">
      <c r="A463" s="24" t="s">
        <v>1128</v>
      </c>
      <c r="B463" s="365" t="s">
        <v>168</v>
      </c>
      <c r="C463" s="365" t="s">
        <v>159</v>
      </c>
      <c r="D463" s="365" t="s">
        <v>1078</v>
      </c>
      <c r="E463" s="365"/>
      <c r="F463" s="311">
        <f>F464</f>
        <v>4487.6399999999994</v>
      </c>
      <c r="G463" s="363"/>
      <c r="H463" s="363"/>
      <c r="I463" s="363"/>
      <c r="J463" s="363"/>
      <c r="K463" s="363"/>
    </row>
    <row r="464" spans="1:11" s="309" customFormat="1" ht="31.5" x14ac:dyDescent="0.25">
      <c r="A464" s="364" t="s">
        <v>123</v>
      </c>
      <c r="B464" s="365" t="s">
        <v>168</v>
      </c>
      <c r="C464" s="365" t="s">
        <v>159</v>
      </c>
      <c r="D464" s="365" t="s">
        <v>1078</v>
      </c>
      <c r="E464" s="365" t="s">
        <v>124</v>
      </c>
      <c r="F464" s="311">
        <f>F465</f>
        <v>4487.6399999999994</v>
      </c>
      <c r="G464" s="363"/>
      <c r="H464" s="363"/>
      <c r="I464" s="363"/>
      <c r="J464" s="363"/>
      <c r="K464" s="363"/>
    </row>
    <row r="465" spans="1:11" s="309" customFormat="1" ht="33.75" customHeight="1" x14ac:dyDescent="0.25">
      <c r="A465" s="364" t="s">
        <v>125</v>
      </c>
      <c r="B465" s="365" t="s">
        <v>168</v>
      </c>
      <c r="C465" s="365" t="s">
        <v>159</v>
      </c>
      <c r="D465" s="365" t="s">
        <v>1078</v>
      </c>
      <c r="E465" s="365" t="s">
        <v>126</v>
      </c>
      <c r="F465" s="311">
        <f>'Пр.4 ведом.22'!G1130</f>
        <v>4487.6399999999994</v>
      </c>
      <c r="G465" s="363"/>
      <c r="H465" s="363"/>
      <c r="I465" s="363"/>
      <c r="J465" s="363"/>
      <c r="K465" s="363"/>
    </row>
    <row r="466" spans="1:11" ht="63" x14ac:dyDescent="0.25">
      <c r="A466" s="315" t="s">
        <v>978</v>
      </c>
      <c r="B466" s="316" t="s">
        <v>168</v>
      </c>
      <c r="C466" s="316" t="s">
        <v>159</v>
      </c>
      <c r="D466" s="316" t="s">
        <v>341</v>
      </c>
      <c r="E466" s="316"/>
      <c r="F466" s="310">
        <f>F468+F472</f>
        <v>26090</v>
      </c>
    </row>
    <row r="467" spans="1:11" s="131" customFormat="1" ht="31.5" x14ac:dyDescent="0.25">
      <c r="A467" s="315" t="s">
        <v>623</v>
      </c>
      <c r="B467" s="316" t="s">
        <v>168</v>
      </c>
      <c r="C467" s="316" t="s">
        <v>159</v>
      </c>
      <c r="D467" s="316" t="s">
        <v>412</v>
      </c>
      <c r="E467" s="365"/>
      <c r="F467" s="310">
        <f>F468</f>
        <v>26090</v>
      </c>
      <c r="G467" s="363"/>
      <c r="H467" s="363"/>
      <c r="I467" s="363"/>
      <c r="J467" s="363"/>
      <c r="K467" s="363"/>
    </row>
    <row r="468" spans="1:11" ht="31.5" x14ac:dyDescent="0.25">
      <c r="A468" s="173" t="s">
        <v>340</v>
      </c>
      <c r="B468" s="365" t="s">
        <v>168</v>
      </c>
      <c r="C468" s="365" t="s">
        <v>159</v>
      </c>
      <c r="D468" s="365" t="s">
        <v>412</v>
      </c>
      <c r="E468" s="365"/>
      <c r="F468" s="311">
        <f t="shared" ref="F468:F469" si="55">F469</f>
        <v>26090</v>
      </c>
    </row>
    <row r="469" spans="1:11" ht="31.5" x14ac:dyDescent="0.25">
      <c r="A469" s="364" t="s">
        <v>123</v>
      </c>
      <c r="B469" s="365" t="s">
        <v>168</v>
      </c>
      <c r="C469" s="365" t="s">
        <v>159</v>
      </c>
      <c r="D469" s="365" t="s">
        <v>412</v>
      </c>
      <c r="E469" s="365" t="s">
        <v>124</v>
      </c>
      <c r="F469" s="311">
        <f t="shared" si="55"/>
        <v>26090</v>
      </c>
    </row>
    <row r="470" spans="1:11" ht="31.5" x14ac:dyDescent="0.25">
      <c r="A470" s="364" t="s">
        <v>125</v>
      </c>
      <c r="B470" s="365" t="s">
        <v>168</v>
      </c>
      <c r="C470" s="365" t="s">
        <v>159</v>
      </c>
      <c r="D470" s="365" t="s">
        <v>412</v>
      </c>
      <c r="E470" s="365" t="s">
        <v>126</v>
      </c>
      <c r="F470" s="311">
        <f>'Пр.4 ведом.22'!G1135</f>
        <v>26090</v>
      </c>
    </row>
    <row r="471" spans="1:11" s="114" customFormat="1" ht="110.25" hidden="1" x14ac:dyDescent="0.25">
      <c r="A471" s="315" t="s">
        <v>1073</v>
      </c>
      <c r="B471" s="316" t="s">
        <v>168</v>
      </c>
      <c r="C471" s="316" t="s">
        <v>159</v>
      </c>
      <c r="D471" s="316" t="s">
        <v>1074</v>
      </c>
      <c r="E471" s="316"/>
      <c r="F471" s="310">
        <f>F472</f>
        <v>0</v>
      </c>
      <c r="G471" s="135"/>
      <c r="H471" s="135"/>
      <c r="I471" s="135"/>
      <c r="J471" s="135"/>
      <c r="K471" s="135"/>
    </row>
    <row r="472" spans="1:11" s="77" customFormat="1" ht="94.5" hidden="1" x14ac:dyDescent="0.25">
      <c r="A472" s="52" t="s">
        <v>1096</v>
      </c>
      <c r="B472" s="365" t="s">
        <v>168</v>
      </c>
      <c r="C472" s="365" t="s">
        <v>159</v>
      </c>
      <c r="D472" s="365" t="s">
        <v>1075</v>
      </c>
      <c r="E472" s="365"/>
      <c r="F472" s="311">
        <f>F473</f>
        <v>0</v>
      </c>
      <c r="G472" s="134"/>
      <c r="H472" s="134"/>
      <c r="I472" s="134"/>
      <c r="J472" s="134"/>
      <c r="K472" s="134"/>
    </row>
    <row r="473" spans="1:11" s="309" customFormat="1" ht="31.5" hidden="1" x14ac:dyDescent="0.25">
      <c r="A473" s="364" t="s">
        <v>123</v>
      </c>
      <c r="B473" s="365" t="s">
        <v>168</v>
      </c>
      <c r="C473" s="365" t="s">
        <v>159</v>
      </c>
      <c r="D473" s="365" t="s">
        <v>1075</v>
      </c>
      <c r="E473" s="365" t="s">
        <v>124</v>
      </c>
      <c r="F473" s="311">
        <f>F474</f>
        <v>0</v>
      </c>
      <c r="G473" s="363"/>
      <c r="H473" s="363"/>
      <c r="I473" s="363"/>
      <c r="J473" s="363"/>
      <c r="K473" s="363"/>
    </row>
    <row r="474" spans="1:11" s="309" customFormat="1" ht="31.5" hidden="1" x14ac:dyDescent="0.25">
      <c r="A474" s="364" t="s">
        <v>125</v>
      </c>
      <c r="B474" s="365" t="s">
        <v>168</v>
      </c>
      <c r="C474" s="365" t="s">
        <v>159</v>
      </c>
      <c r="D474" s="365" t="s">
        <v>1075</v>
      </c>
      <c r="E474" s="365" t="s">
        <v>126</v>
      </c>
      <c r="F474" s="311">
        <f>'Пр.4 ведом.22'!G1139</f>
        <v>0</v>
      </c>
      <c r="G474" s="363"/>
      <c r="H474" s="363"/>
      <c r="I474" s="363"/>
      <c r="J474" s="363"/>
      <c r="K474" s="363"/>
    </row>
    <row r="475" spans="1:11" ht="31.5" x14ac:dyDescent="0.25">
      <c r="A475" s="359" t="s">
        <v>281</v>
      </c>
      <c r="B475" s="7" t="s">
        <v>168</v>
      </c>
      <c r="C475" s="7" t="s">
        <v>168</v>
      </c>
      <c r="D475" s="7"/>
      <c r="E475" s="7"/>
      <c r="F475" s="310">
        <f>F476+F491+F516</f>
        <v>29527.15</v>
      </c>
      <c r="H475" s="74"/>
    </row>
    <row r="476" spans="1:11" ht="31.5" x14ac:dyDescent="0.25">
      <c r="A476" s="315" t="s">
        <v>488</v>
      </c>
      <c r="B476" s="316" t="s">
        <v>168</v>
      </c>
      <c r="C476" s="316" t="s">
        <v>168</v>
      </c>
      <c r="D476" s="316" t="s">
        <v>434</v>
      </c>
      <c r="E476" s="316"/>
      <c r="F476" s="310">
        <f>F477</f>
        <v>15821.05</v>
      </c>
    </row>
    <row r="477" spans="1:11" ht="15.75" x14ac:dyDescent="0.25">
      <c r="A477" s="315" t="s">
        <v>489</v>
      </c>
      <c r="B477" s="316" t="s">
        <v>168</v>
      </c>
      <c r="C477" s="316" t="s">
        <v>168</v>
      </c>
      <c r="D477" s="316" t="s">
        <v>435</v>
      </c>
      <c r="E477" s="316"/>
      <c r="F477" s="310">
        <f>F478+F488+F485</f>
        <v>15821.05</v>
      </c>
    </row>
    <row r="478" spans="1:11" ht="31.5" x14ac:dyDescent="0.25">
      <c r="A478" s="364" t="s">
        <v>468</v>
      </c>
      <c r="B478" s="365" t="s">
        <v>168</v>
      </c>
      <c r="C478" s="365" t="s">
        <v>168</v>
      </c>
      <c r="D478" s="365" t="s">
        <v>436</v>
      </c>
      <c r="E478" s="365"/>
      <c r="F478" s="311">
        <f t="shared" ref="F478" si="56">F479+F481+F483</f>
        <v>13881.75</v>
      </c>
    </row>
    <row r="479" spans="1:11" ht="81.75" customHeight="1" x14ac:dyDescent="0.25">
      <c r="A479" s="364" t="s">
        <v>119</v>
      </c>
      <c r="B479" s="365" t="s">
        <v>168</v>
      </c>
      <c r="C479" s="365" t="s">
        <v>168</v>
      </c>
      <c r="D479" s="365" t="s">
        <v>436</v>
      </c>
      <c r="E479" s="365" t="s">
        <v>120</v>
      </c>
      <c r="F479" s="255">
        <f t="shared" ref="F479" si="57">F480</f>
        <v>13856.75</v>
      </c>
    </row>
    <row r="480" spans="1:11" ht="31.5" x14ac:dyDescent="0.25">
      <c r="A480" s="364" t="s">
        <v>121</v>
      </c>
      <c r="B480" s="365" t="s">
        <v>168</v>
      </c>
      <c r="C480" s="365" t="s">
        <v>168</v>
      </c>
      <c r="D480" s="365" t="s">
        <v>436</v>
      </c>
      <c r="E480" s="365" t="s">
        <v>122</v>
      </c>
      <c r="F480" s="255">
        <f>'Пр.4 ведом.22'!G1145</f>
        <v>13856.75</v>
      </c>
    </row>
    <row r="481" spans="1:11" ht="31.5" x14ac:dyDescent="0.25">
      <c r="A481" s="364" t="s">
        <v>123</v>
      </c>
      <c r="B481" s="365" t="s">
        <v>168</v>
      </c>
      <c r="C481" s="365" t="s">
        <v>168</v>
      </c>
      <c r="D481" s="365" t="s">
        <v>436</v>
      </c>
      <c r="E481" s="365" t="s">
        <v>124</v>
      </c>
      <c r="F481" s="255">
        <f t="shared" ref="F481" si="58">F482</f>
        <v>25</v>
      </c>
    </row>
    <row r="482" spans="1:11" ht="31.5" x14ac:dyDescent="0.25">
      <c r="A482" s="364" t="s">
        <v>125</v>
      </c>
      <c r="B482" s="365" t="s">
        <v>168</v>
      </c>
      <c r="C482" s="365" t="s">
        <v>168</v>
      </c>
      <c r="D482" s="365" t="s">
        <v>436</v>
      </c>
      <c r="E482" s="365" t="s">
        <v>126</v>
      </c>
      <c r="F482" s="255">
        <f>'Пр.4 ведом.22'!G1147</f>
        <v>25</v>
      </c>
    </row>
    <row r="483" spans="1:11" ht="15.75" hidden="1" x14ac:dyDescent="0.25">
      <c r="A483" s="364" t="s">
        <v>127</v>
      </c>
      <c r="B483" s="365" t="s">
        <v>168</v>
      </c>
      <c r="C483" s="365" t="s">
        <v>168</v>
      </c>
      <c r="D483" s="365" t="s">
        <v>436</v>
      </c>
      <c r="E483" s="365" t="s">
        <v>134</v>
      </c>
      <c r="F483" s="255">
        <f t="shared" ref="F483" si="59">F484</f>
        <v>0</v>
      </c>
    </row>
    <row r="484" spans="1:11" ht="15.75" hidden="1" x14ac:dyDescent="0.25">
      <c r="A484" s="364" t="s">
        <v>280</v>
      </c>
      <c r="B484" s="365" t="s">
        <v>168</v>
      </c>
      <c r="C484" s="365" t="s">
        <v>168</v>
      </c>
      <c r="D484" s="365" t="s">
        <v>436</v>
      </c>
      <c r="E484" s="365" t="s">
        <v>130</v>
      </c>
      <c r="F484" s="255">
        <f>'Пр.4 ведом.22'!G1149</f>
        <v>0</v>
      </c>
    </row>
    <row r="485" spans="1:11" s="362" customFormat="1" ht="31.5" x14ac:dyDescent="0.25">
      <c r="A485" s="364" t="s">
        <v>417</v>
      </c>
      <c r="B485" s="365" t="s">
        <v>168</v>
      </c>
      <c r="C485" s="365" t="s">
        <v>168</v>
      </c>
      <c r="D485" s="365" t="s">
        <v>437</v>
      </c>
      <c r="E485" s="365"/>
      <c r="F485" s="255">
        <f>F486</f>
        <v>1231.3</v>
      </c>
      <c r="G485" s="363"/>
      <c r="H485" s="363"/>
      <c r="I485" s="363"/>
      <c r="J485" s="363"/>
      <c r="K485" s="363"/>
    </row>
    <row r="486" spans="1:11" s="362" customFormat="1" ht="78.75" x14ac:dyDescent="0.25">
      <c r="A486" s="364" t="s">
        <v>119</v>
      </c>
      <c r="B486" s="365" t="s">
        <v>168</v>
      </c>
      <c r="C486" s="365" t="s">
        <v>168</v>
      </c>
      <c r="D486" s="365" t="s">
        <v>437</v>
      </c>
      <c r="E486" s="365" t="s">
        <v>120</v>
      </c>
      <c r="F486" s="255">
        <f>F487</f>
        <v>1231.3</v>
      </c>
      <c r="G486" s="363"/>
      <c r="H486" s="363"/>
      <c r="I486" s="363"/>
      <c r="J486" s="363"/>
      <c r="K486" s="363"/>
    </row>
    <row r="487" spans="1:11" s="362" customFormat="1" ht="31.5" x14ac:dyDescent="0.25">
      <c r="A487" s="364" t="s">
        <v>121</v>
      </c>
      <c r="B487" s="365" t="s">
        <v>168</v>
      </c>
      <c r="C487" s="365" t="s">
        <v>168</v>
      </c>
      <c r="D487" s="365" t="s">
        <v>437</v>
      </c>
      <c r="E487" s="365" t="s">
        <v>122</v>
      </c>
      <c r="F487" s="255">
        <f>'Пр.4 ведом.22'!G1152</f>
        <v>1231.3</v>
      </c>
      <c r="G487" s="363"/>
      <c r="H487" s="363"/>
      <c r="I487" s="363"/>
      <c r="J487" s="363"/>
      <c r="K487" s="363"/>
    </row>
    <row r="488" spans="1:11" s="131" customFormat="1" ht="47.25" x14ac:dyDescent="0.25">
      <c r="A488" s="364" t="s">
        <v>416</v>
      </c>
      <c r="B488" s="365" t="s">
        <v>168</v>
      </c>
      <c r="C488" s="365" t="s">
        <v>168</v>
      </c>
      <c r="D488" s="365" t="s">
        <v>438</v>
      </c>
      <c r="E488" s="365"/>
      <c r="F488" s="255">
        <f>F489</f>
        <v>708</v>
      </c>
      <c r="G488" s="363"/>
      <c r="H488" s="363"/>
      <c r="I488" s="363"/>
      <c r="J488" s="363"/>
      <c r="K488" s="363"/>
    </row>
    <row r="489" spans="1:11" s="131" customFormat="1" ht="78.75" x14ac:dyDescent="0.25">
      <c r="A489" s="364" t="s">
        <v>119</v>
      </c>
      <c r="B489" s="365" t="s">
        <v>168</v>
      </c>
      <c r="C489" s="365" t="s">
        <v>168</v>
      </c>
      <c r="D489" s="365" t="s">
        <v>438</v>
      </c>
      <c r="E489" s="365" t="s">
        <v>120</v>
      </c>
      <c r="F489" s="255">
        <f>F490</f>
        <v>708</v>
      </c>
      <c r="G489" s="363"/>
      <c r="H489" s="363"/>
      <c r="I489" s="363"/>
      <c r="J489" s="363"/>
      <c r="K489" s="363"/>
    </row>
    <row r="490" spans="1:11" s="131" customFormat="1" ht="31.5" x14ac:dyDescent="0.25">
      <c r="A490" s="364" t="s">
        <v>121</v>
      </c>
      <c r="B490" s="365" t="s">
        <v>168</v>
      </c>
      <c r="C490" s="365" t="s">
        <v>168</v>
      </c>
      <c r="D490" s="365" t="s">
        <v>438</v>
      </c>
      <c r="E490" s="365" t="s">
        <v>122</v>
      </c>
      <c r="F490" s="255">
        <f>'Пр.4 ведом.22'!G1155</f>
        <v>708</v>
      </c>
      <c r="G490" s="363"/>
      <c r="H490" s="363"/>
      <c r="I490" s="363"/>
      <c r="J490" s="363"/>
      <c r="K490" s="363"/>
    </row>
    <row r="491" spans="1:11" ht="15.75" x14ac:dyDescent="0.25">
      <c r="A491" s="315" t="s">
        <v>133</v>
      </c>
      <c r="B491" s="316" t="s">
        <v>168</v>
      </c>
      <c r="C491" s="316" t="s">
        <v>168</v>
      </c>
      <c r="D491" s="316" t="s">
        <v>442</v>
      </c>
      <c r="E491" s="316"/>
      <c r="F491" s="310">
        <f>F492+F503</f>
        <v>13706.1</v>
      </c>
    </row>
    <row r="492" spans="1:11" s="362" customFormat="1" ht="15.75" x14ac:dyDescent="0.25">
      <c r="A492" s="315" t="s">
        <v>519</v>
      </c>
      <c r="B492" s="316" t="s">
        <v>168</v>
      </c>
      <c r="C492" s="316" t="s">
        <v>168</v>
      </c>
      <c r="D492" s="316" t="s">
        <v>518</v>
      </c>
      <c r="E492" s="316"/>
      <c r="F492" s="310">
        <f>F493+F496</f>
        <v>12724.1</v>
      </c>
      <c r="G492" s="363"/>
      <c r="H492" s="363"/>
      <c r="I492" s="363"/>
      <c r="J492" s="363"/>
      <c r="K492" s="363"/>
    </row>
    <row r="493" spans="1:11" s="362" customFormat="1" ht="47.25" x14ac:dyDescent="0.25">
      <c r="A493" s="364" t="s">
        <v>416</v>
      </c>
      <c r="B493" s="365" t="s">
        <v>168</v>
      </c>
      <c r="C493" s="365" t="s">
        <v>168</v>
      </c>
      <c r="D493" s="365" t="s">
        <v>521</v>
      </c>
      <c r="E493" s="365"/>
      <c r="F493" s="311">
        <f>F494</f>
        <v>498</v>
      </c>
      <c r="G493" s="363"/>
      <c r="H493" s="363"/>
      <c r="I493" s="363"/>
      <c r="J493" s="363"/>
      <c r="K493" s="363"/>
    </row>
    <row r="494" spans="1:11" s="362" customFormat="1" ht="78.75" x14ac:dyDescent="0.25">
      <c r="A494" s="364" t="s">
        <v>119</v>
      </c>
      <c r="B494" s="365" t="s">
        <v>168</v>
      </c>
      <c r="C494" s="365" t="s">
        <v>168</v>
      </c>
      <c r="D494" s="365" t="s">
        <v>521</v>
      </c>
      <c r="E494" s="365" t="s">
        <v>120</v>
      </c>
      <c r="F494" s="311">
        <f>F495</f>
        <v>498</v>
      </c>
      <c r="G494" s="363"/>
      <c r="H494" s="363"/>
      <c r="I494" s="363"/>
      <c r="J494" s="363"/>
      <c r="K494" s="363"/>
    </row>
    <row r="495" spans="1:11" s="362" customFormat="1" ht="31.5" x14ac:dyDescent="0.25">
      <c r="A495" s="364" t="s">
        <v>212</v>
      </c>
      <c r="B495" s="365" t="s">
        <v>168</v>
      </c>
      <c r="C495" s="365" t="s">
        <v>168</v>
      </c>
      <c r="D495" s="365" t="s">
        <v>521</v>
      </c>
      <c r="E495" s="365" t="s">
        <v>156</v>
      </c>
      <c r="F495" s="311">
        <f>'Пр.4 ведом.22'!G1160</f>
        <v>498</v>
      </c>
      <c r="G495" s="363"/>
      <c r="H495" s="363"/>
      <c r="I495" s="363"/>
      <c r="J495" s="363"/>
      <c r="K495" s="363"/>
    </row>
    <row r="496" spans="1:11" s="362" customFormat="1" ht="15.75" x14ac:dyDescent="0.25">
      <c r="A496" s="364" t="s">
        <v>379</v>
      </c>
      <c r="B496" s="365" t="s">
        <v>168</v>
      </c>
      <c r="C496" s="365" t="s">
        <v>168</v>
      </c>
      <c r="D496" s="365" t="s">
        <v>520</v>
      </c>
      <c r="E496" s="365"/>
      <c r="F496" s="311">
        <f>F497+F500+F502</f>
        <v>12226.1</v>
      </c>
      <c r="G496" s="363"/>
      <c r="H496" s="363"/>
      <c r="I496" s="363"/>
      <c r="J496" s="363"/>
      <c r="K496" s="363"/>
    </row>
    <row r="497" spans="1:11" s="362" customFormat="1" ht="78.75" x14ac:dyDescent="0.25">
      <c r="A497" s="364" t="s">
        <v>119</v>
      </c>
      <c r="B497" s="365" t="s">
        <v>168</v>
      </c>
      <c r="C497" s="365" t="s">
        <v>168</v>
      </c>
      <c r="D497" s="365" t="s">
        <v>520</v>
      </c>
      <c r="E497" s="365" t="s">
        <v>120</v>
      </c>
      <c r="F497" s="311">
        <f>F498</f>
        <v>10288</v>
      </c>
      <c r="G497" s="363"/>
      <c r="H497" s="363"/>
      <c r="I497" s="363"/>
      <c r="J497" s="363"/>
      <c r="K497" s="363"/>
    </row>
    <row r="498" spans="1:11" s="362" customFormat="1" ht="31.5" x14ac:dyDescent="0.25">
      <c r="A498" s="364" t="s">
        <v>212</v>
      </c>
      <c r="B498" s="365" t="s">
        <v>168</v>
      </c>
      <c r="C498" s="365" t="s">
        <v>168</v>
      </c>
      <c r="D498" s="365" t="s">
        <v>520</v>
      </c>
      <c r="E498" s="365" t="s">
        <v>156</v>
      </c>
      <c r="F498" s="311">
        <f>'Пр.4 ведом.22'!G1163</f>
        <v>10288</v>
      </c>
      <c r="G498" s="363"/>
      <c r="H498" s="363"/>
      <c r="I498" s="363"/>
      <c r="J498" s="363"/>
      <c r="K498" s="363"/>
    </row>
    <row r="499" spans="1:11" s="362" customFormat="1" ht="31.5" x14ac:dyDescent="0.25">
      <c r="A499" s="364" t="s">
        <v>123</v>
      </c>
      <c r="B499" s="365" t="s">
        <v>168</v>
      </c>
      <c r="C499" s="365" t="s">
        <v>168</v>
      </c>
      <c r="D499" s="365" t="s">
        <v>520</v>
      </c>
      <c r="E499" s="365" t="s">
        <v>124</v>
      </c>
      <c r="F499" s="311">
        <f>F500</f>
        <v>1891.1</v>
      </c>
      <c r="G499" s="363"/>
      <c r="H499" s="363"/>
      <c r="I499" s="363"/>
      <c r="J499" s="363"/>
      <c r="K499" s="363"/>
    </row>
    <row r="500" spans="1:11" s="362" customFormat="1" ht="31.5" x14ac:dyDescent="0.25">
      <c r="A500" s="364" t="s">
        <v>125</v>
      </c>
      <c r="B500" s="365" t="s">
        <v>168</v>
      </c>
      <c r="C500" s="365" t="s">
        <v>168</v>
      </c>
      <c r="D500" s="365" t="s">
        <v>520</v>
      </c>
      <c r="E500" s="365" t="s">
        <v>126</v>
      </c>
      <c r="F500" s="311">
        <f>'Пр.4 ведом.22'!G1165</f>
        <v>1891.1</v>
      </c>
      <c r="G500" s="363"/>
      <c r="H500" s="363"/>
      <c r="I500" s="363"/>
      <c r="J500" s="363"/>
      <c r="K500" s="363"/>
    </row>
    <row r="501" spans="1:11" s="362" customFormat="1" ht="15.75" x14ac:dyDescent="0.25">
      <c r="A501" s="364" t="s">
        <v>127</v>
      </c>
      <c r="B501" s="365" t="s">
        <v>168</v>
      </c>
      <c r="C501" s="365" t="s">
        <v>168</v>
      </c>
      <c r="D501" s="365" t="s">
        <v>520</v>
      </c>
      <c r="E501" s="365" t="s">
        <v>134</v>
      </c>
      <c r="F501" s="311">
        <f>F502</f>
        <v>47</v>
      </c>
      <c r="G501" s="363"/>
      <c r="H501" s="363"/>
      <c r="I501" s="363"/>
      <c r="J501" s="363"/>
      <c r="K501" s="363"/>
    </row>
    <row r="502" spans="1:11" s="362" customFormat="1" ht="15.75" x14ac:dyDescent="0.25">
      <c r="A502" s="364" t="s">
        <v>280</v>
      </c>
      <c r="B502" s="365" t="s">
        <v>168</v>
      </c>
      <c r="C502" s="365" t="s">
        <v>168</v>
      </c>
      <c r="D502" s="365" t="s">
        <v>520</v>
      </c>
      <c r="E502" s="365" t="s">
        <v>130</v>
      </c>
      <c r="F502" s="311">
        <f>'Пр.4 ведом.22'!G1167</f>
        <v>47</v>
      </c>
      <c r="G502" s="363"/>
      <c r="H502" s="363"/>
      <c r="I502" s="363"/>
      <c r="J502" s="363"/>
      <c r="K502" s="363"/>
    </row>
    <row r="503" spans="1:11" ht="31.5" x14ac:dyDescent="0.25">
      <c r="A503" s="315" t="s">
        <v>446</v>
      </c>
      <c r="B503" s="316" t="s">
        <v>168</v>
      </c>
      <c r="C503" s="316" t="s">
        <v>168</v>
      </c>
      <c r="D503" s="316" t="s">
        <v>441</v>
      </c>
      <c r="E503" s="316"/>
      <c r="F503" s="257">
        <f>F504+F511</f>
        <v>982</v>
      </c>
    </row>
    <row r="504" spans="1:11" ht="31.5" x14ac:dyDescent="0.25">
      <c r="A504" s="364" t="s">
        <v>282</v>
      </c>
      <c r="B504" s="365" t="s">
        <v>168</v>
      </c>
      <c r="C504" s="365" t="s">
        <v>168</v>
      </c>
      <c r="D504" s="365" t="s">
        <v>549</v>
      </c>
      <c r="E504" s="365"/>
      <c r="F504" s="255">
        <f>F507+F505</f>
        <v>982</v>
      </c>
    </row>
    <row r="505" spans="1:11" s="131" customFormat="1" ht="19.5" hidden="1" customHeight="1" x14ac:dyDescent="0.25">
      <c r="A505" s="24" t="s">
        <v>177</v>
      </c>
      <c r="B505" s="365" t="s">
        <v>168</v>
      </c>
      <c r="C505" s="365" t="s">
        <v>168</v>
      </c>
      <c r="D505" s="365" t="s">
        <v>549</v>
      </c>
      <c r="E505" s="365" t="s">
        <v>178</v>
      </c>
      <c r="F505" s="255">
        <f>F506</f>
        <v>0</v>
      </c>
      <c r="G505" s="363"/>
      <c r="H505" s="363"/>
      <c r="I505" s="363"/>
      <c r="J505" s="363"/>
      <c r="K505" s="363"/>
    </row>
    <row r="506" spans="1:11" s="131" customFormat="1" ht="15.75" hidden="1" x14ac:dyDescent="0.25">
      <c r="A506" s="364" t="s">
        <v>980</v>
      </c>
      <c r="B506" s="365" t="s">
        <v>168</v>
      </c>
      <c r="C506" s="365" t="s">
        <v>168</v>
      </c>
      <c r="D506" s="365" t="s">
        <v>549</v>
      </c>
      <c r="E506" s="365" t="s">
        <v>982</v>
      </c>
      <c r="F506" s="255">
        <f>'Пр.4 ведом.22'!G1171</f>
        <v>0</v>
      </c>
      <c r="G506" s="363"/>
      <c r="H506" s="363"/>
      <c r="I506" s="363"/>
      <c r="J506" s="363"/>
      <c r="K506" s="363"/>
    </row>
    <row r="507" spans="1:11" ht="15.75" x14ac:dyDescent="0.25">
      <c r="A507" s="364" t="s">
        <v>127</v>
      </c>
      <c r="B507" s="365" t="s">
        <v>168</v>
      </c>
      <c r="C507" s="365" t="s">
        <v>168</v>
      </c>
      <c r="D507" s="365" t="s">
        <v>549</v>
      </c>
      <c r="E507" s="365" t="s">
        <v>134</v>
      </c>
      <c r="F507" s="255">
        <f>F508+F509+F510</f>
        <v>982</v>
      </c>
    </row>
    <row r="508" spans="1:11" ht="47.25" x14ac:dyDescent="0.25">
      <c r="A508" s="364" t="s">
        <v>148</v>
      </c>
      <c r="B508" s="365" t="s">
        <v>168</v>
      </c>
      <c r="C508" s="365" t="s">
        <v>168</v>
      </c>
      <c r="D508" s="365" t="s">
        <v>549</v>
      </c>
      <c r="E508" s="365" t="s">
        <v>142</v>
      </c>
      <c r="F508" s="311">
        <f>'Пр.4 ведом.22'!G1173</f>
        <v>982</v>
      </c>
    </row>
    <row r="509" spans="1:11" s="309" customFormat="1" ht="15.75" hidden="1" x14ac:dyDescent="0.25">
      <c r="A509" s="364" t="s">
        <v>338</v>
      </c>
      <c r="B509" s="365" t="s">
        <v>168</v>
      </c>
      <c r="C509" s="365" t="s">
        <v>168</v>
      </c>
      <c r="D509" s="365" t="s">
        <v>549</v>
      </c>
      <c r="E509" s="365" t="s">
        <v>130</v>
      </c>
      <c r="F509" s="311">
        <f>'Пр.4 ведом.22'!G1174</f>
        <v>0</v>
      </c>
      <c r="G509" s="363"/>
      <c r="H509" s="363"/>
      <c r="I509" s="363"/>
      <c r="J509" s="363"/>
      <c r="K509" s="363"/>
    </row>
    <row r="510" spans="1:11" s="309" customFormat="1" ht="15.75" hidden="1" x14ac:dyDescent="0.25">
      <c r="A510" s="364" t="s">
        <v>1050</v>
      </c>
      <c r="B510" s="365" t="s">
        <v>168</v>
      </c>
      <c r="C510" s="365" t="s">
        <v>168</v>
      </c>
      <c r="D510" s="365" t="s">
        <v>549</v>
      </c>
      <c r="E510" s="365" t="s">
        <v>1051</v>
      </c>
      <c r="F510" s="311">
        <f>'Пр.4 ведом.22'!G1175</f>
        <v>0</v>
      </c>
      <c r="G510" s="363"/>
      <c r="H510" s="363"/>
      <c r="I510" s="363"/>
      <c r="J510" s="363"/>
      <c r="K510" s="363"/>
    </row>
    <row r="511" spans="1:11" ht="31.5" hidden="1" x14ac:dyDescent="0.25">
      <c r="A511" s="364" t="s">
        <v>1063</v>
      </c>
      <c r="B511" s="365" t="s">
        <v>168</v>
      </c>
      <c r="C511" s="365" t="s">
        <v>168</v>
      </c>
      <c r="D511" s="365" t="s">
        <v>1064</v>
      </c>
      <c r="E511" s="365"/>
      <c r="F511" s="255">
        <f>F512+F514</f>
        <v>0</v>
      </c>
    </row>
    <row r="512" spans="1:11" ht="15.75" hidden="1" x14ac:dyDescent="0.25">
      <c r="A512" s="364" t="s">
        <v>1066</v>
      </c>
      <c r="B512" s="365" t="s">
        <v>168</v>
      </c>
      <c r="C512" s="365" t="s">
        <v>168</v>
      </c>
      <c r="D512" s="365" t="s">
        <v>1064</v>
      </c>
      <c r="E512" s="365" t="s">
        <v>414</v>
      </c>
      <c r="F512" s="255">
        <f>F513</f>
        <v>0</v>
      </c>
    </row>
    <row r="513" spans="1:12" ht="31.5" hidden="1" x14ac:dyDescent="0.25">
      <c r="A513" s="364" t="s">
        <v>415</v>
      </c>
      <c r="B513" s="365" t="s">
        <v>168</v>
      </c>
      <c r="C513" s="365" t="s">
        <v>168</v>
      </c>
      <c r="D513" s="365" t="s">
        <v>1064</v>
      </c>
      <c r="E513" s="365" t="s">
        <v>1067</v>
      </c>
      <c r="F513" s="255">
        <f>'Пр.4 ведом.22'!G1178</f>
        <v>0</v>
      </c>
    </row>
    <row r="514" spans="1:12" s="309" customFormat="1" ht="15.75" hidden="1" x14ac:dyDescent="0.25">
      <c r="A514" s="364" t="s">
        <v>127</v>
      </c>
      <c r="B514" s="365" t="s">
        <v>168</v>
      </c>
      <c r="C514" s="365" t="s">
        <v>168</v>
      </c>
      <c r="D514" s="365" t="s">
        <v>1064</v>
      </c>
      <c r="E514" s="365" t="s">
        <v>134</v>
      </c>
      <c r="F514" s="255">
        <f>F515</f>
        <v>0</v>
      </c>
      <c r="G514" s="363"/>
      <c r="H514" s="363"/>
      <c r="I514" s="363"/>
      <c r="J514" s="363"/>
      <c r="K514" s="363"/>
    </row>
    <row r="515" spans="1:12" s="309" customFormat="1" ht="47.25" hidden="1" x14ac:dyDescent="0.25">
      <c r="A515" s="364" t="s">
        <v>148</v>
      </c>
      <c r="B515" s="365" t="s">
        <v>168</v>
      </c>
      <c r="C515" s="365" t="s">
        <v>168</v>
      </c>
      <c r="D515" s="365" t="s">
        <v>1064</v>
      </c>
      <c r="E515" s="365" t="s">
        <v>142</v>
      </c>
      <c r="F515" s="255">
        <f>'Пр.4 ведом.22'!G1180</f>
        <v>0</v>
      </c>
      <c r="G515" s="363"/>
      <c r="H515" s="363"/>
      <c r="I515" s="363"/>
      <c r="J515" s="363"/>
      <c r="K515" s="363"/>
    </row>
    <row r="516" spans="1:12" s="131" customFormat="1" ht="47.25" hidden="1" x14ac:dyDescent="0.25">
      <c r="A516" s="26" t="s">
        <v>875</v>
      </c>
      <c r="B516" s="316" t="s">
        <v>168</v>
      </c>
      <c r="C516" s="316" t="s">
        <v>168</v>
      </c>
      <c r="D516" s="316" t="s">
        <v>206</v>
      </c>
      <c r="E516" s="316"/>
      <c r="F516" s="314">
        <f>F517</f>
        <v>0</v>
      </c>
      <c r="G516" s="363"/>
      <c r="H516" s="363"/>
      <c r="I516" s="363"/>
      <c r="J516" s="363"/>
      <c r="K516" s="363"/>
    </row>
    <row r="517" spans="1:12" s="131" customFormat="1" ht="63" hidden="1" x14ac:dyDescent="0.25">
      <c r="A517" s="26" t="s">
        <v>572</v>
      </c>
      <c r="B517" s="316" t="s">
        <v>168</v>
      </c>
      <c r="C517" s="316" t="s">
        <v>168</v>
      </c>
      <c r="D517" s="316" t="s">
        <v>504</v>
      </c>
      <c r="E517" s="316"/>
      <c r="F517" s="314">
        <f>F518</f>
        <v>0</v>
      </c>
      <c r="G517" s="363"/>
      <c r="H517" s="363"/>
      <c r="I517" s="363"/>
      <c r="J517" s="363"/>
      <c r="K517" s="363"/>
    </row>
    <row r="518" spans="1:12" s="131" customFormat="1" ht="47.25" hidden="1" x14ac:dyDescent="0.25">
      <c r="A518" s="24" t="s">
        <v>634</v>
      </c>
      <c r="B518" s="365" t="s">
        <v>168</v>
      </c>
      <c r="C518" s="365" t="s">
        <v>168</v>
      </c>
      <c r="D518" s="365" t="s">
        <v>589</v>
      </c>
      <c r="E518" s="365"/>
      <c r="F518" s="318">
        <f>F519</f>
        <v>0</v>
      </c>
      <c r="G518" s="363"/>
      <c r="H518" s="363"/>
      <c r="I518" s="363"/>
      <c r="J518" s="363"/>
      <c r="K518" s="363"/>
    </row>
    <row r="519" spans="1:12" s="131" customFormat="1" ht="31.5" hidden="1" x14ac:dyDescent="0.25">
      <c r="A519" s="364" t="s">
        <v>123</v>
      </c>
      <c r="B519" s="365" t="s">
        <v>168</v>
      </c>
      <c r="C519" s="365" t="s">
        <v>168</v>
      </c>
      <c r="D519" s="365" t="s">
        <v>589</v>
      </c>
      <c r="E519" s="365" t="s">
        <v>124</v>
      </c>
      <c r="F519" s="318">
        <f>F520</f>
        <v>0</v>
      </c>
      <c r="G519" s="363"/>
      <c r="H519" s="363"/>
      <c r="I519" s="363"/>
      <c r="J519" s="363"/>
      <c r="K519" s="363"/>
    </row>
    <row r="520" spans="1:12" s="131" customFormat="1" ht="31.5" hidden="1" x14ac:dyDescent="0.25">
      <c r="A520" s="364" t="s">
        <v>125</v>
      </c>
      <c r="B520" s="365" t="s">
        <v>168</v>
      </c>
      <c r="C520" s="365" t="s">
        <v>168</v>
      </c>
      <c r="D520" s="365" t="s">
        <v>589</v>
      </c>
      <c r="E520" s="365" t="s">
        <v>126</v>
      </c>
      <c r="F520" s="318">
        <f>'Пр.4 ведом.22'!G1185</f>
        <v>0</v>
      </c>
      <c r="G520" s="363"/>
      <c r="H520" s="363"/>
      <c r="I520" s="363"/>
      <c r="J520" s="363"/>
      <c r="K520" s="363"/>
    </row>
    <row r="521" spans="1:12" ht="15.75" x14ac:dyDescent="0.25">
      <c r="A521" s="359" t="s">
        <v>186</v>
      </c>
      <c r="B521" s="7" t="s">
        <v>187</v>
      </c>
      <c r="C521" s="360"/>
      <c r="D521" s="360"/>
      <c r="E521" s="360"/>
      <c r="F521" s="310">
        <f>F522+F581+F768+F670+F743</f>
        <v>385782.92</v>
      </c>
      <c r="G521" s="363">
        <v>405118.01</v>
      </c>
      <c r="H521" s="74">
        <f>G521-F521</f>
        <v>19335.090000000026</v>
      </c>
      <c r="K521" s="154">
        <v>384273.2</v>
      </c>
      <c r="L521" s="156">
        <f>F521-K521</f>
        <v>1509.7199999999721</v>
      </c>
    </row>
    <row r="522" spans="1:12" ht="15.75" x14ac:dyDescent="0.25">
      <c r="A522" s="359" t="s">
        <v>236</v>
      </c>
      <c r="B522" s="7" t="s">
        <v>187</v>
      </c>
      <c r="C522" s="7" t="s">
        <v>116</v>
      </c>
      <c r="D522" s="7"/>
      <c r="E522" s="7"/>
      <c r="F522" s="310">
        <f>F523+F571+F576</f>
        <v>90813.88</v>
      </c>
      <c r="H522" s="74"/>
    </row>
    <row r="523" spans="1:12" ht="40.700000000000003" customHeight="1" x14ac:dyDescent="0.25">
      <c r="A523" s="315" t="s">
        <v>876</v>
      </c>
      <c r="B523" s="316" t="s">
        <v>187</v>
      </c>
      <c r="C523" s="316" t="s">
        <v>116</v>
      </c>
      <c r="D523" s="316" t="s">
        <v>237</v>
      </c>
      <c r="E523" s="316"/>
      <c r="F523" s="310">
        <f>F524+F528+F535+F545+F555+F559+F563+F567</f>
        <v>90162.08</v>
      </c>
    </row>
    <row r="524" spans="1:12" s="131" customFormat="1" ht="31.5" x14ac:dyDescent="0.25">
      <c r="A524" s="315" t="s">
        <v>507</v>
      </c>
      <c r="B524" s="316" t="s">
        <v>187</v>
      </c>
      <c r="C524" s="316" t="s">
        <v>116</v>
      </c>
      <c r="D524" s="316" t="s">
        <v>766</v>
      </c>
      <c r="E524" s="316"/>
      <c r="F524" s="310">
        <f>F525</f>
        <v>16977.59</v>
      </c>
      <c r="G524" s="363"/>
      <c r="H524" s="363"/>
      <c r="I524" s="363"/>
      <c r="J524" s="363"/>
      <c r="K524" s="363"/>
    </row>
    <row r="525" spans="1:12" ht="42.75" customHeight="1" x14ac:dyDescent="0.25">
      <c r="A525" s="364" t="s">
        <v>765</v>
      </c>
      <c r="B525" s="365" t="s">
        <v>187</v>
      </c>
      <c r="C525" s="365" t="s">
        <v>116</v>
      </c>
      <c r="D525" s="365" t="s">
        <v>767</v>
      </c>
      <c r="E525" s="365"/>
      <c r="F525" s="311">
        <f>F526</f>
        <v>16977.59</v>
      </c>
    </row>
    <row r="526" spans="1:12" ht="40.700000000000003" customHeight="1" x14ac:dyDescent="0.25">
      <c r="A526" s="364" t="s">
        <v>191</v>
      </c>
      <c r="B526" s="365" t="s">
        <v>187</v>
      </c>
      <c r="C526" s="365" t="s">
        <v>116</v>
      </c>
      <c r="D526" s="365" t="s">
        <v>767</v>
      </c>
      <c r="E526" s="365" t="s">
        <v>192</v>
      </c>
      <c r="F526" s="311">
        <f>F527</f>
        <v>16977.59</v>
      </c>
    </row>
    <row r="527" spans="1:12" ht="15.75" x14ac:dyDescent="0.25">
      <c r="A527" s="364" t="s">
        <v>193</v>
      </c>
      <c r="B527" s="365" t="s">
        <v>187</v>
      </c>
      <c r="C527" s="365" t="s">
        <v>116</v>
      </c>
      <c r="D527" s="365" t="s">
        <v>767</v>
      </c>
      <c r="E527" s="365" t="s">
        <v>194</v>
      </c>
      <c r="F527" s="255">
        <f>'Пр.4 ведом.22'!G622</f>
        <v>16977.59</v>
      </c>
      <c r="H527" s="74"/>
    </row>
    <row r="528" spans="1:12" ht="47.25" x14ac:dyDescent="0.25">
      <c r="A528" s="315" t="s">
        <v>471</v>
      </c>
      <c r="B528" s="316" t="s">
        <v>187</v>
      </c>
      <c r="C528" s="316" t="s">
        <v>116</v>
      </c>
      <c r="D528" s="316" t="s">
        <v>768</v>
      </c>
      <c r="E528" s="316"/>
      <c r="F528" s="310">
        <f>F529+F532</f>
        <v>63608.71</v>
      </c>
    </row>
    <row r="529" spans="1:11" s="131" customFormat="1" ht="94.5" x14ac:dyDescent="0.25">
      <c r="A529" s="24" t="s">
        <v>200</v>
      </c>
      <c r="B529" s="365" t="s">
        <v>187</v>
      </c>
      <c r="C529" s="365" t="s">
        <v>116</v>
      </c>
      <c r="D529" s="365" t="s">
        <v>884</v>
      </c>
      <c r="E529" s="365"/>
      <c r="F529" s="311">
        <f t="shared" ref="F529:F530" si="60">F530</f>
        <v>3430</v>
      </c>
      <c r="G529" s="363"/>
      <c r="H529" s="363"/>
      <c r="I529" s="363"/>
      <c r="J529" s="363"/>
      <c r="K529" s="363"/>
    </row>
    <row r="530" spans="1:11" s="131" customFormat="1" ht="31.5" x14ac:dyDescent="0.25">
      <c r="A530" s="364" t="s">
        <v>191</v>
      </c>
      <c r="B530" s="365" t="s">
        <v>187</v>
      </c>
      <c r="C530" s="365" t="s">
        <v>116</v>
      </c>
      <c r="D530" s="365" t="s">
        <v>884</v>
      </c>
      <c r="E530" s="365" t="s">
        <v>192</v>
      </c>
      <c r="F530" s="311">
        <f t="shared" si="60"/>
        <v>3430</v>
      </c>
      <c r="G530" s="363"/>
      <c r="H530" s="363"/>
      <c r="I530" s="363"/>
      <c r="J530" s="363"/>
      <c r="K530" s="363"/>
    </row>
    <row r="531" spans="1:11" s="131" customFormat="1" ht="15.75" x14ac:dyDescent="0.25">
      <c r="A531" s="364" t="s">
        <v>193</v>
      </c>
      <c r="B531" s="365" t="s">
        <v>187</v>
      </c>
      <c r="C531" s="365" t="s">
        <v>116</v>
      </c>
      <c r="D531" s="365" t="s">
        <v>884</v>
      </c>
      <c r="E531" s="365" t="s">
        <v>194</v>
      </c>
      <c r="F531" s="311">
        <f>'Пр.4 ведом.22'!G626</f>
        <v>3430</v>
      </c>
      <c r="G531" s="363"/>
      <c r="H531" s="363"/>
      <c r="I531" s="363"/>
      <c r="J531" s="363"/>
      <c r="K531" s="363"/>
    </row>
    <row r="532" spans="1:11" ht="47.25" customHeight="1" x14ac:dyDescent="0.25">
      <c r="A532" s="24" t="s">
        <v>1147</v>
      </c>
      <c r="B532" s="365" t="s">
        <v>187</v>
      </c>
      <c r="C532" s="365" t="s">
        <v>116</v>
      </c>
      <c r="D532" s="365" t="s">
        <v>1148</v>
      </c>
      <c r="E532" s="365"/>
      <c r="F532" s="311">
        <f t="shared" ref="F532:F533" si="61">F533</f>
        <v>60178.71</v>
      </c>
    </row>
    <row r="533" spans="1:11" ht="39.75" customHeight="1" x14ac:dyDescent="0.25">
      <c r="A533" s="364" t="s">
        <v>191</v>
      </c>
      <c r="B533" s="365" t="s">
        <v>187</v>
      </c>
      <c r="C533" s="365" t="s">
        <v>116</v>
      </c>
      <c r="D533" s="365" t="s">
        <v>1148</v>
      </c>
      <c r="E533" s="365" t="s">
        <v>192</v>
      </c>
      <c r="F533" s="311">
        <f t="shared" si="61"/>
        <v>60178.71</v>
      </c>
    </row>
    <row r="534" spans="1:11" ht="15.75" customHeight="1" x14ac:dyDescent="0.25">
      <c r="A534" s="364" t="s">
        <v>193</v>
      </c>
      <c r="B534" s="365" t="s">
        <v>187</v>
      </c>
      <c r="C534" s="365" t="s">
        <v>116</v>
      </c>
      <c r="D534" s="365" t="s">
        <v>1148</v>
      </c>
      <c r="E534" s="365" t="s">
        <v>194</v>
      </c>
      <c r="F534" s="311">
        <f>'Пр.4 ведом.22'!G629</f>
        <v>60178.71</v>
      </c>
    </row>
    <row r="535" spans="1:11" ht="36" customHeight="1" x14ac:dyDescent="0.25">
      <c r="A535" s="315" t="s">
        <v>809</v>
      </c>
      <c r="B535" s="316" t="s">
        <v>187</v>
      </c>
      <c r="C535" s="316" t="s">
        <v>116</v>
      </c>
      <c r="D535" s="316" t="s">
        <v>770</v>
      </c>
      <c r="E535" s="316"/>
      <c r="F535" s="310">
        <f>F536+F539+F542</f>
        <v>4553.4000000000005</v>
      </c>
    </row>
    <row r="536" spans="1:11" ht="40.700000000000003" hidden="1" customHeight="1" x14ac:dyDescent="0.25">
      <c r="A536" s="364" t="s">
        <v>195</v>
      </c>
      <c r="B536" s="365" t="s">
        <v>187</v>
      </c>
      <c r="C536" s="365" t="s">
        <v>116</v>
      </c>
      <c r="D536" s="365" t="s">
        <v>826</v>
      </c>
      <c r="E536" s="365"/>
      <c r="F536" s="311">
        <f>F537</f>
        <v>0</v>
      </c>
    </row>
    <row r="537" spans="1:11" ht="42" hidden="1" customHeight="1" x14ac:dyDescent="0.25">
      <c r="A537" s="364" t="s">
        <v>191</v>
      </c>
      <c r="B537" s="365" t="s">
        <v>187</v>
      </c>
      <c r="C537" s="365" t="s">
        <v>116</v>
      </c>
      <c r="D537" s="365" t="s">
        <v>826</v>
      </c>
      <c r="E537" s="365" t="s">
        <v>192</v>
      </c>
      <c r="F537" s="311">
        <f t="shared" ref="F537" si="62">F538</f>
        <v>0</v>
      </c>
    </row>
    <row r="538" spans="1:11" ht="20.25" hidden="1" customHeight="1" x14ac:dyDescent="0.25">
      <c r="A538" s="364" t="s">
        <v>193</v>
      </c>
      <c r="B538" s="365" t="s">
        <v>187</v>
      </c>
      <c r="C538" s="365" t="s">
        <v>116</v>
      </c>
      <c r="D538" s="365" t="s">
        <v>826</v>
      </c>
      <c r="E538" s="365" t="s">
        <v>194</v>
      </c>
      <c r="F538" s="311">
        <f>'Пр.4 ведом.22'!G633</f>
        <v>0</v>
      </c>
    </row>
    <row r="539" spans="1:11" ht="39.200000000000003" hidden="1" customHeight="1" x14ac:dyDescent="0.25">
      <c r="A539" s="364" t="s">
        <v>196</v>
      </c>
      <c r="B539" s="365" t="s">
        <v>187</v>
      </c>
      <c r="C539" s="365" t="s">
        <v>116</v>
      </c>
      <c r="D539" s="365" t="s">
        <v>827</v>
      </c>
      <c r="E539" s="365"/>
      <c r="F539" s="311">
        <f>F540</f>
        <v>0</v>
      </c>
    </row>
    <row r="540" spans="1:11" ht="35.450000000000003" hidden="1" customHeight="1" x14ac:dyDescent="0.25">
      <c r="A540" s="364" t="s">
        <v>191</v>
      </c>
      <c r="B540" s="365" t="s">
        <v>187</v>
      </c>
      <c r="C540" s="365" t="s">
        <v>116</v>
      </c>
      <c r="D540" s="365" t="s">
        <v>827</v>
      </c>
      <c r="E540" s="365" t="s">
        <v>192</v>
      </c>
      <c r="F540" s="311">
        <f t="shared" ref="F540" si="63">F541</f>
        <v>0</v>
      </c>
    </row>
    <row r="541" spans="1:11" ht="17.45" hidden="1" customHeight="1" x14ac:dyDescent="0.25">
      <c r="A541" s="364" t="s">
        <v>193</v>
      </c>
      <c r="B541" s="365" t="s">
        <v>187</v>
      </c>
      <c r="C541" s="365" t="s">
        <v>116</v>
      </c>
      <c r="D541" s="365" t="s">
        <v>827</v>
      </c>
      <c r="E541" s="365" t="s">
        <v>194</v>
      </c>
      <c r="F541" s="311">
        <f>'Пр.4 ведом.22'!G636</f>
        <v>0</v>
      </c>
    </row>
    <row r="542" spans="1:11" ht="38.25" customHeight="1" x14ac:dyDescent="0.25">
      <c r="A542" s="22" t="s">
        <v>238</v>
      </c>
      <c r="B542" s="365" t="s">
        <v>187</v>
      </c>
      <c r="C542" s="365" t="s">
        <v>116</v>
      </c>
      <c r="D542" s="365" t="s">
        <v>771</v>
      </c>
      <c r="E542" s="365"/>
      <c r="F542" s="311">
        <f>F543</f>
        <v>4553.4000000000005</v>
      </c>
    </row>
    <row r="543" spans="1:11" ht="34.5" customHeight="1" x14ac:dyDescent="0.25">
      <c r="A543" s="364" t="s">
        <v>191</v>
      </c>
      <c r="B543" s="365" t="s">
        <v>187</v>
      </c>
      <c r="C543" s="365" t="s">
        <v>116</v>
      </c>
      <c r="D543" s="365" t="s">
        <v>771</v>
      </c>
      <c r="E543" s="365" t="s">
        <v>192</v>
      </c>
      <c r="F543" s="311">
        <f>F544</f>
        <v>4553.4000000000005</v>
      </c>
    </row>
    <row r="544" spans="1:11" ht="15.75" x14ac:dyDescent="0.25">
      <c r="A544" s="364" t="s">
        <v>193</v>
      </c>
      <c r="B544" s="365" t="s">
        <v>187</v>
      </c>
      <c r="C544" s="365" t="s">
        <v>116</v>
      </c>
      <c r="D544" s="365" t="s">
        <v>771</v>
      </c>
      <c r="E544" s="365" t="s">
        <v>194</v>
      </c>
      <c r="F544" s="311">
        <f>'Пр.4 ведом.22'!G639</f>
        <v>4553.4000000000005</v>
      </c>
    </row>
    <row r="545" spans="1:11" ht="31.5" x14ac:dyDescent="0.25">
      <c r="A545" s="145" t="s">
        <v>515</v>
      </c>
      <c r="B545" s="316" t="s">
        <v>187</v>
      </c>
      <c r="C545" s="316" t="s">
        <v>116</v>
      </c>
      <c r="D545" s="316" t="s">
        <v>773</v>
      </c>
      <c r="E545" s="316"/>
      <c r="F545" s="310">
        <f>F546+F549+F552</f>
        <v>4142</v>
      </c>
    </row>
    <row r="546" spans="1:11" ht="31.5" hidden="1" x14ac:dyDescent="0.25">
      <c r="A546" s="364" t="s">
        <v>198</v>
      </c>
      <c r="B546" s="365" t="s">
        <v>187</v>
      </c>
      <c r="C546" s="365" t="s">
        <v>116</v>
      </c>
      <c r="D546" s="365" t="s">
        <v>786</v>
      </c>
      <c r="E546" s="365"/>
      <c r="F546" s="311">
        <f>F547</f>
        <v>0</v>
      </c>
    </row>
    <row r="547" spans="1:11" ht="31.5" hidden="1" x14ac:dyDescent="0.25">
      <c r="A547" s="364" t="s">
        <v>191</v>
      </c>
      <c r="B547" s="365" t="s">
        <v>187</v>
      </c>
      <c r="C547" s="365" t="s">
        <v>116</v>
      </c>
      <c r="D547" s="365" t="s">
        <v>786</v>
      </c>
      <c r="E547" s="365" t="s">
        <v>192</v>
      </c>
      <c r="F547" s="311">
        <f>F548</f>
        <v>0</v>
      </c>
    </row>
    <row r="548" spans="1:11" ht="15.75" hidden="1" x14ac:dyDescent="0.25">
      <c r="A548" s="364" t="s">
        <v>193</v>
      </c>
      <c r="B548" s="365" t="s">
        <v>187</v>
      </c>
      <c r="C548" s="365" t="s">
        <v>116</v>
      </c>
      <c r="D548" s="365" t="s">
        <v>786</v>
      </c>
      <c r="E548" s="365" t="s">
        <v>194</v>
      </c>
      <c r="F548" s="311">
        <f>'Пр.4 ведом.22'!G643</f>
        <v>0</v>
      </c>
    </row>
    <row r="549" spans="1:11" ht="31.5" x14ac:dyDescent="0.25">
      <c r="A549" s="39" t="s">
        <v>344</v>
      </c>
      <c r="B549" s="365" t="s">
        <v>187</v>
      </c>
      <c r="C549" s="365" t="s">
        <v>116</v>
      </c>
      <c r="D549" s="365" t="s">
        <v>774</v>
      </c>
      <c r="E549" s="365"/>
      <c r="F549" s="311">
        <f>F550</f>
        <v>2882</v>
      </c>
    </row>
    <row r="550" spans="1:11" ht="31.5" x14ac:dyDescent="0.25">
      <c r="A550" s="22" t="s">
        <v>191</v>
      </c>
      <c r="B550" s="365" t="s">
        <v>187</v>
      </c>
      <c r="C550" s="365" t="s">
        <v>116</v>
      </c>
      <c r="D550" s="365" t="s">
        <v>774</v>
      </c>
      <c r="E550" s="365" t="s">
        <v>192</v>
      </c>
      <c r="F550" s="311">
        <f>F551</f>
        <v>2882</v>
      </c>
    </row>
    <row r="551" spans="1:11" ht="15.75" x14ac:dyDescent="0.25">
      <c r="A551" s="111" t="s">
        <v>193</v>
      </c>
      <c r="B551" s="365" t="s">
        <v>187</v>
      </c>
      <c r="C551" s="365" t="s">
        <v>116</v>
      </c>
      <c r="D551" s="365" t="s">
        <v>774</v>
      </c>
      <c r="E551" s="365" t="s">
        <v>194</v>
      </c>
      <c r="F551" s="311">
        <f>'Пр.4 ведом.22'!G646</f>
        <v>2882</v>
      </c>
    </row>
    <row r="552" spans="1:11" ht="47.25" x14ac:dyDescent="0.25">
      <c r="A552" s="39" t="s">
        <v>345</v>
      </c>
      <c r="B552" s="365" t="s">
        <v>187</v>
      </c>
      <c r="C552" s="365" t="s">
        <v>116</v>
      </c>
      <c r="D552" s="365" t="s">
        <v>775</v>
      </c>
      <c r="E552" s="365"/>
      <c r="F552" s="311">
        <f>F553</f>
        <v>1260</v>
      </c>
    </row>
    <row r="553" spans="1:11" ht="31.5" x14ac:dyDescent="0.25">
      <c r="A553" s="22" t="s">
        <v>191</v>
      </c>
      <c r="B553" s="365" t="s">
        <v>187</v>
      </c>
      <c r="C553" s="365" t="s">
        <v>116</v>
      </c>
      <c r="D553" s="365" t="s">
        <v>775</v>
      </c>
      <c r="E553" s="365" t="s">
        <v>192</v>
      </c>
      <c r="F553" s="311">
        <f>F554</f>
        <v>1260</v>
      </c>
    </row>
    <row r="554" spans="1:11" ht="15.75" x14ac:dyDescent="0.25">
      <c r="A554" s="111" t="s">
        <v>193</v>
      </c>
      <c r="B554" s="365" t="s">
        <v>187</v>
      </c>
      <c r="C554" s="365" t="s">
        <v>116</v>
      </c>
      <c r="D554" s="365" t="s">
        <v>775</v>
      </c>
      <c r="E554" s="365" t="s">
        <v>194</v>
      </c>
      <c r="F554" s="311">
        <f>'Пр.4 ведом.22'!G649</f>
        <v>1260</v>
      </c>
    </row>
    <row r="555" spans="1:11" ht="31.5" x14ac:dyDescent="0.25">
      <c r="A555" s="315" t="s">
        <v>1107</v>
      </c>
      <c r="B555" s="316" t="s">
        <v>187</v>
      </c>
      <c r="C555" s="316" t="s">
        <v>116</v>
      </c>
      <c r="D555" s="316" t="s">
        <v>776</v>
      </c>
      <c r="E555" s="316"/>
      <c r="F555" s="310">
        <f>F556</f>
        <v>179.29999999999998</v>
      </c>
      <c r="H555" s="74"/>
    </row>
    <row r="556" spans="1:11" ht="31.5" x14ac:dyDescent="0.25">
      <c r="A556" s="364" t="s">
        <v>1108</v>
      </c>
      <c r="B556" s="365" t="s">
        <v>187</v>
      </c>
      <c r="C556" s="365" t="s">
        <v>116</v>
      </c>
      <c r="D556" s="365" t="s">
        <v>1109</v>
      </c>
      <c r="E556" s="365"/>
      <c r="F556" s="311">
        <f>F557</f>
        <v>179.29999999999998</v>
      </c>
      <c r="H556" s="74"/>
    </row>
    <row r="557" spans="1:11" ht="31.5" x14ac:dyDescent="0.25">
      <c r="A557" s="22" t="s">
        <v>191</v>
      </c>
      <c r="B557" s="365" t="s">
        <v>187</v>
      </c>
      <c r="C557" s="365" t="s">
        <v>116</v>
      </c>
      <c r="D557" s="365" t="s">
        <v>1109</v>
      </c>
      <c r="E557" s="365" t="s">
        <v>192</v>
      </c>
      <c r="F557" s="311">
        <f>F558</f>
        <v>179.29999999999998</v>
      </c>
      <c r="H557" s="74"/>
    </row>
    <row r="558" spans="1:11" ht="15.75" x14ac:dyDescent="0.25">
      <c r="A558" s="111" t="s">
        <v>193</v>
      </c>
      <c r="B558" s="365" t="s">
        <v>187</v>
      </c>
      <c r="C558" s="365" t="s">
        <v>116</v>
      </c>
      <c r="D558" s="365" t="s">
        <v>1109</v>
      </c>
      <c r="E558" s="365" t="s">
        <v>194</v>
      </c>
      <c r="F558" s="311">
        <f>'Пр.4 ведом.22'!G653</f>
        <v>179.29999999999998</v>
      </c>
      <c r="H558" s="74"/>
    </row>
    <row r="559" spans="1:11" s="131" customFormat="1" ht="94.5" x14ac:dyDescent="0.25">
      <c r="A559" s="315" t="s">
        <v>717</v>
      </c>
      <c r="B559" s="316" t="s">
        <v>187</v>
      </c>
      <c r="C559" s="316" t="s">
        <v>116</v>
      </c>
      <c r="D559" s="316" t="s">
        <v>777</v>
      </c>
      <c r="E559" s="316"/>
      <c r="F559" s="314">
        <f>F560</f>
        <v>701.07999999999993</v>
      </c>
      <c r="G559" s="363"/>
      <c r="H559" s="363"/>
      <c r="I559" s="363"/>
      <c r="J559" s="363"/>
      <c r="K559" s="363"/>
    </row>
    <row r="560" spans="1:11" s="131" customFormat="1" ht="94.5" x14ac:dyDescent="0.25">
      <c r="A560" s="99" t="s">
        <v>965</v>
      </c>
      <c r="B560" s="365" t="s">
        <v>187</v>
      </c>
      <c r="C560" s="365" t="s">
        <v>116</v>
      </c>
      <c r="D560" s="365" t="s">
        <v>778</v>
      </c>
      <c r="E560" s="365"/>
      <c r="F560" s="318">
        <f>F561</f>
        <v>701.07999999999993</v>
      </c>
      <c r="G560" s="363"/>
      <c r="H560" s="363"/>
      <c r="I560" s="363"/>
      <c r="J560" s="363"/>
      <c r="K560" s="363"/>
    </row>
    <row r="561" spans="1:11" s="131" customFormat="1" ht="31.5" x14ac:dyDescent="0.25">
      <c r="A561" s="364" t="s">
        <v>191</v>
      </c>
      <c r="B561" s="365" t="s">
        <v>187</v>
      </c>
      <c r="C561" s="365" t="s">
        <v>116</v>
      </c>
      <c r="D561" s="365" t="s">
        <v>778</v>
      </c>
      <c r="E561" s="365" t="s">
        <v>192</v>
      </c>
      <c r="F561" s="318">
        <f>F562</f>
        <v>701.07999999999993</v>
      </c>
      <c r="G561" s="363"/>
      <c r="H561" s="363"/>
      <c r="I561" s="363"/>
      <c r="J561" s="363"/>
      <c r="K561" s="363"/>
    </row>
    <row r="562" spans="1:11" s="131" customFormat="1" ht="15.75" x14ac:dyDescent="0.25">
      <c r="A562" s="364" t="s">
        <v>193</v>
      </c>
      <c r="B562" s="365" t="s">
        <v>187</v>
      </c>
      <c r="C562" s="365" t="s">
        <v>116</v>
      </c>
      <c r="D562" s="365" t="s">
        <v>778</v>
      </c>
      <c r="E562" s="365" t="s">
        <v>194</v>
      </c>
      <c r="F562" s="318">
        <f>'Пр.4 ведом.22'!G657</f>
        <v>701.07999999999993</v>
      </c>
      <c r="G562" s="363"/>
      <c r="H562" s="363"/>
      <c r="I562" s="363"/>
      <c r="J562" s="363"/>
      <c r="K562" s="363"/>
    </row>
    <row r="563" spans="1:11" s="291" customFormat="1" ht="31.5" hidden="1" x14ac:dyDescent="0.25">
      <c r="A563" s="201" t="s">
        <v>1024</v>
      </c>
      <c r="B563" s="316" t="s">
        <v>187</v>
      </c>
      <c r="C563" s="316" t="s">
        <v>116</v>
      </c>
      <c r="D563" s="316" t="s">
        <v>1026</v>
      </c>
      <c r="E563" s="316"/>
      <c r="F563" s="314">
        <f>F564</f>
        <v>0</v>
      </c>
      <c r="G563" s="363"/>
      <c r="H563" s="363"/>
      <c r="I563" s="363"/>
      <c r="J563" s="363"/>
      <c r="K563" s="363"/>
    </row>
    <row r="564" spans="1:11" s="291" customFormat="1" ht="31.5" hidden="1" x14ac:dyDescent="0.25">
      <c r="A564" s="200" t="s">
        <v>1025</v>
      </c>
      <c r="B564" s="365" t="s">
        <v>187</v>
      </c>
      <c r="C564" s="365" t="s">
        <v>116</v>
      </c>
      <c r="D564" s="365" t="s">
        <v>1027</v>
      </c>
      <c r="E564" s="365"/>
      <c r="F564" s="318">
        <f>F565</f>
        <v>0</v>
      </c>
      <c r="G564" s="363"/>
      <c r="H564" s="363"/>
      <c r="I564" s="363"/>
      <c r="J564" s="363"/>
      <c r="K564" s="363"/>
    </row>
    <row r="565" spans="1:11" s="291" customFormat="1" ht="31.5" hidden="1" x14ac:dyDescent="0.25">
      <c r="A565" s="24" t="s">
        <v>191</v>
      </c>
      <c r="B565" s="365" t="s">
        <v>187</v>
      </c>
      <c r="C565" s="365" t="s">
        <v>116</v>
      </c>
      <c r="D565" s="365" t="s">
        <v>1027</v>
      </c>
      <c r="E565" s="365" t="s">
        <v>192</v>
      </c>
      <c r="F565" s="318">
        <f>F566</f>
        <v>0</v>
      </c>
      <c r="G565" s="363"/>
      <c r="H565" s="363"/>
      <c r="I565" s="363"/>
      <c r="J565" s="363"/>
      <c r="K565" s="363"/>
    </row>
    <row r="566" spans="1:11" s="291" customFormat="1" ht="15.75" hidden="1" x14ac:dyDescent="0.25">
      <c r="A566" s="24" t="s">
        <v>193</v>
      </c>
      <c r="B566" s="365" t="s">
        <v>187</v>
      </c>
      <c r="C566" s="365" t="s">
        <v>116</v>
      </c>
      <c r="D566" s="365" t="s">
        <v>1027</v>
      </c>
      <c r="E566" s="365" t="s">
        <v>194</v>
      </c>
      <c r="F566" s="318">
        <f>'Пр.4 ведом.22'!G664</f>
        <v>0</v>
      </c>
      <c r="G566" s="363"/>
      <c r="H566" s="363"/>
      <c r="I566" s="363"/>
      <c r="J566" s="363"/>
      <c r="K566" s="363"/>
    </row>
    <row r="567" spans="1:11" s="309" customFormat="1" ht="47.25" hidden="1" x14ac:dyDescent="0.25">
      <c r="A567" s="201" t="s">
        <v>1028</v>
      </c>
      <c r="B567" s="316" t="s">
        <v>187</v>
      </c>
      <c r="C567" s="316" t="s">
        <v>116</v>
      </c>
      <c r="D567" s="316" t="s">
        <v>1031</v>
      </c>
      <c r="E567" s="316"/>
      <c r="F567" s="314">
        <f>F568</f>
        <v>0</v>
      </c>
      <c r="G567" s="363"/>
      <c r="H567" s="363"/>
      <c r="I567" s="363"/>
      <c r="J567" s="363"/>
      <c r="K567" s="363"/>
    </row>
    <row r="568" spans="1:11" s="309" customFormat="1" ht="47.25" hidden="1" x14ac:dyDescent="0.25">
      <c r="A568" s="200" t="s">
        <v>1029</v>
      </c>
      <c r="B568" s="365" t="s">
        <v>187</v>
      </c>
      <c r="C568" s="365" t="s">
        <v>116</v>
      </c>
      <c r="D568" s="365" t="s">
        <v>1030</v>
      </c>
      <c r="E568" s="365"/>
      <c r="F568" s="318">
        <f>F569</f>
        <v>0</v>
      </c>
      <c r="G568" s="363"/>
      <c r="H568" s="363"/>
      <c r="I568" s="363"/>
      <c r="J568" s="363"/>
      <c r="K568" s="363"/>
    </row>
    <row r="569" spans="1:11" s="309" customFormat="1" ht="31.5" hidden="1" x14ac:dyDescent="0.25">
      <c r="A569" s="24" t="s">
        <v>191</v>
      </c>
      <c r="B569" s="365" t="s">
        <v>187</v>
      </c>
      <c r="C569" s="365" t="s">
        <v>116</v>
      </c>
      <c r="D569" s="365" t="s">
        <v>1030</v>
      </c>
      <c r="E569" s="365" t="s">
        <v>192</v>
      </c>
      <c r="F569" s="318">
        <f>F570</f>
        <v>0</v>
      </c>
      <c r="G569" s="363"/>
      <c r="H569" s="363"/>
      <c r="I569" s="363"/>
      <c r="J569" s="363"/>
      <c r="K569" s="363"/>
    </row>
    <row r="570" spans="1:11" s="309" customFormat="1" ht="15.75" hidden="1" x14ac:dyDescent="0.25">
      <c r="A570" s="24" t="s">
        <v>193</v>
      </c>
      <c r="B570" s="365" t="s">
        <v>187</v>
      </c>
      <c r="C570" s="365" t="s">
        <v>116</v>
      </c>
      <c r="D570" s="365" t="s">
        <v>1030</v>
      </c>
      <c r="E570" s="365" t="s">
        <v>194</v>
      </c>
      <c r="F570" s="318">
        <f>'Пр.4 ведом.22'!G668</f>
        <v>0</v>
      </c>
      <c r="G570" s="363"/>
      <c r="H570" s="363"/>
      <c r="I570" s="363"/>
      <c r="J570" s="363"/>
      <c r="K570" s="363"/>
    </row>
    <row r="571" spans="1:11" ht="53.65" customHeight="1" x14ac:dyDescent="0.25">
      <c r="A571" s="26" t="s">
        <v>859</v>
      </c>
      <c r="B571" s="316" t="s">
        <v>187</v>
      </c>
      <c r="C571" s="316" t="s">
        <v>116</v>
      </c>
      <c r="D571" s="316" t="s">
        <v>206</v>
      </c>
      <c r="E571" s="316"/>
      <c r="F571" s="310">
        <f>F572</f>
        <v>80</v>
      </c>
    </row>
    <row r="572" spans="1:11" ht="63" x14ac:dyDescent="0.25">
      <c r="A572" s="26" t="s">
        <v>572</v>
      </c>
      <c r="B572" s="316" t="s">
        <v>187</v>
      </c>
      <c r="C572" s="316" t="s">
        <v>116</v>
      </c>
      <c r="D572" s="316" t="s">
        <v>504</v>
      </c>
      <c r="E572" s="316"/>
      <c r="F572" s="310">
        <f>F573</f>
        <v>80</v>
      </c>
    </row>
    <row r="573" spans="1:11" ht="47.25" x14ac:dyDescent="0.25">
      <c r="A573" s="24" t="s">
        <v>571</v>
      </c>
      <c r="B573" s="365" t="s">
        <v>187</v>
      </c>
      <c r="C573" s="365" t="s">
        <v>116</v>
      </c>
      <c r="D573" s="365" t="s">
        <v>505</v>
      </c>
      <c r="E573" s="365"/>
      <c r="F573" s="311">
        <f>F574</f>
        <v>80</v>
      </c>
    </row>
    <row r="574" spans="1:11" ht="31.5" x14ac:dyDescent="0.25">
      <c r="A574" s="24" t="s">
        <v>191</v>
      </c>
      <c r="B574" s="365" t="s">
        <v>187</v>
      </c>
      <c r="C574" s="365" t="s">
        <v>116</v>
      </c>
      <c r="D574" s="365" t="s">
        <v>505</v>
      </c>
      <c r="E574" s="365" t="s">
        <v>192</v>
      </c>
      <c r="F574" s="311">
        <f t="shared" ref="F574" si="64">F575</f>
        <v>80</v>
      </c>
    </row>
    <row r="575" spans="1:11" ht="15.75" x14ac:dyDescent="0.25">
      <c r="A575" s="24" t="s">
        <v>193</v>
      </c>
      <c r="B575" s="365" t="s">
        <v>187</v>
      </c>
      <c r="C575" s="365" t="s">
        <v>116</v>
      </c>
      <c r="D575" s="365" t="s">
        <v>505</v>
      </c>
      <c r="E575" s="365" t="s">
        <v>194</v>
      </c>
      <c r="F575" s="311">
        <f>'Пр.4 ведом.22'!G673</f>
        <v>80</v>
      </c>
    </row>
    <row r="576" spans="1:11" ht="47.25" x14ac:dyDescent="0.25">
      <c r="A576" s="359" t="s">
        <v>855</v>
      </c>
      <c r="B576" s="316" t="s">
        <v>187</v>
      </c>
      <c r="C576" s="316" t="s">
        <v>116</v>
      </c>
      <c r="D576" s="316" t="s">
        <v>339</v>
      </c>
      <c r="E576" s="323"/>
      <c r="F576" s="310">
        <f>F577</f>
        <v>571.79999999999995</v>
      </c>
    </row>
    <row r="577" spans="1:11" ht="47.25" x14ac:dyDescent="0.25">
      <c r="A577" s="359" t="s">
        <v>463</v>
      </c>
      <c r="B577" s="316" t="s">
        <v>187</v>
      </c>
      <c r="C577" s="316" t="s">
        <v>116</v>
      </c>
      <c r="D577" s="316" t="s">
        <v>461</v>
      </c>
      <c r="E577" s="323"/>
      <c r="F577" s="310">
        <f t="shared" ref="F577:F578" si="65">F578</f>
        <v>571.79999999999995</v>
      </c>
    </row>
    <row r="578" spans="1:11" ht="47.25" x14ac:dyDescent="0.25">
      <c r="A578" s="70" t="s">
        <v>359</v>
      </c>
      <c r="B578" s="365" t="s">
        <v>187</v>
      </c>
      <c r="C578" s="365" t="s">
        <v>116</v>
      </c>
      <c r="D578" s="365" t="s">
        <v>506</v>
      </c>
      <c r="E578" s="319"/>
      <c r="F578" s="311">
        <f t="shared" si="65"/>
        <v>571.79999999999995</v>
      </c>
    </row>
    <row r="579" spans="1:11" ht="31.5" x14ac:dyDescent="0.25">
      <c r="A579" s="22" t="s">
        <v>191</v>
      </c>
      <c r="B579" s="365" t="s">
        <v>187</v>
      </c>
      <c r="C579" s="365" t="s">
        <v>116</v>
      </c>
      <c r="D579" s="365" t="s">
        <v>506</v>
      </c>
      <c r="E579" s="319" t="s">
        <v>192</v>
      </c>
      <c r="F579" s="311">
        <f>F580</f>
        <v>571.79999999999995</v>
      </c>
    </row>
    <row r="580" spans="1:11" ht="24.75" customHeight="1" x14ac:dyDescent="0.25">
      <c r="A580" s="111" t="s">
        <v>193</v>
      </c>
      <c r="B580" s="365" t="s">
        <v>187</v>
      </c>
      <c r="C580" s="365" t="s">
        <v>116</v>
      </c>
      <c r="D580" s="365" t="s">
        <v>506</v>
      </c>
      <c r="E580" s="319" t="s">
        <v>194</v>
      </c>
      <c r="F580" s="311">
        <f>'Пр.4 ведом.22'!G678</f>
        <v>571.79999999999995</v>
      </c>
    </row>
    <row r="581" spans="1:11" ht="15.75" x14ac:dyDescent="0.25">
      <c r="A581" s="359" t="s">
        <v>239</v>
      </c>
      <c r="B581" s="7" t="s">
        <v>187</v>
      </c>
      <c r="C581" s="7" t="s">
        <v>158</v>
      </c>
      <c r="D581" s="7"/>
      <c r="E581" s="7"/>
      <c r="F581" s="310">
        <f>F582+F660+F665</f>
        <v>203064.47000000003</v>
      </c>
      <c r="H581" s="74"/>
    </row>
    <row r="582" spans="1:11" ht="34.700000000000003" customHeight="1" x14ac:dyDescent="0.25">
      <c r="A582" s="315" t="s">
        <v>860</v>
      </c>
      <c r="B582" s="316" t="s">
        <v>187</v>
      </c>
      <c r="C582" s="316" t="s">
        <v>158</v>
      </c>
      <c r="D582" s="316" t="s">
        <v>237</v>
      </c>
      <c r="E582" s="316"/>
      <c r="F582" s="310">
        <f>F583+F587+F600+F613+F620+F624+F628+F632+F636+F652+F648+F640+F644+F656</f>
        <v>202133.63000000003</v>
      </c>
    </row>
    <row r="583" spans="1:11" ht="31.5" x14ac:dyDescent="0.25">
      <c r="A583" s="315" t="s">
        <v>507</v>
      </c>
      <c r="B583" s="316" t="s">
        <v>187</v>
      </c>
      <c r="C583" s="316" t="s">
        <v>158</v>
      </c>
      <c r="D583" s="316" t="s">
        <v>766</v>
      </c>
      <c r="E583" s="316"/>
      <c r="F583" s="310">
        <f>F584</f>
        <v>31108.41</v>
      </c>
    </row>
    <row r="584" spans="1:11" ht="47.25" x14ac:dyDescent="0.25">
      <c r="A584" s="364" t="s">
        <v>769</v>
      </c>
      <c r="B584" s="365" t="s">
        <v>187</v>
      </c>
      <c r="C584" s="365" t="s">
        <v>158</v>
      </c>
      <c r="D584" s="365" t="s">
        <v>780</v>
      </c>
      <c r="E584" s="365"/>
      <c r="F584" s="255">
        <f t="shared" ref="F584" si="66">F585</f>
        <v>31108.41</v>
      </c>
    </row>
    <row r="585" spans="1:11" ht="39.75" customHeight="1" x14ac:dyDescent="0.25">
      <c r="A585" s="364" t="s">
        <v>191</v>
      </c>
      <c r="B585" s="365" t="s">
        <v>187</v>
      </c>
      <c r="C585" s="365" t="s">
        <v>158</v>
      </c>
      <c r="D585" s="365" t="s">
        <v>780</v>
      </c>
      <c r="E585" s="365" t="s">
        <v>192</v>
      </c>
      <c r="F585" s="255">
        <f>'Пр.4 ведом.22'!G684</f>
        <v>31108.41</v>
      </c>
    </row>
    <row r="586" spans="1:11" ht="15.75" x14ac:dyDescent="0.25">
      <c r="A586" s="364" t="s">
        <v>193</v>
      </c>
      <c r="B586" s="365" t="s">
        <v>187</v>
      </c>
      <c r="C586" s="365" t="s">
        <v>158</v>
      </c>
      <c r="D586" s="365" t="s">
        <v>780</v>
      </c>
      <c r="E586" s="365" t="s">
        <v>194</v>
      </c>
      <c r="F586" s="311">
        <f>'Пр.4 ведом.22'!G684</f>
        <v>31108.41</v>
      </c>
    </row>
    <row r="587" spans="1:11" ht="48.95" customHeight="1" x14ac:dyDescent="0.25">
      <c r="A587" s="315" t="s">
        <v>471</v>
      </c>
      <c r="B587" s="316" t="s">
        <v>187</v>
      </c>
      <c r="C587" s="316" t="s">
        <v>158</v>
      </c>
      <c r="D587" s="316" t="s">
        <v>768</v>
      </c>
      <c r="E587" s="316"/>
      <c r="F587" s="310">
        <f>F588+F591+F594+F597</f>
        <v>154802.51</v>
      </c>
    </row>
    <row r="588" spans="1:11" s="131" customFormat="1" ht="67.7" customHeight="1" x14ac:dyDescent="0.25">
      <c r="A588" s="364" t="s">
        <v>886</v>
      </c>
      <c r="B588" s="365" t="s">
        <v>187</v>
      </c>
      <c r="C588" s="365" t="s">
        <v>158</v>
      </c>
      <c r="D588" s="365" t="s">
        <v>887</v>
      </c>
      <c r="E588" s="365"/>
      <c r="F588" s="20">
        <f>F589</f>
        <v>7421.4</v>
      </c>
      <c r="G588" s="363"/>
      <c r="H588" s="363"/>
      <c r="I588" s="363"/>
      <c r="J588" s="363"/>
      <c r="K588" s="363"/>
    </row>
    <row r="589" spans="1:11" s="131" customFormat="1" ht="36.75" customHeight="1" x14ac:dyDescent="0.25">
      <c r="A589" s="364" t="s">
        <v>191</v>
      </c>
      <c r="B589" s="365" t="s">
        <v>187</v>
      </c>
      <c r="C589" s="365" t="s">
        <v>158</v>
      </c>
      <c r="D589" s="365" t="s">
        <v>887</v>
      </c>
      <c r="E589" s="365" t="s">
        <v>192</v>
      </c>
      <c r="F589" s="20">
        <f>F590</f>
        <v>7421.4</v>
      </c>
      <c r="G589" s="363"/>
      <c r="H589" s="363"/>
      <c r="I589" s="363"/>
      <c r="J589" s="363"/>
      <c r="K589" s="363"/>
    </row>
    <row r="590" spans="1:11" s="131" customFormat="1" ht="17.649999999999999" customHeight="1" x14ac:dyDescent="0.25">
      <c r="A590" s="364" t="s">
        <v>193</v>
      </c>
      <c r="B590" s="365" t="s">
        <v>187</v>
      </c>
      <c r="C590" s="365" t="s">
        <v>158</v>
      </c>
      <c r="D590" s="365" t="s">
        <v>887</v>
      </c>
      <c r="E590" s="365" t="s">
        <v>194</v>
      </c>
      <c r="F590" s="20">
        <f>'Пр.4 ведом.22'!G688</f>
        <v>7421.4</v>
      </c>
      <c r="G590" s="363"/>
      <c r="H590" s="363"/>
      <c r="I590" s="363"/>
      <c r="J590" s="363"/>
      <c r="K590" s="363"/>
    </row>
    <row r="591" spans="1:11" s="131" customFormat="1" ht="95.1" customHeight="1" x14ac:dyDescent="0.25">
      <c r="A591" s="24" t="s">
        <v>245</v>
      </c>
      <c r="B591" s="365" t="s">
        <v>187</v>
      </c>
      <c r="C591" s="365" t="s">
        <v>158</v>
      </c>
      <c r="D591" s="365" t="s">
        <v>884</v>
      </c>
      <c r="E591" s="365"/>
      <c r="F591" s="311">
        <f>F592</f>
        <v>5001</v>
      </c>
      <c r="G591" s="363"/>
      <c r="H591" s="363"/>
      <c r="I591" s="363"/>
      <c r="J591" s="363"/>
      <c r="K591" s="363"/>
    </row>
    <row r="592" spans="1:11" s="131" customFormat="1" ht="40.15" customHeight="1" x14ac:dyDescent="0.25">
      <c r="A592" s="364" t="s">
        <v>191</v>
      </c>
      <c r="B592" s="365" t="s">
        <v>187</v>
      </c>
      <c r="C592" s="365" t="s">
        <v>158</v>
      </c>
      <c r="D592" s="365" t="s">
        <v>884</v>
      </c>
      <c r="E592" s="365" t="s">
        <v>192</v>
      </c>
      <c r="F592" s="311">
        <f>F593</f>
        <v>5001</v>
      </c>
      <c r="G592" s="363"/>
      <c r="H592" s="363"/>
      <c r="I592" s="363"/>
      <c r="J592" s="363"/>
      <c r="K592" s="363"/>
    </row>
    <row r="593" spans="1:11" s="131" customFormat="1" ht="17.100000000000001" customHeight="1" x14ac:dyDescent="0.25">
      <c r="A593" s="364" t="s">
        <v>193</v>
      </c>
      <c r="B593" s="365" t="s">
        <v>187</v>
      </c>
      <c r="C593" s="365" t="s">
        <v>158</v>
      </c>
      <c r="D593" s="365" t="s">
        <v>884</v>
      </c>
      <c r="E593" s="365" t="s">
        <v>194</v>
      </c>
      <c r="F593" s="311">
        <f>'Пр.4 ведом.22'!G691</f>
        <v>5001</v>
      </c>
      <c r="G593" s="363"/>
      <c r="H593" s="363"/>
      <c r="I593" s="363"/>
      <c r="J593" s="363"/>
      <c r="K593" s="363"/>
    </row>
    <row r="594" spans="1:11" ht="47.25" x14ac:dyDescent="0.25">
      <c r="A594" s="24" t="s">
        <v>244</v>
      </c>
      <c r="B594" s="365" t="s">
        <v>187</v>
      </c>
      <c r="C594" s="365" t="s">
        <v>158</v>
      </c>
      <c r="D594" s="365" t="s">
        <v>781</v>
      </c>
      <c r="E594" s="365"/>
      <c r="F594" s="311">
        <f>F595</f>
        <v>909.3</v>
      </c>
    </row>
    <row r="595" spans="1:11" ht="36" customHeight="1" x14ac:dyDescent="0.25">
      <c r="A595" s="364" t="s">
        <v>191</v>
      </c>
      <c r="B595" s="365" t="s">
        <v>187</v>
      </c>
      <c r="C595" s="365" t="s">
        <v>158</v>
      </c>
      <c r="D595" s="365" t="s">
        <v>781</v>
      </c>
      <c r="E595" s="365" t="s">
        <v>192</v>
      </c>
      <c r="F595" s="311">
        <f t="shared" ref="F595" si="67">F596</f>
        <v>909.3</v>
      </c>
    </row>
    <row r="596" spans="1:11" ht="15.75" x14ac:dyDescent="0.25">
      <c r="A596" s="364" t="s">
        <v>193</v>
      </c>
      <c r="B596" s="365" t="s">
        <v>187</v>
      </c>
      <c r="C596" s="365" t="s">
        <v>158</v>
      </c>
      <c r="D596" s="365" t="s">
        <v>781</v>
      </c>
      <c r="E596" s="365" t="s">
        <v>194</v>
      </c>
      <c r="F596" s="311">
        <f>'Пр.4 ведом.22'!G694</f>
        <v>909.3</v>
      </c>
    </row>
    <row r="597" spans="1:11" s="362" customFormat="1" ht="47.25" x14ac:dyDescent="0.25">
      <c r="A597" s="364" t="s">
        <v>1147</v>
      </c>
      <c r="B597" s="365" t="s">
        <v>187</v>
      </c>
      <c r="C597" s="365" t="s">
        <v>158</v>
      </c>
      <c r="D597" s="365" t="s">
        <v>1148</v>
      </c>
      <c r="E597" s="365"/>
      <c r="F597" s="311">
        <f>F598</f>
        <v>141470.81</v>
      </c>
      <c r="G597" s="363"/>
      <c r="H597" s="363"/>
      <c r="I597" s="363"/>
      <c r="J597" s="363"/>
      <c r="K597" s="363"/>
    </row>
    <row r="598" spans="1:11" s="362" customFormat="1" ht="31.5" x14ac:dyDescent="0.25">
      <c r="A598" s="364" t="s">
        <v>191</v>
      </c>
      <c r="B598" s="365" t="s">
        <v>187</v>
      </c>
      <c r="C598" s="365" t="s">
        <v>158</v>
      </c>
      <c r="D598" s="365" t="s">
        <v>1148</v>
      </c>
      <c r="E598" s="365" t="s">
        <v>192</v>
      </c>
      <c r="F598" s="311">
        <f>F599</f>
        <v>141470.81</v>
      </c>
      <c r="G598" s="363"/>
      <c r="H598" s="363"/>
      <c r="I598" s="363"/>
      <c r="J598" s="363"/>
      <c r="K598" s="363"/>
    </row>
    <row r="599" spans="1:11" s="362" customFormat="1" ht="15.75" x14ac:dyDescent="0.25">
      <c r="A599" s="364" t="s">
        <v>193</v>
      </c>
      <c r="B599" s="365" t="s">
        <v>187</v>
      </c>
      <c r="C599" s="365" t="s">
        <v>158</v>
      </c>
      <c r="D599" s="365" t="s">
        <v>1148</v>
      </c>
      <c r="E599" s="365" t="s">
        <v>194</v>
      </c>
      <c r="F599" s="311">
        <f>'Пр.4 ведом.22'!G697</f>
        <v>141470.81</v>
      </c>
      <c r="G599" s="363"/>
      <c r="H599" s="363"/>
      <c r="I599" s="363"/>
      <c r="J599" s="363"/>
      <c r="K599" s="363"/>
    </row>
    <row r="600" spans="1:11" ht="31.5" x14ac:dyDescent="0.25">
      <c r="A600" s="315" t="s">
        <v>818</v>
      </c>
      <c r="B600" s="316" t="s">
        <v>187</v>
      </c>
      <c r="C600" s="316" t="s">
        <v>158</v>
      </c>
      <c r="D600" s="316" t="s">
        <v>770</v>
      </c>
      <c r="E600" s="316"/>
      <c r="F600" s="310">
        <f>F601+F604+F607+F610</f>
        <v>508.6</v>
      </c>
    </row>
    <row r="601" spans="1:11" ht="36" hidden="1" customHeight="1" x14ac:dyDescent="0.25">
      <c r="A601" s="364" t="s">
        <v>242</v>
      </c>
      <c r="B601" s="365" t="s">
        <v>187</v>
      </c>
      <c r="C601" s="365" t="s">
        <v>158</v>
      </c>
      <c r="D601" s="365" t="s">
        <v>825</v>
      </c>
      <c r="E601" s="365"/>
      <c r="F601" s="311">
        <f t="shared" ref="F601" si="68">F602</f>
        <v>0</v>
      </c>
    </row>
    <row r="602" spans="1:11" ht="35.450000000000003" hidden="1" customHeight="1" x14ac:dyDescent="0.25">
      <c r="A602" s="364" t="s">
        <v>191</v>
      </c>
      <c r="B602" s="365" t="s">
        <v>187</v>
      </c>
      <c r="C602" s="365" t="s">
        <v>158</v>
      </c>
      <c r="D602" s="365" t="s">
        <v>825</v>
      </c>
      <c r="E602" s="365" t="s">
        <v>192</v>
      </c>
      <c r="F602" s="311">
        <f>F603</f>
        <v>0</v>
      </c>
    </row>
    <row r="603" spans="1:11" ht="15.75" hidden="1" x14ac:dyDescent="0.25">
      <c r="A603" s="364" t="s">
        <v>193</v>
      </c>
      <c r="B603" s="365" t="s">
        <v>187</v>
      </c>
      <c r="C603" s="365" t="s">
        <v>158</v>
      </c>
      <c r="D603" s="365" t="s">
        <v>825</v>
      </c>
      <c r="E603" s="365" t="s">
        <v>194</v>
      </c>
      <c r="F603" s="311">
        <f>'Пр.4 ведом.22'!G701</f>
        <v>0</v>
      </c>
    </row>
    <row r="604" spans="1:11" ht="31.5" x14ac:dyDescent="0.25">
      <c r="A604" s="364" t="s">
        <v>195</v>
      </c>
      <c r="B604" s="365" t="s">
        <v>187</v>
      </c>
      <c r="C604" s="365" t="s">
        <v>158</v>
      </c>
      <c r="D604" s="365" t="s">
        <v>826</v>
      </c>
      <c r="E604" s="365"/>
      <c r="F604" s="311">
        <f t="shared" ref="F604" si="69">F605</f>
        <v>300</v>
      </c>
    </row>
    <row r="605" spans="1:11" ht="37.5" customHeight="1" x14ac:dyDescent="0.25">
      <c r="A605" s="364" t="s">
        <v>191</v>
      </c>
      <c r="B605" s="365" t="s">
        <v>187</v>
      </c>
      <c r="C605" s="365" t="s">
        <v>158</v>
      </c>
      <c r="D605" s="365" t="s">
        <v>826</v>
      </c>
      <c r="E605" s="365" t="s">
        <v>192</v>
      </c>
      <c r="F605" s="311">
        <f>F606</f>
        <v>300</v>
      </c>
    </row>
    <row r="606" spans="1:11" ht="15.75" x14ac:dyDescent="0.25">
      <c r="A606" s="364" t="s">
        <v>193</v>
      </c>
      <c r="B606" s="365" t="s">
        <v>187</v>
      </c>
      <c r="C606" s="365" t="s">
        <v>158</v>
      </c>
      <c r="D606" s="365" t="s">
        <v>826</v>
      </c>
      <c r="E606" s="365" t="s">
        <v>194</v>
      </c>
      <c r="F606" s="311">
        <f>'Пр.4 ведом.22'!G704</f>
        <v>300</v>
      </c>
    </row>
    <row r="607" spans="1:11" ht="31.5" hidden="1" x14ac:dyDescent="0.25">
      <c r="A607" s="364" t="s">
        <v>196</v>
      </c>
      <c r="B607" s="365" t="s">
        <v>187</v>
      </c>
      <c r="C607" s="365" t="s">
        <v>158</v>
      </c>
      <c r="D607" s="365" t="s">
        <v>827</v>
      </c>
      <c r="E607" s="365"/>
      <c r="F607" s="311">
        <f t="shared" ref="F607" si="70">F608</f>
        <v>0</v>
      </c>
    </row>
    <row r="608" spans="1:11" ht="31.7" hidden="1" customHeight="1" x14ac:dyDescent="0.25">
      <c r="A608" s="364" t="s">
        <v>191</v>
      </c>
      <c r="B608" s="365" t="s">
        <v>187</v>
      </c>
      <c r="C608" s="365" t="s">
        <v>158</v>
      </c>
      <c r="D608" s="365" t="s">
        <v>827</v>
      </c>
      <c r="E608" s="365" t="s">
        <v>192</v>
      </c>
      <c r="F608" s="311">
        <f>F609</f>
        <v>0</v>
      </c>
    </row>
    <row r="609" spans="1:11" ht="15.75" hidden="1" x14ac:dyDescent="0.25">
      <c r="A609" s="364" t="s">
        <v>193</v>
      </c>
      <c r="B609" s="365" t="s">
        <v>187</v>
      </c>
      <c r="C609" s="365" t="s">
        <v>158</v>
      </c>
      <c r="D609" s="365" t="s">
        <v>827</v>
      </c>
      <c r="E609" s="365" t="s">
        <v>194</v>
      </c>
      <c r="F609" s="311">
        <f>'Пр.4 ведом.22'!G707</f>
        <v>0</v>
      </c>
    </row>
    <row r="610" spans="1:11" ht="31.5" x14ac:dyDescent="0.25">
      <c r="A610" s="364" t="s">
        <v>197</v>
      </c>
      <c r="B610" s="365" t="s">
        <v>187</v>
      </c>
      <c r="C610" s="365" t="s">
        <v>158</v>
      </c>
      <c r="D610" s="365" t="s">
        <v>783</v>
      </c>
      <c r="E610" s="365"/>
      <c r="F610" s="311">
        <f t="shared" ref="F610" si="71">F611</f>
        <v>208.6</v>
      </c>
    </row>
    <row r="611" spans="1:11" ht="36" customHeight="1" x14ac:dyDescent="0.25">
      <c r="A611" s="364" t="s">
        <v>191</v>
      </c>
      <c r="B611" s="365" t="s">
        <v>187</v>
      </c>
      <c r="C611" s="365" t="s">
        <v>158</v>
      </c>
      <c r="D611" s="365" t="s">
        <v>783</v>
      </c>
      <c r="E611" s="365" t="s">
        <v>192</v>
      </c>
      <c r="F611" s="311">
        <f>F612</f>
        <v>208.6</v>
      </c>
    </row>
    <row r="612" spans="1:11" ht="15" customHeight="1" x14ac:dyDescent="0.25">
      <c r="A612" s="364" t="s">
        <v>193</v>
      </c>
      <c r="B612" s="365" t="s">
        <v>187</v>
      </c>
      <c r="C612" s="365" t="s">
        <v>158</v>
      </c>
      <c r="D612" s="365" t="s">
        <v>783</v>
      </c>
      <c r="E612" s="365" t="s">
        <v>194</v>
      </c>
      <c r="F612" s="311">
        <f>'Пр.4 ведом.22'!G710</f>
        <v>208.6</v>
      </c>
    </row>
    <row r="613" spans="1:11" s="131" customFormat="1" ht="36.75" customHeight="1" x14ac:dyDescent="0.25">
      <c r="A613" s="145" t="s">
        <v>515</v>
      </c>
      <c r="B613" s="316" t="s">
        <v>187</v>
      </c>
      <c r="C613" s="316" t="s">
        <v>158</v>
      </c>
      <c r="D613" s="316" t="s">
        <v>773</v>
      </c>
      <c r="E613" s="316"/>
      <c r="F613" s="310">
        <f>F614+F617</f>
        <v>2967</v>
      </c>
      <c r="G613" s="363"/>
      <c r="H613" s="363"/>
      <c r="I613" s="363"/>
      <c r="J613" s="363"/>
      <c r="K613" s="363"/>
    </row>
    <row r="614" spans="1:11" s="131" customFormat="1" ht="34.5" hidden="1" customHeight="1" x14ac:dyDescent="0.25">
      <c r="A614" s="364" t="s">
        <v>198</v>
      </c>
      <c r="B614" s="365" t="s">
        <v>187</v>
      </c>
      <c r="C614" s="365" t="s">
        <v>158</v>
      </c>
      <c r="D614" s="365" t="s">
        <v>786</v>
      </c>
      <c r="E614" s="365"/>
      <c r="F614" s="311">
        <f>F615</f>
        <v>0</v>
      </c>
      <c r="G614" s="363"/>
      <c r="H614" s="363"/>
      <c r="I614" s="363"/>
      <c r="J614" s="363"/>
      <c r="K614" s="363"/>
    </row>
    <row r="615" spans="1:11" s="131" customFormat="1" ht="41.25" hidden="1" customHeight="1" x14ac:dyDescent="0.25">
      <c r="A615" s="364" t="s">
        <v>191</v>
      </c>
      <c r="B615" s="365" t="s">
        <v>187</v>
      </c>
      <c r="C615" s="365" t="s">
        <v>158</v>
      </c>
      <c r="D615" s="365" t="s">
        <v>786</v>
      </c>
      <c r="E615" s="365" t="s">
        <v>192</v>
      </c>
      <c r="F615" s="311">
        <f>F616</f>
        <v>0</v>
      </c>
      <c r="G615" s="363"/>
      <c r="H615" s="363"/>
      <c r="I615" s="363"/>
      <c r="J615" s="363"/>
      <c r="K615" s="363"/>
    </row>
    <row r="616" spans="1:11" s="131" customFormat="1" ht="15" hidden="1" customHeight="1" x14ac:dyDescent="0.25">
      <c r="A616" s="364" t="s">
        <v>193</v>
      </c>
      <c r="B616" s="365" t="s">
        <v>187</v>
      </c>
      <c r="C616" s="365" t="s">
        <v>158</v>
      </c>
      <c r="D616" s="365" t="s">
        <v>786</v>
      </c>
      <c r="E616" s="365" t="s">
        <v>194</v>
      </c>
      <c r="F616" s="311">
        <f>'Пр.4 ведом.22'!G714</f>
        <v>0</v>
      </c>
      <c r="G616" s="363"/>
      <c r="H616" s="363"/>
      <c r="I616" s="363"/>
      <c r="J616" s="363"/>
      <c r="K616" s="363"/>
    </row>
    <row r="617" spans="1:11" s="131" customFormat="1" ht="36.75" customHeight="1" x14ac:dyDescent="0.25">
      <c r="A617" s="39" t="s">
        <v>344</v>
      </c>
      <c r="B617" s="365" t="s">
        <v>187</v>
      </c>
      <c r="C617" s="365" t="s">
        <v>158</v>
      </c>
      <c r="D617" s="365" t="s">
        <v>774</v>
      </c>
      <c r="E617" s="365"/>
      <c r="F617" s="311">
        <f>F618</f>
        <v>2967</v>
      </c>
      <c r="G617" s="363"/>
      <c r="H617" s="363"/>
      <c r="I617" s="363"/>
      <c r="J617" s="363"/>
      <c r="K617" s="363"/>
    </row>
    <row r="618" spans="1:11" s="131" customFormat="1" ht="45.75" customHeight="1" x14ac:dyDescent="0.25">
      <c r="A618" s="22" t="s">
        <v>191</v>
      </c>
      <c r="B618" s="365" t="s">
        <v>187</v>
      </c>
      <c r="C618" s="365" t="s">
        <v>158</v>
      </c>
      <c r="D618" s="365" t="s">
        <v>774</v>
      </c>
      <c r="E618" s="365" t="s">
        <v>192</v>
      </c>
      <c r="F618" s="311">
        <f>F619</f>
        <v>2967</v>
      </c>
      <c r="G618" s="363"/>
      <c r="H618" s="363"/>
      <c r="I618" s="363"/>
      <c r="J618" s="363"/>
      <c r="K618" s="363"/>
    </row>
    <row r="619" spans="1:11" s="131" customFormat="1" ht="15" customHeight="1" x14ac:dyDescent="0.25">
      <c r="A619" s="111" t="s">
        <v>193</v>
      </c>
      <c r="B619" s="365" t="s">
        <v>187</v>
      </c>
      <c r="C619" s="365" t="s">
        <v>158</v>
      </c>
      <c r="D619" s="365" t="s">
        <v>774</v>
      </c>
      <c r="E619" s="365" t="s">
        <v>194</v>
      </c>
      <c r="F619" s="311">
        <f>'Пр.4 ведом.22'!G717</f>
        <v>2967</v>
      </c>
      <c r="G619" s="363"/>
      <c r="H619" s="363"/>
      <c r="I619" s="363"/>
      <c r="J619" s="363"/>
      <c r="K619" s="363"/>
    </row>
    <row r="620" spans="1:11" ht="35.450000000000003" customHeight="1" x14ac:dyDescent="0.25">
      <c r="A620" s="315" t="s">
        <v>1107</v>
      </c>
      <c r="B620" s="316" t="s">
        <v>187</v>
      </c>
      <c r="C620" s="316" t="s">
        <v>158</v>
      </c>
      <c r="D620" s="316" t="s">
        <v>776</v>
      </c>
      <c r="E620" s="316"/>
      <c r="F620" s="310">
        <f>F621</f>
        <v>5358.5099999999993</v>
      </c>
    </row>
    <row r="621" spans="1:11" s="131" customFormat="1" ht="31.5" x14ac:dyDescent="0.25">
      <c r="A621" s="364" t="s">
        <v>1108</v>
      </c>
      <c r="B621" s="365" t="s">
        <v>187</v>
      </c>
      <c r="C621" s="365" t="s">
        <v>158</v>
      </c>
      <c r="D621" s="365" t="s">
        <v>1109</v>
      </c>
      <c r="E621" s="365"/>
      <c r="F621" s="311">
        <f>F622</f>
        <v>5358.5099999999993</v>
      </c>
      <c r="G621" s="363"/>
      <c r="H621" s="363"/>
      <c r="I621" s="363"/>
      <c r="J621" s="363"/>
      <c r="K621" s="363"/>
    </row>
    <row r="622" spans="1:11" s="131" customFormat="1" ht="38.25" customHeight="1" x14ac:dyDescent="0.25">
      <c r="A622" s="364" t="s">
        <v>191</v>
      </c>
      <c r="B622" s="365" t="s">
        <v>187</v>
      </c>
      <c r="C622" s="365" t="s">
        <v>158</v>
      </c>
      <c r="D622" s="365" t="s">
        <v>1109</v>
      </c>
      <c r="E622" s="365" t="s">
        <v>192</v>
      </c>
      <c r="F622" s="311">
        <f>F623</f>
        <v>5358.5099999999993</v>
      </c>
      <c r="G622" s="363"/>
      <c r="H622" s="363"/>
      <c r="I622" s="363"/>
      <c r="J622" s="363"/>
      <c r="K622" s="363"/>
    </row>
    <row r="623" spans="1:11" s="131" customFormat="1" ht="14.25" customHeight="1" x14ac:dyDescent="0.25">
      <c r="A623" s="364" t="s">
        <v>193</v>
      </c>
      <c r="B623" s="365" t="s">
        <v>187</v>
      </c>
      <c r="C623" s="365" t="s">
        <v>158</v>
      </c>
      <c r="D623" s="365" t="s">
        <v>1109</v>
      </c>
      <c r="E623" s="365" t="s">
        <v>194</v>
      </c>
      <c r="F623" s="311">
        <f>'Пр.4 ведом.22'!G721</f>
        <v>5358.5099999999993</v>
      </c>
      <c r="G623" s="363"/>
      <c r="H623" s="363"/>
      <c r="I623" s="363"/>
      <c r="J623" s="363"/>
      <c r="K623" s="363"/>
    </row>
    <row r="624" spans="1:11" ht="32.25" hidden="1" customHeight="1" x14ac:dyDescent="0.25">
      <c r="A624" s="315" t="s">
        <v>508</v>
      </c>
      <c r="B624" s="316" t="s">
        <v>187</v>
      </c>
      <c r="C624" s="316" t="s">
        <v>158</v>
      </c>
      <c r="D624" s="316" t="s">
        <v>784</v>
      </c>
      <c r="E624" s="316"/>
      <c r="F624" s="310">
        <f>F625</f>
        <v>0</v>
      </c>
    </row>
    <row r="625" spans="1:11" ht="48.75" hidden="1" customHeight="1" x14ac:dyDescent="0.25">
      <c r="A625" s="364" t="s">
        <v>241</v>
      </c>
      <c r="B625" s="365" t="s">
        <v>187</v>
      </c>
      <c r="C625" s="365" t="s">
        <v>158</v>
      </c>
      <c r="D625" s="365" t="s">
        <v>785</v>
      </c>
      <c r="E625" s="365"/>
      <c r="F625" s="311">
        <f>F626</f>
        <v>0</v>
      </c>
    </row>
    <row r="626" spans="1:11" ht="37.5" hidden="1" customHeight="1" x14ac:dyDescent="0.25">
      <c r="A626" s="364" t="s">
        <v>191</v>
      </c>
      <c r="B626" s="365" t="s">
        <v>187</v>
      </c>
      <c r="C626" s="365" t="s">
        <v>158</v>
      </c>
      <c r="D626" s="365" t="s">
        <v>785</v>
      </c>
      <c r="E626" s="365" t="s">
        <v>192</v>
      </c>
      <c r="F626" s="311">
        <f>F627</f>
        <v>0</v>
      </c>
    </row>
    <row r="627" spans="1:11" ht="15" hidden="1" customHeight="1" x14ac:dyDescent="0.25">
      <c r="A627" s="364" t="s">
        <v>193</v>
      </c>
      <c r="B627" s="365" t="s">
        <v>187</v>
      </c>
      <c r="C627" s="365" t="s">
        <v>158</v>
      </c>
      <c r="D627" s="365" t="s">
        <v>785</v>
      </c>
      <c r="E627" s="365" t="s">
        <v>194</v>
      </c>
      <c r="F627" s="311">
        <f>'Пр.4 ведом.22'!G725</f>
        <v>0</v>
      </c>
    </row>
    <row r="628" spans="1:11" ht="31.7" hidden="1" customHeight="1" x14ac:dyDescent="0.25">
      <c r="A628" s="143" t="s">
        <v>509</v>
      </c>
      <c r="B628" s="316" t="s">
        <v>187</v>
      </c>
      <c r="C628" s="316" t="s">
        <v>158</v>
      </c>
      <c r="D628" s="316" t="s">
        <v>787</v>
      </c>
      <c r="E628" s="316"/>
      <c r="F628" s="310">
        <f>F629</f>
        <v>0</v>
      </c>
    </row>
    <row r="629" spans="1:11" ht="51" hidden="1" customHeight="1" x14ac:dyDescent="0.25">
      <c r="A629" s="111" t="s">
        <v>405</v>
      </c>
      <c r="B629" s="365" t="s">
        <v>187</v>
      </c>
      <c r="C629" s="365" t="s">
        <v>158</v>
      </c>
      <c r="D629" s="365" t="s">
        <v>914</v>
      </c>
      <c r="E629" s="365"/>
      <c r="F629" s="311">
        <f t="shared" ref="F629" si="72">F630</f>
        <v>0</v>
      </c>
    </row>
    <row r="630" spans="1:11" ht="33" hidden="1" customHeight="1" x14ac:dyDescent="0.25">
      <c r="A630" s="24" t="s">
        <v>191</v>
      </c>
      <c r="B630" s="365" t="s">
        <v>187</v>
      </c>
      <c r="C630" s="365" t="s">
        <v>158</v>
      </c>
      <c r="D630" s="365" t="s">
        <v>914</v>
      </c>
      <c r="E630" s="365" t="s">
        <v>192</v>
      </c>
      <c r="F630" s="311">
        <f>F631</f>
        <v>0</v>
      </c>
    </row>
    <row r="631" spans="1:11" ht="15.75" hidden="1" x14ac:dyDescent="0.25">
      <c r="A631" s="24" t="s">
        <v>193</v>
      </c>
      <c r="B631" s="365" t="s">
        <v>187</v>
      </c>
      <c r="C631" s="365" t="s">
        <v>158</v>
      </c>
      <c r="D631" s="365" t="s">
        <v>914</v>
      </c>
      <c r="E631" s="365" t="s">
        <v>194</v>
      </c>
      <c r="F631" s="311">
        <f>'Пр.4 ведом.22'!G729</f>
        <v>0</v>
      </c>
    </row>
    <row r="632" spans="1:11" s="131" customFormat="1" ht="31.5" x14ac:dyDescent="0.25">
      <c r="A632" s="201" t="s">
        <v>899</v>
      </c>
      <c r="B632" s="316" t="s">
        <v>187</v>
      </c>
      <c r="C632" s="316" t="s">
        <v>158</v>
      </c>
      <c r="D632" s="316" t="s">
        <v>898</v>
      </c>
      <c r="E632" s="316"/>
      <c r="F632" s="314">
        <f>F633</f>
        <v>5584.6</v>
      </c>
      <c r="G632" s="363"/>
      <c r="H632" s="363"/>
      <c r="I632" s="363"/>
      <c r="J632" s="363"/>
      <c r="K632" s="363"/>
    </row>
    <row r="633" spans="1:11" ht="63" x14ac:dyDescent="0.25">
      <c r="A633" s="200" t="s">
        <v>885</v>
      </c>
      <c r="B633" s="365" t="s">
        <v>187</v>
      </c>
      <c r="C633" s="365" t="s">
        <v>158</v>
      </c>
      <c r="D633" s="365" t="s">
        <v>936</v>
      </c>
      <c r="E633" s="365"/>
      <c r="F633" s="318">
        <f>F634</f>
        <v>5584.6</v>
      </c>
    </row>
    <row r="634" spans="1:11" ht="31.5" x14ac:dyDescent="0.25">
      <c r="A634" s="24" t="s">
        <v>191</v>
      </c>
      <c r="B634" s="365" t="s">
        <v>187</v>
      </c>
      <c r="C634" s="365" t="s">
        <v>158</v>
      </c>
      <c r="D634" s="365" t="s">
        <v>936</v>
      </c>
      <c r="E634" s="365" t="s">
        <v>192</v>
      </c>
      <c r="F634" s="318">
        <f>F635</f>
        <v>5584.6</v>
      </c>
    </row>
    <row r="635" spans="1:11" ht="15.75" x14ac:dyDescent="0.25">
      <c r="A635" s="24" t="s">
        <v>193</v>
      </c>
      <c r="B635" s="365" t="s">
        <v>187</v>
      </c>
      <c r="C635" s="365" t="s">
        <v>158</v>
      </c>
      <c r="D635" s="365" t="s">
        <v>936</v>
      </c>
      <c r="E635" s="365" t="s">
        <v>194</v>
      </c>
      <c r="F635" s="318">
        <f>'Пр.4 ведом.22'!G733</f>
        <v>5584.6</v>
      </c>
    </row>
    <row r="636" spans="1:11" s="131" customFormat="1" ht="31.5" hidden="1" x14ac:dyDescent="0.25">
      <c r="A636" s="201" t="s">
        <v>916</v>
      </c>
      <c r="B636" s="316" t="s">
        <v>187</v>
      </c>
      <c r="C636" s="316" t="s">
        <v>158</v>
      </c>
      <c r="D636" s="316" t="s">
        <v>904</v>
      </c>
      <c r="E636" s="316"/>
      <c r="F636" s="314">
        <f>F637</f>
        <v>0</v>
      </c>
      <c r="G636" s="363"/>
      <c r="H636" s="363"/>
      <c r="I636" s="363"/>
      <c r="J636" s="363"/>
      <c r="K636" s="363"/>
    </row>
    <row r="637" spans="1:11" s="131" customFormat="1" ht="31.5" hidden="1" x14ac:dyDescent="0.25">
      <c r="A637" s="200" t="s">
        <v>905</v>
      </c>
      <c r="B637" s="365" t="s">
        <v>187</v>
      </c>
      <c r="C637" s="365" t="s">
        <v>158</v>
      </c>
      <c r="D637" s="365" t="s">
        <v>907</v>
      </c>
      <c r="E637" s="365"/>
      <c r="F637" s="318">
        <f>F638</f>
        <v>0</v>
      </c>
      <c r="G637" s="363"/>
      <c r="H637" s="363"/>
      <c r="I637" s="363"/>
      <c r="J637" s="363"/>
      <c r="K637" s="363"/>
    </row>
    <row r="638" spans="1:11" s="131" customFormat="1" ht="31.5" hidden="1" x14ac:dyDescent="0.25">
      <c r="A638" s="24" t="s">
        <v>191</v>
      </c>
      <c r="B638" s="365" t="s">
        <v>187</v>
      </c>
      <c r="C638" s="365" t="s">
        <v>158</v>
      </c>
      <c r="D638" s="365" t="s">
        <v>907</v>
      </c>
      <c r="E638" s="365" t="s">
        <v>192</v>
      </c>
      <c r="F638" s="318">
        <f>F639</f>
        <v>0</v>
      </c>
      <c r="G638" s="363"/>
      <c r="H638" s="363"/>
      <c r="I638" s="363"/>
      <c r="J638" s="363"/>
      <c r="K638" s="363"/>
    </row>
    <row r="639" spans="1:11" s="131" customFormat="1" ht="15.75" hidden="1" x14ac:dyDescent="0.25">
      <c r="A639" s="24" t="s">
        <v>193</v>
      </c>
      <c r="B639" s="365" t="s">
        <v>187</v>
      </c>
      <c r="C639" s="365" t="s">
        <v>158</v>
      </c>
      <c r="D639" s="365" t="s">
        <v>907</v>
      </c>
      <c r="E639" s="365" t="s">
        <v>194</v>
      </c>
      <c r="F639" s="318">
        <f>'Пр.4 ведом.22'!G737</f>
        <v>0</v>
      </c>
      <c r="G639" s="363"/>
      <c r="H639" s="363"/>
      <c r="I639" s="363"/>
      <c r="J639" s="363"/>
      <c r="K639" s="363"/>
    </row>
    <row r="640" spans="1:11" s="291" customFormat="1" ht="47.25" hidden="1" x14ac:dyDescent="0.25">
      <c r="A640" s="201" t="s">
        <v>1013</v>
      </c>
      <c r="B640" s="316" t="s">
        <v>187</v>
      </c>
      <c r="C640" s="316" t="s">
        <v>158</v>
      </c>
      <c r="D640" s="316" t="s">
        <v>1015</v>
      </c>
      <c r="E640" s="316"/>
      <c r="F640" s="314">
        <f>F641</f>
        <v>0</v>
      </c>
      <c r="G640" s="363"/>
      <c r="H640" s="363"/>
      <c r="I640" s="363"/>
      <c r="J640" s="363"/>
      <c r="K640" s="363"/>
    </row>
    <row r="641" spans="1:11" s="291" customFormat="1" ht="47.25" hidden="1" x14ac:dyDescent="0.25">
      <c r="A641" s="200" t="s">
        <v>243</v>
      </c>
      <c r="B641" s="365" t="s">
        <v>187</v>
      </c>
      <c r="C641" s="365" t="s">
        <v>158</v>
      </c>
      <c r="D641" s="365" t="s">
        <v>1015</v>
      </c>
      <c r="E641" s="365"/>
      <c r="F641" s="318">
        <f>F642</f>
        <v>0</v>
      </c>
      <c r="G641" s="363"/>
      <c r="H641" s="363"/>
      <c r="I641" s="363"/>
      <c r="J641" s="363"/>
      <c r="K641" s="363"/>
    </row>
    <row r="642" spans="1:11" s="291" customFormat="1" ht="31.5" hidden="1" x14ac:dyDescent="0.25">
      <c r="A642" s="24" t="s">
        <v>191</v>
      </c>
      <c r="B642" s="365" t="s">
        <v>187</v>
      </c>
      <c r="C642" s="365" t="s">
        <v>158</v>
      </c>
      <c r="D642" s="365" t="s">
        <v>1015</v>
      </c>
      <c r="E642" s="365" t="s">
        <v>192</v>
      </c>
      <c r="F642" s="318">
        <f>F643</f>
        <v>0</v>
      </c>
      <c r="G642" s="363"/>
      <c r="H642" s="363"/>
      <c r="I642" s="363"/>
      <c r="J642" s="363"/>
      <c r="K642" s="363"/>
    </row>
    <row r="643" spans="1:11" s="291" customFormat="1" ht="15.75" hidden="1" x14ac:dyDescent="0.25">
      <c r="A643" s="24" t="s">
        <v>193</v>
      </c>
      <c r="B643" s="365" t="s">
        <v>187</v>
      </c>
      <c r="C643" s="365" t="s">
        <v>158</v>
      </c>
      <c r="D643" s="365" t="s">
        <v>1015</v>
      </c>
      <c r="E643" s="365" t="s">
        <v>194</v>
      </c>
      <c r="F643" s="318">
        <f>'Пр.4 ведом.22'!G741</f>
        <v>0</v>
      </c>
      <c r="G643" s="363"/>
      <c r="H643" s="363"/>
      <c r="I643" s="363"/>
      <c r="J643" s="363"/>
      <c r="K643" s="363"/>
    </row>
    <row r="644" spans="1:11" s="291" customFormat="1" ht="31.5" hidden="1" x14ac:dyDescent="0.25">
      <c r="A644" s="201" t="s">
        <v>1024</v>
      </c>
      <c r="B644" s="316" t="s">
        <v>187</v>
      </c>
      <c r="C644" s="316" t="s">
        <v>158</v>
      </c>
      <c r="D644" s="316" t="s">
        <v>1026</v>
      </c>
      <c r="E644" s="316"/>
      <c r="F644" s="314">
        <f>F645</f>
        <v>0</v>
      </c>
      <c r="G644" s="363"/>
      <c r="H644" s="363"/>
      <c r="I644" s="363"/>
      <c r="J644" s="363"/>
      <c r="K644" s="363"/>
    </row>
    <row r="645" spans="1:11" s="291" customFormat="1" ht="31.5" hidden="1" x14ac:dyDescent="0.25">
      <c r="A645" s="200" t="s">
        <v>1025</v>
      </c>
      <c r="B645" s="365" t="s">
        <v>187</v>
      </c>
      <c r="C645" s="365" t="s">
        <v>158</v>
      </c>
      <c r="D645" s="365" t="s">
        <v>1027</v>
      </c>
      <c r="E645" s="365"/>
      <c r="F645" s="318">
        <f>F646</f>
        <v>0</v>
      </c>
      <c r="G645" s="363"/>
      <c r="H645" s="363"/>
      <c r="I645" s="363"/>
      <c r="J645" s="363"/>
      <c r="K645" s="363"/>
    </row>
    <row r="646" spans="1:11" s="291" customFormat="1" ht="31.5" hidden="1" x14ac:dyDescent="0.25">
      <c r="A646" s="24" t="s">
        <v>191</v>
      </c>
      <c r="B646" s="365" t="s">
        <v>187</v>
      </c>
      <c r="C646" s="365" t="s">
        <v>158</v>
      </c>
      <c r="D646" s="365" t="s">
        <v>1027</v>
      </c>
      <c r="E646" s="365" t="s">
        <v>192</v>
      </c>
      <c r="F646" s="318">
        <f>F647</f>
        <v>0</v>
      </c>
      <c r="G646" s="363"/>
      <c r="H646" s="363"/>
      <c r="I646" s="363"/>
      <c r="J646" s="363"/>
      <c r="K646" s="363"/>
    </row>
    <row r="647" spans="1:11" s="291" customFormat="1" ht="15.75" hidden="1" x14ac:dyDescent="0.25">
      <c r="A647" s="24" t="s">
        <v>193</v>
      </c>
      <c r="B647" s="365" t="s">
        <v>187</v>
      </c>
      <c r="C647" s="365" t="s">
        <v>158</v>
      </c>
      <c r="D647" s="365" t="s">
        <v>1027</v>
      </c>
      <c r="E647" s="365" t="s">
        <v>194</v>
      </c>
      <c r="F647" s="318">
        <f>'Пр.4 ведом.22'!G745</f>
        <v>0</v>
      </c>
      <c r="G647" s="363"/>
      <c r="H647" s="363"/>
      <c r="I647" s="363"/>
      <c r="J647" s="363"/>
      <c r="K647" s="363"/>
    </row>
    <row r="648" spans="1:11" s="131" customFormat="1" ht="47.25" hidden="1" x14ac:dyDescent="0.25">
      <c r="A648" s="143" t="s">
        <v>722</v>
      </c>
      <c r="B648" s="316" t="s">
        <v>187</v>
      </c>
      <c r="C648" s="316" t="s">
        <v>158</v>
      </c>
      <c r="D648" s="316" t="s">
        <v>828</v>
      </c>
      <c r="E648" s="316"/>
      <c r="F648" s="314">
        <f>F649</f>
        <v>0</v>
      </c>
      <c r="G648" s="363"/>
      <c r="H648" s="363"/>
      <c r="I648" s="363"/>
      <c r="J648" s="363"/>
      <c r="K648" s="363"/>
    </row>
    <row r="649" spans="1:11" s="131" customFormat="1" ht="66.599999999999994" hidden="1" customHeight="1" x14ac:dyDescent="0.25">
      <c r="A649" s="111" t="s">
        <v>971</v>
      </c>
      <c r="B649" s="365" t="s">
        <v>187</v>
      </c>
      <c r="C649" s="365" t="s">
        <v>158</v>
      </c>
      <c r="D649" s="365" t="s">
        <v>829</v>
      </c>
      <c r="E649" s="365"/>
      <c r="F649" s="318">
        <f>F650</f>
        <v>0</v>
      </c>
      <c r="G649" s="363"/>
      <c r="H649" s="363"/>
      <c r="I649" s="363"/>
      <c r="J649" s="363"/>
      <c r="K649" s="363"/>
    </row>
    <row r="650" spans="1:11" s="131" customFormat="1" ht="31.5" hidden="1" x14ac:dyDescent="0.25">
      <c r="A650" s="24" t="s">
        <v>191</v>
      </c>
      <c r="B650" s="365" t="s">
        <v>187</v>
      </c>
      <c r="C650" s="365" t="s">
        <v>158</v>
      </c>
      <c r="D650" s="365" t="s">
        <v>829</v>
      </c>
      <c r="E650" s="365" t="s">
        <v>192</v>
      </c>
      <c r="F650" s="318">
        <f>F651</f>
        <v>0</v>
      </c>
      <c r="G650" s="363"/>
      <c r="H650" s="363"/>
      <c r="I650" s="363"/>
      <c r="J650" s="363"/>
      <c r="K650" s="363"/>
    </row>
    <row r="651" spans="1:11" s="131" customFormat="1" ht="15.75" hidden="1" x14ac:dyDescent="0.25">
      <c r="A651" s="24" t="s">
        <v>193</v>
      </c>
      <c r="B651" s="365" t="s">
        <v>187</v>
      </c>
      <c r="C651" s="365" t="s">
        <v>158</v>
      </c>
      <c r="D651" s="365" t="s">
        <v>829</v>
      </c>
      <c r="E651" s="365" t="s">
        <v>194</v>
      </c>
      <c r="F651" s="318">
        <f>'Пр.4 ведом.22'!G749</f>
        <v>0</v>
      </c>
      <c r="G651" s="363"/>
      <c r="H651" s="363"/>
      <c r="I651" s="363"/>
      <c r="J651" s="363"/>
      <c r="K651" s="363"/>
    </row>
    <row r="652" spans="1:11" s="131" customFormat="1" ht="31.5" hidden="1" x14ac:dyDescent="0.25">
      <c r="A652" s="26" t="s">
        <v>950</v>
      </c>
      <c r="B652" s="316" t="s">
        <v>187</v>
      </c>
      <c r="C652" s="316" t="s">
        <v>158</v>
      </c>
      <c r="D652" s="316" t="s">
        <v>951</v>
      </c>
      <c r="E652" s="365"/>
      <c r="F652" s="314">
        <f>F653</f>
        <v>0</v>
      </c>
      <c r="G652" s="363"/>
      <c r="H652" s="363"/>
      <c r="I652" s="363"/>
      <c r="J652" s="363"/>
      <c r="K652" s="363"/>
    </row>
    <row r="653" spans="1:11" s="131" customFormat="1" ht="51" hidden="1" customHeight="1" x14ac:dyDescent="0.25">
      <c r="A653" s="24" t="s">
        <v>972</v>
      </c>
      <c r="B653" s="365" t="s">
        <v>187</v>
      </c>
      <c r="C653" s="365" t="s">
        <v>158</v>
      </c>
      <c r="D653" s="365" t="s">
        <v>952</v>
      </c>
      <c r="E653" s="365"/>
      <c r="F653" s="318">
        <f>F654</f>
        <v>0</v>
      </c>
      <c r="G653" s="363"/>
      <c r="H653" s="363"/>
      <c r="I653" s="363"/>
      <c r="J653" s="363"/>
      <c r="K653" s="363"/>
    </row>
    <row r="654" spans="1:11" s="131" customFormat="1" ht="31.5" hidden="1" x14ac:dyDescent="0.25">
      <c r="A654" s="24" t="s">
        <v>191</v>
      </c>
      <c r="B654" s="365" t="s">
        <v>187</v>
      </c>
      <c r="C654" s="365" t="s">
        <v>158</v>
      </c>
      <c r="D654" s="365" t="s">
        <v>952</v>
      </c>
      <c r="E654" s="365" t="s">
        <v>192</v>
      </c>
      <c r="F654" s="318">
        <f>F655</f>
        <v>0</v>
      </c>
      <c r="G654" s="363"/>
      <c r="H654" s="363"/>
      <c r="I654" s="363"/>
      <c r="J654" s="363"/>
      <c r="K654" s="363"/>
    </row>
    <row r="655" spans="1:11" s="131" customFormat="1" ht="15.75" hidden="1" x14ac:dyDescent="0.25">
      <c r="A655" s="24" t="s">
        <v>193</v>
      </c>
      <c r="B655" s="365" t="s">
        <v>187</v>
      </c>
      <c r="C655" s="365" t="s">
        <v>158</v>
      </c>
      <c r="D655" s="365" t="s">
        <v>952</v>
      </c>
      <c r="E655" s="365" t="s">
        <v>194</v>
      </c>
      <c r="F655" s="318">
        <f>'Пр.4 ведом.22'!G753</f>
        <v>0</v>
      </c>
      <c r="G655" s="363"/>
      <c r="H655" s="363"/>
      <c r="I655" s="363"/>
      <c r="J655" s="363"/>
      <c r="K655" s="363"/>
    </row>
    <row r="656" spans="1:11" s="362" customFormat="1" ht="31.5" x14ac:dyDescent="0.25">
      <c r="A656" s="26" t="s">
        <v>957</v>
      </c>
      <c r="B656" s="316" t="s">
        <v>187</v>
      </c>
      <c r="C656" s="316" t="s">
        <v>158</v>
      </c>
      <c r="D656" s="316" t="s">
        <v>955</v>
      </c>
      <c r="E656" s="316"/>
      <c r="F656" s="310">
        <f>F657</f>
        <v>1804</v>
      </c>
      <c r="G656" s="363"/>
      <c r="H656" s="363"/>
      <c r="I656" s="363"/>
      <c r="J656" s="363"/>
      <c r="K656" s="363"/>
    </row>
    <row r="657" spans="1:12" s="362" customFormat="1" ht="47.25" x14ac:dyDescent="0.25">
      <c r="A657" s="24" t="s">
        <v>1346</v>
      </c>
      <c r="B657" s="365" t="s">
        <v>187</v>
      </c>
      <c r="C657" s="365" t="s">
        <v>158</v>
      </c>
      <c r="D657" s="365" t="s">
        <v>956</v>
      </c>
      <c r="E657" s="365"/>
      <c r="F657" s="311">
        <f>F658</f>
        <v>1804</v>
      </c>
      <c r="G657" s="363"/>
      <c r="H657" s="363"/>
      <c r="I657" s="363"/>
      <c r="J657" s="363"/>
      <c r="K657" s="363"/>
    </row>
    <row r="658" spans="1:12" s="362" customFormat="1" ht="31.5" x14ac:dyDescent="0.25">
      <c r="A658" s="24" t="s">
        <v>191</v>
      </c>
      <c r="B658" s="365" t="s">
        <v>187</v>
      </c>
      <c r="C658" s="365" t="s">
        <v>158</v>
      </c>
      <c r="D658" s="365" t="s">
        <v>956</v>
      </c>
      <c r="E658" s="365" t="s">
        <v>192</v>
      </c>
      <c r="F658" s="311">
        <f>F659</f>
        <v>1804</v>
      </c>
      <c r="G658" s="363"/>
      <c r="H658" s="363"/>
      <c r="I658" s="363"/>
      <c r="J658" s="363"/>
      <c r="K658" s="363"/>
    </row>
    <row r="659" spans="1:12" s="362" customFormat="1" ht="15.75" x14ac:dyDescent="0.25">
      <c r="A659" s="24" t="s">
        <v>193</v>
      </c>
      <c r="B659" s="365" t="s">
        <v>187</v>
      </c>
      <c r="C659" s="365" t="s">
        <v>158</v>
      </c>
      <c r="D659" s="365" t="s">
        <v>956</v>
      </c>
      <c r="E659" s="365" t="s">
        <v>194</v>
      </c>
      <c r="F659" s="311">
        <f>'Пр.4 ведом.22'!G757</f>
        <v>1804</v>
      </c>
      <c r="G659" s="363"/>
      <c r="H659" s="363"/>
      <c r="I659" s="363"/>
      <c r="J659" s="363"/>
      <c r="K659" s="363"/>
    </row>
    <row r="660" spans="1:12" s="362" customFormat="1" ht="47.25" x14ac:dyDescent="0.25">
      <c r="A660" s="26" t="s">
        <v>859</v>
      </c>
      <c r="B660" s="316" t="s">
        <v>187</v>
      </c>
      <c r="C660" s="316" t="s">
        <v>158</v>
      </c>
      <c r="D660" s="316" t="s">
        <v>206</v>
      </c>
      <c r="E660" s="316"/>
      <c r="F660" s="310">
        <f>F661</f>
        <v>60</v>
      </c>
      <c r="G660" s="363"/>
      <c r="H660" s="363"/>
      <c r="I660" s="363"/>
      <c r="J660" s="363"/>
      <c r="K660" s="363"/>
    </row>
    <row r="661" spans="1:12" s="362" customFormat="1" ht="63" x14ac:dyDescent="0.25">
      <c r="A661" s="26" t="s">
        <v>587</v>
      </c>
      <c r="B661" s="316" t="s">
        <v>187</v>
      </c>
      <c r="C661" s="316" t="s">
        <v>158</v>
      </c>
      <c r="D661" s="316" t="s">
        <v>504</v>
      </c>
      <c r="E661" s="316"/>
      <c r="F661" s="310">
        <f>F662</f>
        <v>60</v>
      </c>
      <c r="G661" s="363"/>
      <c r="H661" s="363"/>
      <c r="I661" s="363"/>
      <c r="J661" s="363"/>
      <c r="K661" s="363"/>
    </row>
    <row r="662" spans="1:12" s="362" customFormat="1" ht="47.25" x14ac:dyDescent="0.25">
      <c r="A662" s="24" t="s">
        <v>635</v>
      </c>
      <c r="B662" s="365" t="s">
        <v>187</v>
      </c>
      <c r="C662" s="365" t="s">
        <v>158</v>
      </c>
      <c r="D662" s="365" t="s">
        <v>505</v>
      </c>
      <c r="E662" s="365"/>
      <c r="F662" s="311">
        <f>F663</f>
        <v>60</v>
      </c>
      <c r="G662" s="363"/>
      <c r="H662" s="363"/>
      <c r="I662" s="363"/>
      <c r="J662" s="363"/>
      <c r="K662" s="363"/>
    </row>
    <row r="663" spans="1:12" s="362" customFormat="1" ht="31.5" x14ac:dyDescent="0.25">
      <c r="A663" s="24" t="s">
        <v>191</v>
      </c>
      <c r="B663" s="365" t="s">
        <v>187</v>
      </c>
      <c r="C663" s="365" t="s">
        <v>158</v>
      </c>
      <c r="D663" s="365" t="s">
        <v>505</v>
      </c>
      <c r="E663" s="365" t="s">
        <v>192</v>
      </c>
      <c r="F663" s="311">
        <f>F664</f>
        <v>60</v>
      </c>
      <c r="G663" s="363"/>
      <c r="H663" s="363"/>
      <c r="I663" s="363"/>
      <c r="J663" s="363"/>
      <c r="K663" s="363"/>
    </row>
    <row r="664" spans="1:12" s="362" customFormat="1" ht="15.75" x14ac:dyDescent="0.25">
      <c r="A664" s="24" t="s">
        <v>193</v>
      </c>
      <c r="B664" s="365" t="s">
        <v>187</v>
      </c>
      <c r="C664" s="365" t="s">
        <v>158</v>
      </c>
      <c r="D664" s="365" t="s">
        <v>505</v>
      </c>
      <c r="E664" s="365" t="s">
        <v>194</v>
      </c>
      <c r="F664" s="311">
        <f>'Пр.4 ведом.22'!G762</f>
        <v>60</v>
      </c>
      <c r="G664" s="363"/>
      <c r="H664" s="363"/>
      <c r="I664" s="363"/>
      <c r="J664" s="363"/>
      <c r="K664" s="363"/>
    </row>
    <row r="665" spans="1:12" ht="47.25" x14ac:dyDescent="0.25">
      <c r="A665" s="359" t="s">
        <v>855</v>
      </c>
      <c r="B665" s="316" t="s">
        <v>187</v>
      </c>
      <c r="C665" s="316" t="s">
        <v>158</v>
      </c>
      <c r="D665" s="316" t="s">
        <v>339</v>
      </c>
      <c r="E665" s="323"/>
      <c r="F665" s="310">
        <f t="shared" ref="F665:F666" si="73">F666</f>
        <v>870.84</v>
      </c>
    </row>
    <row r="666" spans="1:12" ht="47.25" x14ac:dyDescent="0.25">
      <c r="A666" s="359" t="s">
        <v>463</v>
      </c>
      <c r="B666" s="316" t="s">
        <v>187</v>
      </c>
      <c r="C666" s="316" t="s">
        <v>158</v>
      </c>
      <c r="D666" s="316" t="s">
        <v>461</v>
      </c>
      <c r="E666" s="323"/>
      <c r="F666" s="310">
        <f t="shared" si="73"/>
        <v>870.84</v>
      </c>
    </row>
    <row r="667" spans="1:12" ht="47.25" x14ac:dyDescent="0.25">
      <c r="A667" s="70" t="s">
        <v>359</v>
      </c>
      <c r="B667" s="365" t="s">
        <v>187</v>
      </c>
      <c r="C667" s="365" t="s">
        <v>158</v>
      </c>
      <c r="D667" s="365" t="s">
        <v>506</v>
      </c>
      <c r="E667" s="319"/>
      <c r="F667" s="311">
        <f>F668</f>
        <v>870.84</v>
      </c>
    </row>
    <row r="668" spans="1:12" ht="36.75" customHeight="1" x14ac:dyDescent="0.25">
      <c r="A668" s="22" t="s">
        <v>191</v>
      </c>
      <c r="B668" s="365" t="s">
        <v>187</v>
      </c>
      <c r="C668" s="365" t="s">
        <v>158</v>
      </c>
      <c r="D668" s="365" t="s">
        <v>506</v>
      </c>
      <c r="E668" s="319" t="s">
        <v>192</v>
      </c>
      <c r="F668" s="311">
        <f t="shared" ref="F668" si="74">F669</f>
        <v>870.84</v>
      </c>
    </row>
    <row r="669" spans="1:12" ht="15.75" x14ac:dyDescent="0.25">
      <c r="A669" s="111" t="s">
        <v>193</v>
      </c>
      <c r="B669" s="365" t="s">
        <v>187</v>
      </c>
      <c r="C669" s="365" t="s">
        <v>158</v>
      </c>
      <c r="D669" s="365" t="s">
        <v>506</v>
      </c>
      <c r="E669" s="319" t="s">
        <v>194</v>
      </c>
      <c r="F669" s="311">
        <f>'Пр.4 ведом.22'!G767</f>
        <v>870.84</v>
      </c>
    </row>
    <row r="670" spans="1:12" ht="15.75" x14ac:dyDescent="0.25">
      <c r="A670" s="359" t="s">
        <v>188</v>
      </c>
      <c r="B670" s="7" t="s">
        <v>187</v>
      </c>
      <c r="C670" s="7" t="s">
        <v>159</v>
      </c>
      <c r="D670" s="316"/>
      <c r="E670" s="7"/>
      <c r="F670" s="310">
        <f>F671+F698+F735+F730</f>
        <v>62022.54</v>
      </c>
    </row>
    <row r="671" spans="1:12" ht="39.75" customHeight="1" x14ac:dyDescent="0.25">
      <c r="A671" s="315" t="s">
        <v>860</v>
      </c>
      <c r="B671" s="316" t="s">
        <v>187</v>
      </c>
      <c r="C671" s="316" t="s">
        <v>159</v>
      </c>
      <c r="D671" s="316" t="s">
        <v>237</v>
      </c>
      <c r="E671" s="316"/>
      <c r="F671" s="310">
        <f>F672+F679+F690+F694</f>
        <v>41472.58</v>
      </c>
      <c r="G671" s="74"/>
      <c r="L671" s="16"/>
    </row>
    <row r="672" spans="1:12" ht="31.5" x14ac:dyDescent="0.25">
      <c r="A672" s="315" t="s">
        <v>507</v>
      </c>
      <c r="B672" s="316" t="s">
        <v>187</v>
      </c>
      <c r="C672" s="316" t="s">
        <v>159</v>
      </c>
      <c r="D672" s="316" t="s">
        <v>766</v>
      </c>
      <c r="E672" s="316"/>
      <c r="F672" s="310">
        <f>F673+F676</f>
        <v>37028.080000000002</v>
      </c>
    </row>
    <row r="673" spans="1:11" ht="47.25" x14ac:dyDescent="0.25">
      <c r="A673" s="364" t="s">
        <v>190</v>
      </c>
      <c r="B673" s="365" t="s">
        <v>187</v>
      </c>
      <c r="C673" s="365" t="s">
        <v>159</v>
      </c>
      <c r="D673" s="365" t="s">
        <v>788</v>
      </c>
      <c r="E673" s="365"/>
      <c r="F673" s="311">
        <f t="shared" ref="F673" si="75">F674</f>
        <v>37028.080000000002</v>
      </c>
    </row>
    <row r="674" spans="1:11" ht="40.700000000000003" customHeight="1" x14ac:dyDescent="0.25">
      <c r="A674" s="364" t="s">
        <v>191</v>
      </c>
      <c r="B674" s="365" t="s">
        <v>187</v>
      </c>
      <c r="C674" s="365" t="s">
        <v>159</v>
      </c>
      <c r="D674" s="365" t="s">
        <v>788</v>
      </c>
      <c r="E674" s="365" t="s">
        <v>192</v>
      </c>
      <c r="F674" s="311">
        <f>'Пр.4 ведом.22'!G773</f>
        <v>37028.080000000002</v>
      </c>
    </row>
    <row r="675" spans="1:11" ht="15.75" x14ac:dyDescent="0.25">
      <c r="A675" s="364" t="s">
        <v>193</v>
      </c>
      <c r="B675" s="365" t="s">
        <v>187</v>
      </c>
      <c r="C675" s="365" t="s">
        <v>159</v>
      </c>
      <c r="D675" s="365" t="s">
        <v>788</v>
      </c>
      <c r="E675" s="365" t="s">
        <v>194</v>
      </c>
      <c r="F675" s="311">
        <f>'Пр.4 ведом.22'!G773</f>
        <v>37028.080000000002</v>
      </c>
    </row>
    <row r="676" spans="1:11" s="131" customFormat="1" ht="31.5" hidden="1" x14ac:dyDescent="0.25">
      <c r="A676" s="24" t="s">
        <v>968</v>
      </c>
      <c r="B676" s="365" t="s">
        <v>187</v>
      </c>
      <c r="C676" s="365" t="s">
        <v>159</v>
      </c>
      <c r="D676" s="365" t="s">
        <v>967</v>
      </c>
      <c r="E676" s="365"/>
      <c r="F676" s="311">
        <f>F677</f>
        <v>0</v>
      </c>
      <c r="G676" s="363"/>
      <c r="H676" s="363"/>
      <c r="I676" s="363"/>
      <c r="J676" s="363"/>
      <c r="K676" s="363"/>
    </row>
    <row r="677" spans="1:11" s="131" customFormat="1" ht="31.5" hidden="1" x14ac:dyDescent="0.25">
      <c r="A677" s="364" t="s">
        <v>191</v>
      </c>
      <c r="B677" s="365" t="s">
        <v>187</v>
      </c>
      <c r="C677" s="365" t="s">
        <v>159</v>
      </c>
      <c r="D677" s="365" t="s">
        <v>967</v>
      </c>
      <c r="E677" s="365" t="s">
        <v>192</v>
      </c>
      <c r="F677" s="311">
        <f>F678</f>
        <v>0</v>
      </c>
      <c r="G677" s="363"/>
      <c r="H677" s="363"/>
      <c r="I677" s="363"/>
      <c r="J677" s="363"/>
      <c r="K677" s="363"/>
    </row>
    <row r="678" spans="1:11" s="131" customFormat="1" ht="15.75" hidden="1" x14ac:dyDescent="0.25">
      <c r="A678" s="24" t="s">
        <v>193</v>
      </c>
      <c r="B678" s="365" t="s">
        <v>187</v>
      </c>
      <c r="C678" s="365" t="s">
        <v>159</v>
      </c>
      <c r="D678" s="365" t="s">
        <v>967</v>
      </c>
      <c r="E678" s="365" t="s">
        <v>192</v>
      </c>
      <c r="F678" s="311">
        <f>'Пр.4 ведом.22'!G776</f>
        <v>0</v>
      </c>
      <c r="G678" s="363"/>
      <c r="H678" s="363"/>
      <c r="I678" s="363"/>
      <c r="J678" s="363"/>
      <c r="K678" s="363"/>
    </row>
    <row r="679" spans="1:11" ht="47.25" x14ac:dyDescent="0.25">
      <c r="A679" s="315" t="s">
        <v>471</v>
      </c>
      <c r="B679" s="316" t="s">
        <v>187</v>
      </c>
      <c r="C679" s="316" t="s">
        <v>159</v>
      </c>
      <c r="D679" s="316" t="s">
        <v>768</v>
      </c>
      <c r="E679" s="316"/>
      <c r="F679" s="310">
        <f>F680+F683</f>
        <v>2239.6</v>
      </c>
    </row>
    <row r="680" spans="1:11" s="131" customFormat="1" ht="94.5" x14ac:dyDescent="0.25">
      <c r="A680" s="24" t="s">
        <v>200</v>
      </c>
      <c r="B680" s="365" t="s">
        <v>187</v>
      </c>
      <c r="C680" s="365" t="s">
        <v>159</v>
      </c>
      <c r="D680" s="365" t="s">
        <v>884</v>
      </c>
      <c r="E680" s="365"/>
      <c r="F680" s="311">
        <f>F681</f>
        <v>1480</v>
      </c>
      <c r="G680" s="363"/>
      <c r="H680" s="363"/>
      <c r="I680" s="363"/>
      <c r="J680" s="363"/>
      <c r="K680" s="363"/>
    </row>
    <row r="681" spans="1:11" s="131" customFormat="1" ht="31.5" x14ac:dyDescent="0.25">
      <c r="A681" s="364" t="s">
        <v>191</v>
      </c>
      <c r="B681" s="365" t="s">
        <v>187</v>
      </c>
      <c r="C681" s="365" t="s">
        <v>159</v>
      </c>
      <c r="D681" s="365" t="s">
        <v>884</v>
      </c>
      <c r="E681" s="365" t="s">
        <v>192</v>
      </c>
      <c r="F681" s="311">
        <f t="shared" ref="F681" si="76">F682</f>
        <v>1480</v>
      </c>
      <c r="G681" s="363"/>
      <c r="H681" s="363"/>
      <c r="I681" s="363"/>
      <c r="J681" s="363"/>
      <c r="K681" s="363"/>
    </row>
    <row r="682" spans="1:11" s="131" customFormat="1" ht="15.75" x14ac:dyDescent="0.25">
      <c r="A682" s="364" t="s">
        <v>193</v>
      </c>
      <c r="B682" s="365" t="s">
        <v>187</v>
      </c>
      <c r="C682" s="365" t="s">
        <v>159</v>
      </c>
      <c r="D682" s="365" t="s">
        <v>884</v>
      </c>
      <c r="E682" s="365" t="s">
        <v>194</v>
      </c>
      <c r="F682" s="311">
        <f>'Пр.4 ведом.22'!G780</f>
        <v>1480</v>
      </c>
      <c r="G682" s="363"/>
      <c r="H682" s="363"/>
      <c r="I682" s="363"/>
      <c r="J682" s="363"/>
      <c r="K682" s="363"/>
    </row>
    <row r="683" spans="1:11" ht="47.25" x14ac:dyDescent="0.25">
      <c r="A683" s="364" t="s">
        <v>1147</v>
      </c>
      <c r="B683" s="365" t="s">
        <v>187</v>
      </c>
      <c r="C683" s="365" t="s">
        <v>159</v>
      </c>
      <c r="D683" s="365" t="s">
        <v>1148</v>
      </c>
      <c r="E683" s="365"/>
      <c r="F683" s="311">
        <f t="shared" ref="F683" si="77">F684</f>
        <v>759.59999999999991</v>
      </c>
    </row>
    <row r="684" spans="1:11" ht="31.5" x14ac:dyDescent="0.25">
      <c r="A684" s="364" t="s">
        <v>191</v>
      </c>
      <c r="B684" s="365" t="s">
        <v>187</v>
      </c>
      <c r="C684" s="365" t="s">
        <v>159</v>
      </c>
      <c r="D684" s="365" t="s">
        <v>1148</v>
      </c>
      <c r="E684" s="365" t="s">
        <v>192</v>
      </c>
      <c r="F684" s="311">
        <f>F685</f>
        <v>759.59999999999991</v>
      </c>
    </row>
    <row r="685" spans="1:11" ht="15.75" x14ac:dyDescent="0.25">
      <c r="A685" s="364" t="s">
        <v>193</v>
      </c>
      <c r="B685" s="365" t="s">
        <v>187</v>
      </c>
      <c r="C685" s="365" t="s">
        <v>159</v>
      </c>
      <c r="D685" s="365" t="s">
        <v>1148</v>
      </c>
      <c r="E685" s="365" t="s">
        <v>194</v>
      </c>
      <c r="F685" s="311">
        <f>'Пр.4 ведом.22'!G783</f>
        <v>759.59999999999991</v>
      </c>
    </row>
    <row r="686" spans="1:11" ht="31.7" hidden="1" customHeight="1" x14ac:dyDescent="0.25">
      <c r="A686" s="315" t="s">
        <v>782</v>
      </c>
      <c r="B686" s="316" t="s">
        <v>187</v>
      </c>
      <c r="C686" s="316" t="s">
        <v>159</v>
      </c>
      <c r="D686" s="316" t="s">
        <v>770</v>
      </c>
      <c r="E686" s="316"/>
      <c r="F686" s="310">
        <f>F687</f>
        <v>0</v>
      </c>
    </row>
    <row r="687" spans="1:11" ht="35.450000000000003" hidden="1" customHeight="1" x14ac:dyDescent="0.25">
      <c r="A687" s="31" t="s">
        <v>346</v>
      </c>
      <c r="B687" s="365" t="s">
        <v>187</v>
      </c>
      <c r="C687" s="365" t="s">
        <v>159</v>
      </c>
      <c r="D687" s="365" t="s">
        <v>835</v>
      </c>
      <c r="E687" s="365"/>
      <c r="F687" s="311">
        <f>F688</f>
        <v>0</v>
      </c>
    </row>
    <row r="688" spans="1:11" ht="39.75" hidden="1" customHeight="1" x14ac:dyDescent="0.25">
      <c r="A688" s="24" t="s">
        <v>191</v>
      </c>
      <c r="B688" s="365" t="s">
        <v>187</v>
      </c>
      <c r="C688" s="365" t="s">
        <v>159</v>
      </c>
      <c r="D688" s="365" t="s">
        <v>835</v>
      </c>
      <c r="E688" s="365" t="s">
        <v>192</v>
      </c>
      <c r="F688" s="311">
        <f>F689</f>
        <v>0</v>
      </c>
    </row>
    <row r="689" spans="1:11" ht="19.5" hidden="1" customHeight="1" x14ac:dyDescent="0.25">
      <c r="A689" s="24" t="s">
        <v>193</v>
      </c>
      <c r="B689" s="365" t="s">
        <v>187</v>
      </c>
      <c r="C689" s="365" t="s">
        <v>159</v>
      </c>
      <c r="D689" s="365" t="s">
        <v>835</v>
      </c>
      <c r="E689" s="365" t="s">
        <v>194</v>
      </c>
      <c r="F689" s="311">
        <f>'Пр.4 ведом.22'!G787</f>
        <v>0</v>
      </c>
    </row>
    <row r="690" spans="1:11" ht="33" customHeight="1" x14ac:dyDescent="0.25">
      <c r="A690" s="145" t="s">
        <v>515</v>
      </c>
      <c r="B690" s="316" t="s">
        <v>187</v>
      </c>
      <c r="C690" s="316" t="s">
        <v>159</v>
      </c>
      <c r="D690" s="316" t="s">
        <v>773</v>
      </c>
      <c r="E690" s="316"/>
      <c r="F690" s="310">
        <f>F691</f>
        <v>1204</v>
      </c>
    </row>
    <row r="691" spans="1:11" ht="38.1" customHeight="1" x14ac:dyDescent="0.25">
      <c r="A691" s="31" t="s">
        <v>344</v>
      </c>
      <c r="B691" s="365" t="s">
        <v>187</v>
      </c>
      <c r="C691" s="365" t="s">
        <v>159</v>
      </c>
      <c r="D691" s="365" t="s">
        <v>774</v>
      </c>
      <c r="E691" s="365"/>
      <c r="F691" s="311">
        <f>F692</f>
        <v>1204</v>
      </c>
    </row>
    <row r="692" spans="1:11" ht="31.5" x14ac:dyDescent="0.25">
      <c r="A692" s="364" t="s">
        <v>191</v>
      </c>
      <c r="B692" s="365" t="s">
        <v>187</v>
      </c>
      <c r="C692" s="365" t="s">
        <v>159</v>
      </c>
      <c r="D692" s="365" t="s">
        <v>774</v>
      </c>
      <c r="E692" s="365" t="s">
        <v>192</v>
      </c>
      <c r="F692" s="311">
        <f t="shared" ref="F692" si="78">F693</f>
        <v>1204</v>
      </c>
    </row>
    <row r="693" spans="1:11" ht="15.75" x14ac:dyDescent="0.25">
      <c r="A693" s="24" t="s">
        <v>193</v>
      </c>
      <c r="B693" s="365" t="s">
        <v>187</v>
      </c>
      <c r="C693" s="365" t="s">
        <v>159</v>
      </c>
      <c r="D693" s="365" t="s">
        <v>774</v>
      </c>
      <c r="E693" s="365" t="s">
        <v>194</v>
      </c>
      <c r="F693" s="311">
        <f>'Пр.4 ведом.22'!G791</f>
        <v>1204</v>
      </c>
    </row>
    <row r="694" spans="1:11" s="362" customFormat="1" ht="47.25" x14ac:dyDescent="0.25">
      <c r="A694" s="26" t="s">
        <v>1092</v>
      </c>
      <c r="B694" s="316" t="s">
        <v>187</v>
      </c>
      <c r="C694" s="316" t="s">
        <v>159</v>
      </c>
      <c r="D694" s="316" t="s">
        <v>1093</v>
      </c>
      <c r="E694" s="316"/>
      <c r="F694" s="310">
        <f>F695</f>
        <v>1000.9</v>
      </c>
      <c r="G694" s="363"/>
      <c r="H694" s="363"/>
      <c r="I694" s="363"/>
      <c r="J694" s="363"/>
      <c r="K694" s="363"/>
    </row>
    <row r="695" spans="1:11" s="362" customFormat="1" ht="47.25" x14ac:dyDescent="0.25">
      <c r="A695" s="24" t="s">
        <v>1112</v>
      </c>
      <c r="B695" s="365" t="s">
        <v>187</v>
      </c>
      <c r="C695" s="365" t="s">
        <v>159</v>
      </c>
      <c r="D695" s="365" t="s">
        <v>1191</v>
      </c>
      <c r="E695" s="365"/>
      <c r="F695" s="311">
        <f>F696</f>
        <v>1000.9</v>
      </c>
      <c r="G695" s="363"/>
      <c r="H695" s="363"/>
      <c r="I695" s="363"/>
      <c r="J695" s="363"/>
      <c r="K695" s="363"/>
    </row>
    <row r="696" spans="1:11" s="362" customFormat="1" ht="31.5" x14ac:dyDescent="0.25">
      <c r="A696" s="364" t="s">
        <v>191</v>
      </c>
      <c r="B696" s="365" t="s">
        <v>187</v>
      </c>
      <c r="C696" s="365" t="s">
        <v>159</v>
      </c>
      <c r="D696" s="365" t="s">
        <v>1191</v>
      </c>
      <c r="E696" s="365" t="s">
        <v>192</v>
      </c>
      <c r="F696" s="311">
        <f>F697</f>
        <v>1000.9</v>
      </c>
      <c r="G696" s="363"/>
      <c r="H696" s="363"/>
      <c r="I696" s="363"/>
      <c r="J696" s="363"/>
      <c r="K696" s="363"/>
    </row>
    <row r="697" spans="1:11" s="362" customFormat="1" ht="18.600000000000001" customHeight="1" x14ac:dyDescent="0.25">
      <c r="A697" s="116" t="s">
        <v>1094</v>
      </c>
      <c r="B697" s="365" t="s">
        <v>187</v>
      </c>
      <c r="C697" s="365" t="s">
        <v>159</v>
      </c>
      <c r="D697" s="365" t="s">
        <v>1191</v>
      </c>
      <c r="E697" s="365" t="s">
        <v>1095</v>
      </c>
      <c r="F697" s="311">
        <f>'Пр.4 ведом.22'!G795</f>
        <v>1000.9</v>
      </c>
      <c r="G697" s="363"/>
      <c r="H697" s="363"/>
      <c r="I697" s="363"/>
      <c r="J697" s="363"/>
      <c r="K697" s="363"/>
    </row>
    <row r="698" spans="1:11" s="131" customFormat="1" ht="34.5" customHeight="1" x14ac:dyDescent="0.25">
      <c r="A698" s="315" t="s">
        <v>868</v>
      </c>
      <c r="B698" s="316" t="s">
        <v>187</v>
      </c>
      <c r="C698" s="316" t="s">
        <v>159</v>
      </c>
      <c r="D698" s="316" t="s">
        <v>189</v>
      </c>
      <c r="E698" s="316"/>
      <c r="F698" s="310">
        <f>F699+F710+F719+F723</f>
        <v>19750.659999999996</v>
      </c>
      <c r="G698" s="363"/>
      <c r="H698" s="363"/>
      <c r="I698" s="363"/>
      <c r="J698" s="363"/>
      <c r="K698" s="363"/>
    </row>
    <row r="699" spans="1:11" s="131" customFormat="1" ht="36" customHeight="1" x14ac:dyDescent="0.25">
      <c r="A699" s="315" t="s">
        <v>814</v>
      </c>
      <c r="B699" s="316" t="s">
        <v>187</v>
      </c>
      <c r="C699" s="316" t="s">
        <v>159</v>
      </c>
      <c r="D699" s="316" t="s">
        <v>743</v>
      </c>
      <c r="E699" s="316"/>
      <c r="F699" s="310">
        <f>F700+F707</f>
        <v>18740.359999999997</v>
      </c>
      <c r="G699" s="363"/>
      <c r="H699" s="363"/>
      <c r="I699" s="363"/>
      <c r="J699" s="363"/>
      <c r="K699" s="363"/>
    </row>
    <row r="700" spans="1:11" s="131" customFormat="1" ht="15.75" x14ac:dyDescent="0.25">
      <c r="A700" s="364" t="s">
        <v>378</v>
      </c>
      <c r="B700" s="365" t="s">
        <v>187</v>
      </c>
      <c r="C700" s="365" t="s">
        <v>159</v>
      </c>
      <c r="D700" s="365" t="s">
        <v>744</v>
      </c>
      <c r="E700" s="365"/>
      <c r="F700" s="311">
        <f>F701+F703+F705</f>
        <v>18740.359999999997</v>
      </c>
      <c r="G700" s="363"/>
      <c r="H700" s="363"/>
      <c r="I700" s="363"/>
      <c r="J700" s="363"/>
      <c r="K700" s="363"/>
    </row>
    <row r="701" spans="1:11" s="131" customFormat="1" ht="78.75" x14ac:dyDescent="0.25">
      <c r="A701" s="364" t="s">
        <v>119</v>
      </c>
      <c r="B701" s="365" t="s">
        <v>187</v>
      </c>
      <c r="C701" s="365" t="s">
        <v>159</v>
      </c>
      <c r="D701" s="365" t="s">
        <v>744</v>
      </c>
      <c r="E701" s="365" t="s">
        <v>120</v>
      </c>
      <c r="F701" s="311">
        <f>F702</f>
        <v>16693.199999999997</v>
      </c>
      <c r="G701" s="363"/>
      <c r="H701" s="363"/>
      <c r="I701" s="363"/>
      <c r="J701" s="363"/>
      <c r="K701" s="363"/>
    </row>
    <row r="702" spans="1:11" s="131" customFormat="1" ht="21.2" customHeight="1" x14ac:dyDescent="0.25">
      <c r="A702" s="32" t="s">
        <v>212</v>
      </c>
      <c r="B702" s="365" t="s">
        <v>187</v>
      </c>
      <c r="C702" s="365" t="s">
        <v>159</v>
      </c>
      <c r="D702" s="365" t="s">
        <v>744</v>
      </c>
      <c r="E702" s="365" t="s">
        <v>156</v>
      </c>
      <c r="F702" s="311">
        <f>'Пр.4 ведом.22'!G308</f>
        <v>16693.199999999997</v>
      </c>
      <c r="G702" s="363"/>
      <c r="H702" s="363"/>
      <c r="I702" s="363"/>
      <c r="J702" s="363"/>
      <c r="K702" s="363"/>
    </row>
    <row r="703" spans="1:11" s="131" customFormat="1" ht="31.5" x14ac:dyDescent="0.25">
      <c r="A703" s="364" t="s">
        <v>123</v>
      </c>
      <c r="B703" s="365" t="s">
        <v>187</v>
      </c>
      <c r="C703" s="365" t="s">
        <v>159</v>
      </c>
      <c r="D703" s="365" t="s">
        <v>744</v>
      </c>
      <c r="E703" s="365" t="s">
        <v>124</v>
      </c>
      <c r="F703" s="311">
        <f>F704</f>
        <v>1974.16</v>
      </c>
      <c r="G703" s="363"/>
      <c r="H703" s="363"/>
      <c r="I703" s="363"/>
      <c r="J703" s="363"/>
      <c r="K703" s="363"/>
    </row>
    <row r="704" spans="1:11" s="131" customFormat="1" ht="31.5" x14ac:dyDescent="0.25">
      <c r="A704" s="364" t="s">
        <v>125</v>
      </c>
      <c r="B704" s="365" t="s">
        <v>187</v>
      </c>
      <c r="C704" s="365" t="s">
        <v>159</v>
      </c>
      <c r="D704" s="365" t="s">
        <v>744</v>
      </c>
      <c r="E704" s="365" t="s">
        <v>126</v>
      </c>
      <c r="F704" s="311">
        <f>'Пр.4 ведом.22'!G310</f>
        <v>1974.16</v>
      </c>
      <c r="G704" s="363"/>
      <c r="H704" s="363"/>
      <c r="I704" s="363"/>
      <c r="J704" s="363"/>
      <c r="K704" s="363"/>
    </row>
    <row r="705" spans="1:11" s="131" customFormat="1" ht="15.75" x14ac:dyDescent="0.25">
      <c r="A705" s="364" t="s">
        <v>127</v>
      </c>
      <c r="B705" s="365" t="s">
        <v>187</v>
      </c>
      <c r="C705" s="365" t="s">
        <v>159</v>
      </c>
      <c r="D705" s="365" t="s">
        <v>744</v>
      </c>
      <c r="E705" s="365" t="s">
        <v>134</v>
      </c>
      <c r="F705" s="311">
        <f>F706</f>
        <v>73</v>
      </c>
      <c r="G705" s="363"/>
      <c r="H705" s="363"/>
      <c r="I705" s="363"/>
      <c r="J705" s="363"/>
      <c r="K705" s="363"/>
    </row>
    <row r="706" spans="1:11" s="131" customFormat="1" ht="15.75" x14ac:dyDescent="0.25">
      <c r="A706" s="364" t="s">
        <v>338</v>
      </c>
      <c r="B706" s="365" t="s">
        <v>187</v>
      </c>
      <c r="C706" s="365" t="s">
        <v>159</v>
      </c>
      <c r="D706" s="365" t="s">
        <v>744</v>
      </c>
      <c r="E706" s="365" t="s">
        <v>130</v>
      </c>
      <c r="F706" s="311">
        <f>'Пр.4 ведом.22'!G312</f>
        <v>73</v>
      </c>
      <c r="G706" s="363"/>
      <c r="H706" s="363"/>
      <c r="I706" s="363"/>
      <c r="J706" s="363"/>
      <c r="K706" s="363"/>
    </row>
    <row r="707" spans="1:11" s="131" customFormat="1" ht="31.5" hidden="1" x14ac:dyDescent="0.25">
      <c r="A707" s="24" t="s">
        <v>968</v>
      </c>
      <c r="B707" s="365" t="s">
        <v>187</v>
      </c>
      <c r="C707" s="365" t="s">
        <v>159</v>
      </c>
      <c r="D707" s="365" t="s">
        <v>962</v>
      </c>
      <c r="E707" s="365"/>
      <c r="F707" s="311">
        <f>F708</f>
        <v>0</v>
      </c>
      <c r="G707" s="363"/>
      <c r="H707" s="363"/>
      <c r="I707" s="363"/>
      <c r="J707" s="363"/>
      <c r="K707" s="363"/>
    </row>
    <row r="708" spans="1:11" s="131" customFormat="1" ht="78.75" hidden="1" x14ac:dyDescent="0.25">
      <c r="A708" s="364" t="s">
        <v>119</v>
      </c>
      <c r="B708" s="365" t="s">
        <v>187</v>
      </c>
      <c r="C708" s="365" t="s">
        <v>159</v>
      </c>
      <c r="D708" s="365" t="s">
        <v>962</v>
      </c>
      <c r="E708" s="365" t="s">
        <v>120</v>
      </c>
      <c r="F708" s="311">
        <f>F709</f>
        <v>0</v>
      </c>
      <c r="G708" s="363"/>
      <c r="H708" s="363"/>
      <c r="I708" s="363"/>
      <c r="J708" s="363"/>
      <c r="K708" s="363"/>
    </row>
    <row r="709" spans="1:11" s="131" customFormat="1" ht="15.75" hidden="1" x14ac:dyDescent="0.25">
      <c r="A709" s="364" t="s">
        <v>155</v>
      </c>
      <c r="B709" s="365" t="s">
        <v>187</v>
      </c>
      <c r="C709" s="365" t="s">
        <v>159</v>
      </c>
      <c r="D709" s="365" t="s">
        <v>962</v>
      </c>
      <c r="E709" s="365" t="s">
        <v>156</v>
      </c>
      <c r="F709" s="311">
        <f>'Пр.4 ведом.22'!G315</f>
        <v>0</v>
      </c>
      <c r="G709" s="363"/>
      <c r="H709" s="363"/>
      <c r="I709" s="363"/>
      <c r="J709" s="363"/>
      <c r="K709" s="363"/>
    </row>
    <row r="710" spans="1:11" s="131" customFormat="1" ht="31.5" x14ac:dyDescent="0.25">
      <c r="A710" s="142" t="s">
        <v>817</v>
      </c>
      <c r="B710" s="316" t="s">
        <v>187</v>
      </c>
      <c r="C710" s="316" t="s">
        <v>159</v>
      </c>
      <c r="D710" s="316" t="s">
        <v>745</v>
      </c>
      <c r="E710" s="316"/>
      <c r="F710" s="310">
        <f>F711+F714</f>
        <v>292</v>
      </c>
      <c r="G710" s="363"/>
      <c r="H710" s="363"/>
      <c r="I710" s="363"/>
      <c r="J710" s="363"/>
      <c r="K710" s="363"/>
    </row>
    <row r="711" spans="1:11" s="131" customFormat="1" ht="31.5" x14ac:dyDescent="0.25">
      <c r="A711" s="123" t="s">
        <v>377</v>
      </c>
      <c r="B711" s="365" t="s">
        <v>187</v>
      </c>
      <c r="C711" s="365" t="s">
        <v>159</v>
      </c>
      <c r="D711" s="365" t="s">
        <v>746</v>
      </c>
      <c r="E711" s="365"/>
      <c r="F711" s="311">
        <f>F712</f>
        <v>42</v>
      </c>
      <c r="G711" s="363"/>
      <c r="H711" s="363"/>
      <c r="I711" s="363"/>
      <c r="J711" s="363"/>
      <c r="K711" s="363"/>
    </row>
    <row r="712" spans="1:11" s="131" customFormat="1" ht="20.25" customHeight="1" x14ac:dyDescent="0.25">
      <c r="A712" s="364" t="s">
        <v>177</v>
      </c>
      <c r="B712" s="365" t="s">
        <v>187</v>
      </c>
      <c r="C712" s="365" t="s">
        <v>159</v>
      </c>
      <c r="D712" s="365" t="s">
        <v>746</v>
      </c>
      <c r="E712" s="365" t="s">
        <v>178</v>
      </c>
      <c r="F712" s="311">
        <f>F713</f>
        <v>42</v>
      </c>
      <c r="G712" s="363"/>
      <c r="H712" s="363"/>
      <c r="I712" s="363"/>
      <c r="J712" s="363"/>
      <c r="K712" s="363"/>
    </row>
    <row r="713" spans="1:11" s="131" customFormat="1" ht="15.75" x14ac:dyDescent="0.25">
      <c r="A713" s="364" t="s">
        <v>398</v>
      </c>
      <c r="B713" s="365" t="s">
        <v>187</v>
      </c>
      <c r="C713" s="365" t="s">
        <v>159</v>
      </c>
      <c r="D713" s="365" t="s">
        <v>746</v>
      </c>
      <c r="E713" s="365" t="s">
        <v>397</v>
      </c>
      <c r="F713" s="311">
        <f>'Пр.4 ведом.22'!G319</f>
        <v>42</v>
      </c>
      <c r="G713" s="363"/>
      <c r="H713" s="363"/>
      <c r="I713" s="363"/>
      <c r="J713" s="363"/>
      <c r="K713" s="363"/>
    </row>
    <row r="714" spans="1:11" ht="31.5" x14ac:dyDescent="0.25">
      <c r="A714" s="24" t="s">
        <v>394</v>
      </c>
      <c r="B714" s="365" t="s">
        <v>187</v>
      </c>
      <c r="C714" s="365" t="s">
        <v>159</v>
      </c>
      <c r="D714" s="365" t="s">
        <v>747</v>
      </c>
      <c r="E714" s="365"/>
      <c r="F714" s="311">
        <f>F715+F717</f>
        <v>250</v>
      </c>
    </row>
    <row r="715" spans="1:11" ht="78.75" x14ac:dyDescent="0.25">
      <c r="A715" s="364" t="s">
        <v>119</v>
      </c>
      <c r="B715" s="365" t="s">
        <v>187</v>
      </c>
      <c r="C715" s="365" t="s">
        <v>159</v>
      </c>
      <c r="D715" s="365" t="s">
        <v>747</v>
      </c>
      <c r="E715" s="365" t="s">
        <v>120</v>
      </c>
      <c r="F715" s="311">
        <f>F716</f>
        <v>250</v>
      </c>
    </row>
    <row r="716" spans="1:11" s="131" customFormat="1" ht="18.75" customHeight="1" x14ac:dyDescent="0.25">
      <c r="A716" s="32" t="s">
        <v>212</v>
      </c>
      <c r="B716" s="365" t="s">
        <v>187</v>
      </c>
      <c r="C716" s="365" t="s">
        <v>159</v>
      </c>
      <c r="D716" s="365" t="s">
        <v>747</v>
      </c>
      <c r="E716" s="365" t="s">
        <v>156</v>
      </c>
      <c r="F716" s="311">
        <f>'Пр.4 ведом.22'!G322</f>
        <v>250</v>
      </c>
      <c r="G716" s="363"/>
      <c r="H716" s="363"/>
      <c r="I716" s="363"/>
      <c r="J716" s="363"/>
      <c r="K716" s="363"/>
    </row>
    <row r="717" spans="1:11" s="131" customFormat="1" ht="31.5" hidden="1" x14ac:dyDescent="0.25">
      <c r="A717" s="364" t="s">
        <v>123</v>
      </c>
      <c r="B717" s="365" t="s">
        <v>187</v>
      </c>
      <c r="C717" s="365" t="s">
        <v>159</v>
      </c>
      <c r="D717" s="365" t="s">
        <v>747</v>
      </c>
      <c r="E717" s="365" t="s">
        <v>124</v>
      </c>
      <c r="F717" s="311">
        <f>F718</f>
        <v>0</v>
      </c>
      <c r="G717" s="363"/>
      <c r="H717" s="363"/>
      <c r="I717" s="363"/>
      <c r="J717" s="363"/>
      <c r="K717" s="363"/>
    </row>
    <row r="718" spans="1:11" s="131" customFormat="1" ht="31.5" hidden="1" x14ac:dyDescent="0.25">
      <c r="A718" s="364" t="s">
        <v>125</v>
      </c>
      <c r="B718" s="365" t="s">
        <v>187</v>
      </c>
      <c r="C718" s="365" t="s">
        <v>159</v>
      </c>
      <c r="D718" s="365" t="s">
        <v>747</v>
      </c>
      <c r="E718" s="365" t="s">
        <v>126</v>
      </c>
      <c r="F718" s="311">
        <f>'Пр.4 ведом.22'!G324</f>
        <v>0</v>
      </c>
      <c r="G718" s="363"/>
      <c r="H718" s="363"/>
      <c r="I718" s="363"/>
      <c r="J718" s="363"/>
      <c r="K718" s="363"/>
    </row>
    <row r="719" spans="1:11" s="131" customFormat="1" ht="31.5" x14ac:dyDescent="0.25">
      <c r="A719" s="315" t="s">
        <v>514</v>
      </c>
      <c r="B719" s="316" t="s">
        <v>187</v>
      </c>
      <c r="C719" s="316" t="s">
        <v>159</v>
      </c>
      <c r="D719" s="316" t="s">
        <v>748</v>
      </c>
      <c r="E719" s="316"/>
      <c r="F719" s="310">
        <f>F720</f>
        <v>473</v>
      </c>
      <c r="G719" s="363"/>
      <c r="H719" s="363"/>
      <c r="I719" s="363"/>
      <c r="J719" s="363"/>
      <c r="K719" s="363"/>
    </row>
    <row r="720" spans="1:11" s="131" customFormat="1" ht="47.25" x14ac:dyDescent="0.25">
      <c r="A720" s="364" t="s">
        <v>416</v>
      </c>
      <c r="B720" s="365" t="s">
        <v>187</v>
      </c>
      <c r="C720" s="365" t="s">
        <v>159</v>
      </c>
      <c r="D720" s="365" t="s">
        <v>749</v>
      </c>
      <c r="E720" s="365"/>
      <c r="F720" s="311">
        <f>F721</f>
        <v>473</v>
      </c>
      <c r="G720" s="363"/>
      <c r="H720" s="363"/>
      <c r="I720" s="363"/>
      <c r="J720" s="363"/>
      <c r="K720" s="363"/>
    </row>
    <row r="721" spans="1:11" s="131" customFormat="1" ht="78.75" x14ac:dyDescent="0.25">
      <c r="A721" s="364" t="s">
        <v>119</v>
      </c>
      <c r="B721" s="365" t="s">
        <v>187</v>
      </c>
      <c r="C721" s="365" t="s">
        <v>159</v>
      </c>
      <c r="D721" s="365" t="s">
        <v>749</v>
      </c>
      <c r="E721" s="365" t="s">
        <v>120</v>
      </c>
      <c r="F721" s="311">
        <f>F722</f>
        <v>473</v>
      </c>
      <c r="G721" s="363"/>
      <c r="H721" s="363"/>
      <c r="I721" s="363"/>
      <c r="J721" s="363"/>
      <c r="K721" s="363"/>
    </row>
    <row r="722" spans="1:11" s="131" customFormat="1" ht="31.5" x14ac:dyDescent="0.25">
      <c r="A722" s="364" t="s">
        <v>121</v>
      </c>
      <c r="B722" s="365" t="s">
        <v>187</v>
      </c>
      <c r="C722" s="365" t="s">
        <v>159</v>
      </c>
      <c r="D722" s="365" t="s">
        <v>749</v>
      </c>
      <c r="E722" s="365" t="s">
        <v>156</v>
      </c>
      <c r="F722" s="311">
        <f>'Пр.4 ведом.22'!G328</f>
        <v>473</v>
      </c>
      <c r="G722" s="363"/>
      <c r="H722" s="363"/>
      <c r="I722" s="363"/>
      <c r="J722" s="363"/>
      <c r="K722" s="363"/>
    </row>
    <row r="723" spans="1:11" s="131" customFormat="1" ht="47.25" x14ac:dyDescent="0.25">
      <c r="A723" s="315" t="s">
        <v>471</v>
      </c>
      <c r="B723" s="316" t="s">
        <v>187</v>
      </c>
      <c r="C723" s="316" t="s">
        <v>159</v>
      </c>
      <c r="D723" s="316" t="s">
        <v>750</v>
      </c>
      <c r="E723" s="316"/>
      <c r="F723" s="310">
        <f>F724+F727</f>
        <v>245.29999999999998</v>
      </c>
      <c r="G723" s="363"/>
      <c r="H723" s="363"/>
      <c r="I723" s="363"/>
      <c r="J723" s="363"/>
      <c r="K723" s="363"/>
    </row>
    <row r="724" spans="1:11" s="131" customFormat="1" ht="94.5" x14ac:dyDescent="0.25">
      <c r="A724" s="24" t="s">
        <v>200</v>
      </c>
      <c r="B724" s="365" t="s">
        <v>187</v>
      </c>
      <c r="C724" s="365" t="s">
        <v>159</v>
      </c>
      <c r="D724" s="365" t="s">
        <v>897</v>
      </c>
      <c r="E724" s="365"/>
      <c r="F724" s="311">
        <f>F725</f>
        <v>0</v>
      </c>
      <c r="G724" s="363"/>
      <c r="H724" s="363"/>
      <c r="I724" s="363"/>
      <c r="J724" s="363"/>
      <c r="K724" s="363"/>
    </row>
    <row r="725" spans="1:11" s="131" customFormat="1" ht="78.75" x14ac:dyDescent="0.25">
      <c r="A725" s="364" t="s">
        <v>119</v>
      </c>
      <c r="B725" s="365" t="s">
        <v>187</v>
      </c>
      <c r="C725" s="365" t="s">
        <v>159</v>
      </c>
      <c r="D725" s="365" t="s">
        <v>897</v>
      </c>
      <c r="E725" s="365" t="s">
        <v>120</v>
      </c>
      <c r="F725" s="311">
        <f>F726</f>
        <v>0</v>
      </c>
      <c r="G725" s="363"/>
      <c r="H725" s="363"/>
      <c r="I725" s="363"/>
      <c r="J725" s="363"/>
      <c r="K725" s="363"/>
    </row>
    <row r="726" spans="1:11" s="131" customFormat="1" ht="22.7" customHeight="1" x14ac:dyDescent="0.25">
      <c r="A726" s="32" t="s">
        <v>212</v>
      </c>
      <c r="B726" s="365" t="s">
        <v>187</v>
      </c>
      <c r="C726" s="365" t="s">
        <v>159</v>
      </c>
      <c r="D726" s="365" t="s">
        <v>897</v>
      </c>
      <c r="E726" s="365" t="s">
        <v>156</v>
      </c>
      <c r="F726" s="311">
        <f>'Пр.4 ведом.22'!G332</f>
        <v>0</v>
      </c>
      <c r="G726" s="363"/>
      <c r="H726" s="363"/>
      <c r="I726" s="363"/>
      <c r="J726" s="363"/>
      <c r="K726" s="363"/>
    </row>
    <row r="727" spans="1:11" s="131" customFormat="1" ht="47.25" x14ac:dyDescent="0.25">
      <c r="A727" s="364" t="s">
        <v>1147</v>
      </c>
      <c r="B727" s="365" t="s">
        <v>187</v>
      </c>
      <c r="C727" s="365" t="s">
        <v>159</v>
      </c>
      <c r="D727" s="365" t="s">
        <v>1149</v>
      </c>
      <c r="E727" s="365"/>
      <c r="F727" s="311">
        <f>F728</f>
        <v>245.29999999999998</v>
      </c>
      <c r="G727" s="363"/>
      <c r="H727" s="363"/>
      <c r="I727" s="363"/>
      <c r="J727" s="363"/>
      <c r="K727" s="363"/>
    </row>
    <row r="728" spans="1:11" s="131" customFormat="1" ht="78.75" x14ac:dyDescent="0.25">
      <c r="A728" s="364" t="s">
        <v>119</v>
      </c>
      <c r="B728" s="365" t="s">
        <v>187</v>
      </c>
      <c r="C728" s="365" t="s">
        <v>159</v>
      </c>
      <c r="D728" s="365" t="s">
        <v>1149</v>
      </c>
      <c r="E728" s="365" t="s">
        <v>120</v>
      </c>
      <c r="F728" s="311">
        <f>F729</f>
        <v>245.29999999999998</v>
      </c>
      <c r="G728" s="363"/>
      <c r="H728" s="363"/>
      <c r="I728" s="363"/>
      <c r="J728" s="363"/>
      <c r="K728" s="363"/>
    </row>
    <row r="729" spans="1:11" s="131" customFormat="1" ht="21.2" customHeight="1" x14ac:dyDescent="0.25">
      <c r="A729" s="32" t="s">
        <v>212</v>
      </c>
      <c r="B729" s="365" t="s">
        <v>187</v>
      </c>
      <c r="C729" s="365" t="s">
        <v>159</v>
      </c>
      <c r="D729" s="365" t="s">
        <v>1149</v>
      </c>
      <c r="E729" s="365" t="s">
        <v>156</v>
      </c>
      <c r="F729" s="311">
        <f>'Пр.4 ведом.22'!G335</f>
        <v>245.29999999999998</v>
      </c>
      <c r="G729" s="363"/>
      <c r="H729" s="363"/>
      <c r="I729" s="363"/>
      <c r="J729" s="363"/>
      <c r="K729" s="363"/>
    </row>
    <row r="730" spans="1:11" s="131" customFormat="1" ht="45.75" customHeight="1" x14ac:dyDescent="0.25">
      <c r="A730" s="26" t="s">
        <v>859</v>
      </c>
      <c r="B730" s="316" t="s">
        <v>187</v>
      </c>
      <c r="C730" s="316" t="s">
        <v>159</v>
      </c>
      <c r="D730" s="316" t="s">
        <v>206</v>
      </c>
      <c r="E730" s="316"/>
      <c r="F730" s="314">
        <f>F732</f>
        <v>6</v>
      </c>
      <c r="G730" s="363"/>
      <c r="H730" s="363"/>
      <c r="I730" s="363"/>
      <c r="J730" s="363"/>
      <c r="K730" s="363"/>
    </row>
    <row r="731" spans="1:11" s="131" customFormat="1" ht="63.2" customHeight="1" x14ac:dyDescent="0.25">
      <c r="A731" s="26" t="s">
        <v>588</v>
      </c>
      <c r="B731" s="316" t="s">
        <v>187</v>
      </c>
      <c r="C731" s="316" t="s">
        <v>159</v>
      </c>
      <c r="D731" s="316" t="s">
        <v>504</v>
      </c>
      <c r="E731" s="316"/>
      <c r="F731" s="314">
        <f>F734</f>
        <v>6</v>
      </c>
      <c r="G731" s="363"/>
      <c r="H731" s="363"/>
      <c r="I731" s="363"/>
      <c r="J731" s="363"/>
      <c r="K731" s="363"/>
    </row>
    <row r="732" spans="1:11" s="131" customFormat="1" ht="51" customHeight="1" x14ac:dyDescent="0.25">
      <c r="A732" s="24" t="s">
        <v>634</v>
      </c>
      <c r="B732" s="365" t="s">
        <v>187</v>
      </c>
      <c r="C732" s="365" t="s">
        <v>159</v>
      </c>
      <c r="D732" s="365" t="s">
        <v>589</v>
      </c>
      <c r="E732" s="365"/>
      <c r="F732" s="318">
        <f>F733</f>
        <v>6</v>
      </c>
      <c r="G732" s="363"/>
      <c r="H732" s="363"/>
      <c r="I732" s="363"/>
      <c r="J732" s="363"/>
      <c r="K732" s="363"/>
    </row>
    <row r="733" spans="1:11" s="131" customFormat="1" ht="39.4" customHeight="1" x14ac:dyDescent="0.25">
      <c r="A733" s="364" t="s">
        <v>123</v>
      </c>
      <c r="B733" s="365" t="s">
        <v>187</v>
      </c>
      <c r="C733" s="365" t="s">
        <v>159</v>
      </c>
      <c r="D733" s="365" t="s">
        <v>589</v>
      </c>
      <c r="E733" s="365" t="s">
        <v>124</v>
      </c>
      <c r="F733" s="318">
        <f>F734</f>
        <v>6</v>
      </c>
      <c r="G733" s="363"/>
      <c r="H733" s="363"/>
      <c r="I733" s="363"/>
      <c r="J733" s="363"/>
      <c r="K733" s="363"/>
    </row>
    <row r="734" spans="1:11" s="131" customFormat="1" ht="35.450000000000003" customHeight="1" x14ac:dyDescent="0.25">
      <c r="A734" s="364" t="s">
        <v>125</v>
      </c>
      <c r="B734" s="365" t="s">
        <v>187</v>
      </c>
      <c r="C734" s="365" t="s">
        <v>159</v>
      </c>
      <c r="D734" s="365" t="s">
        <v>589</v>
      </c>
      <c r="E734" s="365" t="s">
        <v>126</v>
      </c>
      <c r="F734" s="318">
        <f>'Пр.4 ведом.22'!G340</f>
        <v>6</v>
      </c>
      <c r="G734" s="363"/>
      <c r="H734" s="363"/>
      <c r="I734" s="363"/>
      <c r="J734" s="363"/>
      <c r="K734" s="363"/>
    </row>
    <row r="735" spans="1:11" s="131" customFormat="1" ht="47.25" x14ac:dyDescent="0.25">
      <c r="A735" s="359" t="s">
        <v>855</v>
      </c>
      <c r="B735" s="316" t="s">
        <v>187</v>
      </c>
      <c r="C735" s="316" t="s">
        <v>159</v>
      </c>
      <c r="D735" s="316" t="s">
        <v>339</v>
      </c>
      <c r="E735" s="316"/>
      <c r="F735" s="310">
        <f>F736</f>
        <v>793.3</v>
      </c>
      <c r="G735" s="363"/>
      <c r="H735" s="363"/>
      <c r="I735" s="363"/>
      <c r="J735" s="363"/>
      <c r="K735" s="363"/>
    </row>
    <row r="736" spans="1:11" s="131" customFormat="1" ht="47.25" x14ac:dyDescent="0.25">
      <c r="A736" s="359" t="s">
        <v>463</v>
      </c>
      <c r="B736" s="316" t="s">
        <v>187</v>
      </c>
      <c r="C736" s="316" t="s">
        <v>159</v>
      </c>
      <c r="D736" s="316" t="s">
        <v>461</v>
      </c>
      <c r="E736" s="316"/>
      <c r="F736" s="310">
        <f>F737+F740</f>
        <v>793.3</v>
      </c>
      <c r="G736" s="363"/>
      <c r="H736" s="363"/>
      <c r="I736" s="363"/>
      <c r="J736" s="363"/>
      <c r="K736" s="363"/>
    </row>
    <row r="737" spans="1:11" s="131" customFormat="1" ht="35.450000000000003" customHeight="1" x14ac:dyDescent="0.25">
      <c r="A737" s="70" t="s">
        <v>567</v>
      </c>
      <c r="B737" s="365" t="s">
        <v>187</v>
      </c>
      <c r="C737" s="365" t="s">
        <v>159</v>
      </c>
      <c r="D737" s="365" t="s">
        <v>462</v>
      </c>
      <c r="E737" s="319"/>
      <c r="F737" s="311">
        <f>F738</f>
        <v>490.9</v>
      </c>
      <c r="G737" s="363"/>
      <c r="H737" s="363"/>
      <c r="I737" s="363"/>
      <c r="J737" s="363"/>
      <c r="K737" s="363"/>
    </row>
    <row r="738" spans="1:11" s="131" customFormat="1" ht="31.5" x14ac:dyDescent="0.25">
      <c r="A738" s="364" t="s">
        <v>123</v>
      </c>
      <c r="B738" s="365" t="s">
        <v>187</v>
      </c>
      <c r="C738" s="365" t="s">
        <v>159</v>
      </c>
      <c r="D738" s="365" t="s">
        <v>462</v>
      </c>
      <c r="E738" s="319" t="s">
        <v>124</v>
      </c>
      <c r="F738" s="311">
        <f>F739</f>
        <v>490.9</v>
      </c>
      <c r="G738" s="363"/>
      <c r="H738" s="363"/>
      <c r="I738" s="363"/>
      <c r="J738" s="363"/>
      <c r="K738" s="363"/>
    </row>
    <row r="739" spans="1:11" s="131" customFormat="1" ht="36.75" customHeight="1" x14ac:dyDescent="0.25">
      <c r="A739" s="364" t="s">
        <v>125</v>
      </c>
      <c r="B739" s="365" t="s">
        <v>187</v>
      </c>
      <c r="C739" s="365" t="s">
        <v>159</v>
      </c>
      <c r="D739" s="365" t="s">
        <v>462</v>
      </c>
      <c r="E739" s="319" t="s">
        <v>126</v>
      </c>
      <c r="F739" s="311">
        <f>'Пр.4 ведом.22'!G345</f>
        <v>490.9</v>
      </c>
      <c r="G739" s="363"/>
      <c r="H739" s="363"/>
      <c r="I739" s="363"/>
      <c r="J739" s="363"/>
      <c r="K739" s="363"/>
    </row>
    <row r="740" spans="1:11" s="131" customFormat="1" ht="47.25" x14ac:dyDescent="0.25">
      <c r="A740" s="70" t="s">
        <v>359</v>
      </c>
      <c r="B740" s="365" t="s">
        <v>187</v>
      </c>
      <c r="C740" s="365" t="s">
        <v>159</v>
      </c>
      <c r="D740" s="365" t="s">
        <v>506</v>
      </c>
      <c r="E740" s="319"/>
      <c r="F740" s="311">
        <f>F741</f>
        <v>302.39999999999998</v>
      </c>
      <c r="G740" s="363"/>
      <c r="H740" s="363"/>
      <c r="I740" s="363"/>
      <c r="J740" s="363"/>
      <c r="K740" s="363"/>
    </row>
    <row r="741" spans="1:11" s="131" customFormat="1" ht="31.5" x14ac:dyDescent="0.25">
      <c r="A741" s="22" t="s">
        <v>191</v>
      </c>
      <c r="B741" s="365" t="s">
        <v>187</v>
      </c>
      <c r="C741" s="365" t="s">
        <v>159</v>
      </c>
      <c r="D741" s="365" t="s">
        <v>506</v>
      </c>
      <c r="E741" s="319" t="s">
        <v>192</v>
      </c>
      <c r="F741" s="311">
        <f>F742</f>
        <v>302.39999999999998</v>
      </c>
      <c r="G741" s="363"/>
      <c r="H741" s="363"/>
      <c r="I741" s="363"/>
      <c r="J741" s="363"/>
      <c r="K741" s="363"/>
    </row>
    <row r="742" spans="1:11" s="131" customFormat="1" ht="15.75" x14ac:dyDescent="0.25">
      <c r="A742" s="111" t="s">
        <v>193</v>
      </c>
      <c r="B742" s="365" t="s">
        <v>187</v>
      </c>
      <c r="C742" s="365" t="s">
        <v>159</v>
      </c>
      <c r="D742" s="365" t="s">
        <v>506</v>
      </c>
      <c r="E742" s="319" t="s">
        <v>194</v>
      </c>
      <c r="F742" s="311">
        <f>'Пр.4 ведом.22'!G800</f>
        <v>302.39999999999998</v>
      </c>
      <c r="G742" s="363"/>
      <c r="H742" s="363"/>
      <c r="I742" s="363"/>
      <c r="J742" s="363"/>
      <c r="K742" s="363"/>
    </row>
    <row r="743" spans="1:11" s="131" customFormat="1" ht="15.75" x14ac:dyDescent="0.25">
      <c r="A743" s="315" t="s">
        <v>246</v>
      </c>
      <c r="B743" s="316" t="s">
        <v>187</v>
      </c>
      <c r="C743" s="316" t="s">
        <v>187</v>
      </c>
      <c r="D743" s="316"/>
      <c r="E743" s="323"/>
      <c r="F743" s="310">
        <f>F744+F763</f>
        <v>8274</v>
      </c>
      <c r="G743" s="363"/>
      <c r="H743" s="363"/>
      <c r="I743" s="363"/>
      <c r="J743" s="363"/>
      <c r="K743" s="363"/>
    </row>
    <row r="744" spans="1:11" s="131" customFormat="1" ht="47.25" x14ac:dyDescent="0.25">
      <c r="A744" s="315" t="s">
        <v>877</v>
      </c>
      <c r="B744" s="316" t="s">
        <v>187</v>
      </c>
      <c r="C744" s="316" t="s">
        <v>187</v>
      </c>
      <c r="D744" s="316" t="s">
        <v>213</v>
      </c>
      <c r="E744" s="316"/>
      <c r="F744" s="310">
        <f>F745</f>
        <v>760.1</v>
      </c>
      <c r="G744" s="363"/>
      <c r="H744" s="363"/>
      <c r="I744" s="363"/>
      <c r="J744" s="363"/>
      <c r="K744" s="363"/>
    </row>
    <row r="745" spans="1:11" s="131" customFormat="1" ht="31.5" x14ac:dyDescent="0.25">
      <c r="A745" s="315" t="s">
        <v>214</v>
      </c>
      <c r="B745" s="316" t="s">
        <v>187</v>
      </c>
      <c r="C745" s="316" t="s">
        <v>187</v>
      </c>
      <c r="D745" s="316" t="s">
        <v>215</v>
      </c>
      <c r="E745" s="316"/>
      <c r="F745" s="310">
        <f>F746+F753+F759</f>
        <v>760.1</v>
      </c>
      <c r="G745" s="363"/>
      <c r="H745" s="363"/>
      <c r="I745" s="363"/>
      <c r="J745" s="363"/>
      <c r="K745" s="363"/>
    </row>
    <row r="746" spans="1:11" s="131" customFormat="1" ht="47.25" x14ac:dyDescent="0.25">
      <c r="A746" s="358" t="s">
        <v>591</v>
      </c>
      <c r="B746" s="316" t="s">
        <v>187</v>
      </c>
      <c r="C746" s="316" t="s">
        <v>187</v>
      </c>
      <c r="D746" s="316" t="s">
        <v>465</v>
      </c>
      <c r="E746" s="316"/>
      <c r="F746" s="310">
        <f>F747+F750</f>
        <v>280</v>
      </c>
      <c r="G746" s="363"/>
      <c r="H746" s="363"/>
      <c r="I746" s="363"/>
      <c r="J746" s="363"/>
      <c r="K746" s="363"/>
    </row>
    <row r="747" spans="1:11" s="131" customFormat="1" ht="31.5" x14ac:dyDescent="0.25">
      <c r="A747" s="70" t="s">
        <v>597</v>
      </c>
      <c r="B747" s="365" t="s">
        <v>187</v>
      </c>
      <c r="C747" s="365" t="s">
        <v>187</v>
      </c>
      <c r="D747" s="365" t="s">
        <v>466</v>
      </c>
      <c r="E747" s="365"/>
      <c r="F747" s="311">
        <f>F748</f>
        <v>280</v>
      </c>
      <c r="G747" s="363"/>
      <c r="H747" s="363"/>
      <c r="I747" s="363"/>
      <c r="J747" s="363"/>
      <c r="K747" s="363"/>
    </row>
    <row r="748" spans="1:11" s="131" customFormat="1" ht="78.75" x14ac:dyDescent="0.25">
      <c r="A748" s="364" t="s">
        <v>119</v>
      </c>
      <c r="B748" s="365" t="s">
        <v>187</v>
      </c>
      <c r="C748" s="365" t="s">
        <v>187</v>
      </c>
      <c r="D748" s="365" t="s">
        <v>466</v>
      </c>
      <c r="E748" s="365" t="s">
        <v>120</v>
      </c>
      <c r="F748" s="311">
        <f>F749</f>
        <v>280</v>
      </c>
      <c r="G748" s="363"/>
      <c r="H748" s="363"/>
      <c r="I748" s="363"/>
      <c r="J748" s="363"/>
      <c r="K748" s="363"/>
    </row>
    <row r="749" spans="1:11" s="131" customFormat="1" ht="17.45" customHeight="1" x14ac:dyDescent="0.25">
      <c r="A749" s="364" t="s">
        <v>212</v>
      </c>
      <c r="B749" s="365" t="s">
        <v>187</v>
      </c>
      <c r="C749" s="365" t="s">
        <v>187</v>
      </c>
      <c r="D749" s="365" t="s">
        <v>466</v>
      </c>
      <c r="E749" s="365" t="s">
        <v>156</v>
      </c>
      <c r="F749" s="311">
        <f>'Пр.4 ведом.22'!G352</f>
        <v>280</v>
      </c>
      <c r="G749" s="363"/>
      <c r="H749" s="363"/>
      <c r="I749" s="363"/>
      <c r="J749" s="363"/>
      <c r="K749" s="363"/>
    </row>
    <row r="750" spans="1:11" s="131" customFormat="1" ht="19.5" hidden="1" customHeight="1" x14ac:dyDescent="0.25">
      <c r="A750" s="364" t="s">
        <v>592</v>
      </c>
      <c r="B750" s="365" t="s">
        <v>187</v>
      </c>
      <c r="C750" s="365" t="s">
        <v>187</v>
      </c>
      <c r="D750" s="365" t="s">
        <v>607</v>
      </c>
      <c r="E750" s="365"/>
      <c r="F750" s="311">
        <f>F751</f>
        <v>0</v>
      </c>
      <c r="G750" s="363"/>
      <c r="H750" s="363"/>
      <c r="I750" s="363"/>
      <c r="J750" s="363"/>
      <c r="K750" s="363"/>
    </row>
    <row r="751" spans="1:11" s="131" customFormat="1" ht="31.5" hidden="1" x14ac:dyDescent="0.25">
      <c r="A751" s="364" t="s">
        <v>123</v>
      </c>
      <c r="B751" s="365" t="s">
        <v>187</v>
      </c>
      <c r="C751" s="365" t="s">
        <v>187</v>
      </c>
      <c r="D751" s="365" t="s">
        <v>607</v>
      </c>
      <c r="E751" s="365" t="s">
        <v>124</v>
      </c>
      <c r="F751" s="311">
        <f>F752</f>
        <v>0</v>
      </c>
      <c r="G751" s="363"/>
      <c r="H751" s="363"/>
      <c r="I751" s="363"/>
      <c r="J751" s="363"/>
      <c r="K751" s="363"/>
    </row>
    <row r="752" spans="1:11" s="131" customFormat="1" ht="31.5" hidden="1" x14ac:dyDescent="0.25">
      <c r="A752" s="364" t="s">
        <v>125</v>
      </c>
      <c r="B752" s="365" t="s">
        <v>187</v>
      </c>
      <c r="C752" s="365" t="s">
        <v>187</v>
      </c>
      <c r="D752" s="365" t="s">
        <v>607</v>
      </c>
      <c r="E752" s="365" t="s">
        <v>126</v>
      </c>
      <c r="F752" s="311">
        <f>'Пр.4 ведом.22'!G355</f>
        <v>0</v>
      </c>
      <c r="G752" s="363"/>
      <c r="H752" s="363"/>
      <c r="I752" s="363"/>
      <c r="J752" s="363"/>
      <c r="K752" s="363"/>
    </row>
    <row r="753" spans="1:11" s="131" customFormat="1" ht="63" x14ac:dyDescent="0.25">
      <c r="A753" s="315" t="s">
        <v>593</v>
      </c>
      <c r="B753" s="316" t="s">
        <v>187</v>
      </c>
      <c r="C753" s="316" t="s">
        <v>187</v>
      </c>
      <c r="D753" s="316" t="s">
        <v>467</v>
      </c>
      <c r="E753" s="316"/>
      <c r="F753" s="310">
        <f>F754</f>
        <v>455.1</v>
      </c>
      <c r="G753" s="363"/>
      <c r="H753" s="363"/>
      <c r="I753" s="363"/>
      <c r="J753" s="363"/>
      <c r="K753" s="363"/>
    </row>
    <row r="754" spans="1:11" s="131" customFormat="1" ht="15.75" x14ac:dyDescent="0.25">
      <c r="A754" s="364" t="s">
        <v>594</v>
      </c>
      <c r="B754" s="365" t="s">
        <v>187</v>
      </c>
      <c r="C754" s="365" t="s">
        <v>187</v>
      </c>
      <c r="D754" s="365" t="s">
        <v>472</v>
      </c>
      <c r="E754" s="365"/>
      <c r="F754" s="311">
        <f>F755+F757</f>
        <v>455.1</v>
      </c>
      <c r="G754" s="363"/>
      <c r="H754" s="363"/>
      <c r="I754" s="363"/>
      <c r="J754" s="363"/>
      <c r="K754" s="363"/>
    </row>
    <row r="755" spans="1:11" s="131" customFormat="1" ht="78.75" x14ac:dyDescent="0.25">
      <c r="A755" s="364" t="s">
        <v>119</v>
      </c>
      <c r="B755" s="365" t="s">
        <v>187</v>
      </c>
      <c r="C755" s="365" t="s">
        <v>187</v>
      </c>
      <c r="D755" s="365" t="s">
        <v>472</v>
      </c>
      <c r="E755" s="365" t="s">
        <v>120</v>
      </c>
      <c r="F755" s="311">
        <f>F756</f>
        <v>40.1</v>
      </c>
      <c r="G755" s="363"/>
      <c r="H755" s="363"/>
      <c r="I755" s="363"/>
      <c r="J755" s="363"/>
      <c r="K755" s="363"/>
    </row>
    <row r="756" spans="1:11" s="131" customFormat="1" ht="18.75" customHeight="1" x14ac:dyDescent="0.25">
      <c r="A756" s="364" t="s">
        <v>212</v>
      </c>
      <c r="B756" s="365" t="s">
        <v>187</v>
      </c>
      <c r="C756" s="365" t="s">
        <v>187</v>
      </c>
      <c r="D756" s="365" t="s">
        <v>472</v>
      </c>
      <c r="E756" s="365" t="s">
        <v>156</v>
      </c>
      <c r="F756" s="311">
        <f>'Пр.4 ведом.22'!G359</f>
        <v>40.1</v>
      </c>
      <c r="G756" s="363"/>
      <c r="H756" s="363"/>
      <c r="I756" s="363"/>
      <c r="J756" s="363"/>
      <c r="K756" s="363"/>
    </row>
    <row r="757" spans="1:11" s="131" customFormat="1" ht="31.5" x14ac:dyDescent="0.25">
      <c r="A757" s="364" t="s">
        <v>123</v>
      </c>
      <c r="B757" s="365" t="s">
        <v>187</v>
      </c>
      <c r="C757" s="365" t="s">
        <v>187</v>
      </c>
      <c r="D757" s="365" t="s">
        <v>472</v>
      </c>
      <c r="E757" s="365" t="s">
        <v>124</v>
      </c>
      <c r="F757" s="311">
        <f>F758</f>
        <v>415</v>
      </c>
      <c r="G757" s="363"/>
      <c r="H757" s="363"/>
      <c r="I757" s="363"/>
      <c r="J757" s="363"/>
      <c r="K757" s="363"/>
    </row>
    <row r="758" spans="1:11" s="131" customFormat="1" ht="31.5" x14ac:dyDescent="0.25">
      <c r="A758" s="364" t="s">
        <v>125</v>
      </c>
      <c r="B758" s="365" t="s">
        <v>187</v>
      </c>
      <c r="C758" s="365" t="s">
        <v>187</v>
      </c>
      <c r="D758" s="365" t="s">
        <v>472</v>
      </c>
      <c r="E758" s="365" t="s">
        <v>126</v>
      </c>
      <c r="F758" s="311">
        <f>'Пр.4 ведом.22'!G361</f>
        <v>415</v>
      </c>
      <c r="G758" s="363"/>
      <c r="H758" s="363"/>
      <c r="I758" s="363"/>
      <c r="J758" s="363"/>
      <c r="K758" s="363"/>
    </row>
    <row r="759" spans="1:11" s="131" customFormat="1" ht="31.5" x14ac:dyDescent="0.25">
      <c r="A759" s="315" t="s">
        <v>900</v>
      </c>
      <c r="B759" s="316" t="s">
        <v>187</v>
      </c>
      <c r="C759" s="316" t="s">
        <v>187</v>
      </c>
      <c r="D759" s="316" t="s">
        <v>595</v>
      </c>
      <c r="E759" s="316"/>
      <c r="F759" s="310">
        <f>F760</f>
        <v>25</v>
      </c>
      <c r="G759" s="363"/>
      <c r="H759" s="363"/>
      <c r="I759" s="363"/>
      <c r="J759" s="363"/>
      <c r="K759" s="363"/>
    </row>
    <row r="760" spans="1:11" s="131" customFormat="1" ht="47.25" x14ac:dyDescent="0.25">
      <c r="A760" s="155" t="s">
        <v>596</v>
      </c>
      <c r="B760" s="365" t="s">
        <v>187</v>
      </c>
      <c r="C760" s="365" t="s">
        <v>187</v>
      </c>
      <c r="D760" s="365" t="s">
        <v>608</v>
      </c>
      <c r="E760" s="365"/>
      <c r="F760" s="311">
        <f>F761</f>
        <v>25</v>
      </c>
      <c r="G760" s="363"/>
      <c r="H760" s="363"/>
      <c r="I760" s="363"/>
      <c r="J760" s="363"/>
      <c r="K760" s="363"/>
    </row>
    <row r="761" spans="1:11" s="131" customFormat="1" ht="21.2" customHeight="1" x14ac:dyDescent="0.25">
      <c r="A761" s="364" t="s">
        <v>177</v>
      </c>
      <c r="B761" s="365" t="s">
        <v>187</v>
      </c>
      <c r="C761" s="365" t="s">
        <v>187</v>
      </c>
      <c r="D761" s="365" t="s">
        <v>608</v>
      </c>
      <c r="E761" s="365" t="s">
        <v>178</v>
      </c>
      <c r="F761" s="311">
        <f>F762</f>
        <v>25</v>
      </c>
      <c r="G761" s="363"/>
      <c r="H761" s="363"/>
      <c r="I761" s="363"/>
      <c r="J761" s="363"/>
      <c r="K761" s="363"/>
    </row>
    <row r="762" spans="1:11" s="131" customFormat="1" ht="31.5" x14ac:dyDescent="0.25">
      <c r="A762" s="364" t="s">
        <v>216</v>
      </c>
      <c r="B762" s="365" t="s">
        <v>187</v>
      </c>
      <c r="C762" s="365" t="s">
        <v>187</v>
      </c>
      <c r="D762" s="365" t="s">
        <v>608</v>
      </c>
      <c r="E762" s="365" t="s">
        <v>217</v>
      </c>
      <c r="F762" s="311">
        <f>'Пр.4 ведом.22'!G365</f>
        <v>25</v>
      </c>
      <c r="G762" s="363"/>
      <c r="H762" s="363"/>
      <c r="I762" s="363"/>
      <c r="J762" s="363"/>
      <c r="K762" s="363"/>
    </row>
    <row r="763" spans="1:11" ht="36.75" customHeight="1" x14ac:dyDescent="0.25">
      <c r="A763" s="315" t="s">
        <v>858</v>
      </c>
      <c r="B763" s="316" t="s">
        <v>187</v>
      </c>
      <c r="C763" s="316" t="s">
        <v>187</v>
      </c>
      <c r="D763" s="316" t="s">
        <v>237</v>
      </c>
      <c r="E763" s="316"/>
      <c r="F763" s="310">
        <f>F764</f>
        <v>7513.9</v>
      </c>
    </row>
    <row r="764" spans="1:11" ht="31.5" x14ac:dyDescent="0.25">
      <c r="A764" s="315" t="s">
        <v>511</v>
      </c>
      <c r="B764" s="316" t="s">
        <v>187</v>
      </c>
      <c r="C764" s="316" t="s">
        <v>187</v>
      </c>
      <c r="D764" s="316" t="s">
        <v>772</v>
      </c>
      <c r="E764" s="316"/>
      <c r="F764" s="310">
        <f>F765</f>
        <v>7513.9</v>
      </c>
    </row>
    <row r="765" spans="1:11" ht="42" customHeight="1" x14ac:dyDescent="0.25">
      <c r="A765" s="24" t="s">
        <v>617</v>
      </c>
      <c r="B765" s="365" t="s">
        <v>187</v>
      </c>
      <c r="C765" s="365" t="s">
        <v>187</v>
      </c>
      <c r="D765" s="365" t="s">
        <v>789</v>
      </c>
      <c r="E765" s="365"/>
      <c r="F765" s="311">
        <f>F766</f>
        <v>7513.9</v>
      </c>
    </row>
    <row r="766" spans="1:11" ht="35.450000000000003" customHeight="1" x14ac:dyDescent="0.25">
      <c r="A766" s="364" t="s">
        <v>191</v>
      </c>
      <c r="B766" s="365" t="s">
        <v>187</v>
      </c>
      <c r="C766" s="365" t="s">
        <v>187</v>
      </c>
      <c r="D766" s="365" t="s">
        <v>789</v>
      </c>
      <c r="E766" s="365" t="s">
        <v>192</v>
      </c>
      <c r="F766" s="311">
        <f>F767</f>
        <v>7513.9</v>
      </c>
    </row>
    <row r="767" spans="1:11" ht="15.75" x14ac:dyDescent="0.25">
      <c r="A767" s="364" t="s">
        <v>193</v>
      </c>
      <c r="B767" s="365" t="s">
        <v>187</v>
      </c>
      <c r="C767" s="365" t="s">
        <v>187</v>
      </c>
      <c r="D767" s="365" t="s">
        <v>789</v>
      </c>
      <c r="E767" s="365" t="s">
        <v>194</v>
      </c>
      <c r="F767" s="311">
        <f>'Пр.4 ведом.22'!G806</f>
        <v>7513.9</v>
      </c>
    </row>
    <row r="768" spans="1:11" ht="15" customHeight="1" x14ac:dyDescent="0.25">
      <c r="A768" s="315" t="s">
        <v>201</v>
      </c>
      <c r="B768" s="316" t="s">
        <v>187</v>
      </c>
      <c r="C768" s="316" t="s">
        <v>161</v>
      </c>
      <c r="D768" s="316"/>
      <c r="E768" s="316"/>
      <c r="F768" s="310">
        <f>F769+F786</f>
        <v>21608.03</v>
      </c>
    </row>
    <row r="769" spans="1:11" ht="31.5" x14ac:dyDescent="0.25">
      <c r="A769" s="315" t="s">
        <v>488</v>
      </c>
      <c r="B769" s="316" t="s">
        <v>187</v>
      </c>
      <c r="C769" s="316" t="s">
        <v>161</v>
      </c>
      <c r="D769" s="316" t="s">
        <v>434</v>
      </c>
      <c r="E769" s="316"/>
      <c r="F769" s="310">
        <f>F770</f>
        <v>21108.03</v>
      </c>
    </row>
    <row r="770" spans="1:11" ht="15.75" x14ac:dyDescent="0.25">
      <c r="A770" s="315" t="s">
        <v>489</v>
      </c>
      <c r="B770" s="316" t="s">
        <v>187</v>
      </c>
      <c r="C770" s="316" t="s">
        <v>161</v>
      </c>
      <c r="D770" s="316" t="s">
        <v>435</v>
      </c>
      <c r="E770" s="316"/>
      <c r="F770" s="310">
        <f>F771+F783+F776</f>
        <v>21108.03</v>
      </c>
    </row>
    <row r="771" spans="1:11" ht="31.5" x14ac:dyDescent="0.25">
      <c r="A771" s="364" t="s">
        <v>468</v>
      </c>
      <c r="B771" s="365" t="s">
        <v>187</v>
      </c>
      <c r="C771" s="365" t="s">
        <v>161</v>
      </c>
      <c r="D771" s="365" t="s">
        <v>436</v>
      </c>
      <c r="E771" s="365"/>
      <c r="F771" s="311">
        <f>F772+F774</f>
        <v>6102.53</v>
      </c>
    </row>
    <row r="772" spans="1:11" ht="78.75" x14ac:dyDescent="0.25">
      <c r="A772" s="364" t="s">
        <v>119</v>
      </c>
      <c r="B772" s="365" t="s">
        <v>187</v>
      </c>
      <c r="C772" s="365" t="s">
        <v>161</v>
      </c>
      <c r="D772" s="365" t="s">
        <v>436</v>
      </c>
      <c r="E772" s="365" t="s">
        <v>120</v>
      </c>
      <c r="F772" s="311">
        <f>F773</f>
        <v>5852.53</v>
      </c>
    </row>
    <row r="773" spans="1:11" ht="36.75" customHeight="1" x14ac:dyDescent="0.25">
      <c r="A773" s="364" t="s">
        <v>121</v>
      </c>
      <c r="B773" s="365" t="s">
        <v>187</v>
      </c>
      <c r="C773" s="365" t="s">
        <v>161</v>
      </c>
      <c r="D773" s="365" t="s">
        <v>436</v>
      </c>
      <c r="E773" s="365" t="s">
        <v>122</v>
      </c>
      <c r="F773" s="311">
        <f>'Пр.4 ведом.22'!G812</f>
        <v>5852.53</v>
      </c>
    </row>
    <row r="774" spans="1:11" ht="31.5" x14ac:dyDescent="0.25">
      <c r="A774" s="364" t="s">
        <v>123</v>
      </c>
      <c r="B774" s="365" t="s">
        <v>187</v>
      </c>
      <c r="C774" s="365" t="s">
        <v>161</v>
      </c>
      <c r="D774" s="365" t="s">
        <v>436</v>
      </c>
      <c r="E774" s="365" t="s">
        <v>124</v>
      </c>
      <c r="F774" s="311">
        <f>F775</f>
        <v>250</v>
      </c>
    </row>
    <row r="775" spans="1:11" ht="31.5" x14ac:dyDescent="0.25">
      <c r="A775" s="364" t="s">
        <v>125</v>
      </c>
      <c r="B775" s="365" t="s">
        <v>187</v>
      </c>
      <c r="C775" s="365" t="s">
        <v>161</v>
      </c>
      <c r="D775" s="365" t="s">
        <v>436</v>
      </c>
      <c r="E775" s="365" t="s">
        <v>126</v>
      </c>
      <c r="F775" s="311">
        <f>'Пр.4 ведом.22'!G814</f>
        <v>250</v>
      </c>
    </row>
    <row r="776" spans="1:11" s="362" customFormat="1" ht="31.5" x14ac:dyDescent="0.25">
      <c r="A776" s="364" t="s">
        <v>417</v>
      </c>
      <c r="B776" s="365" t="s">
        <v>187</v>
      </c>
      <c r="C776" s="365" t="s">
        <v>161</v>
      </c>
      <c r="D776" s="365" t="s">
        <v>437</v>
      </c>
      <c r="E776" s="365"/>
      <c r="F776" s="311">
        <f>F777+F779+F781</f>
        <v>14530.5</v>
      </c>
      <c r="G776" s="363"/>
      <c r="H776" s="363"/>
      <c r="I776" s="363"/>
      <c r="J776" s="363"/>
      <c r="K776" s="363"/>
    </row>
    <row r="777" spans="1:11" s="362" customFormat="1" ht="78.75" x14ac:dyDescent="0.25">
      <c r="A777" s="364" t="s">
        <v>119</v>
      </c>
      <c r="B777" s="365" t="s">
        <v>187</v>
      </c>
      <c r="C777" s="365" t="s">
        <v>161</v>
      </c>
      <c r="D777" s="365" t="s">
        <v>437</v>
      </c>
      <c r="E777" s="365" t="s">
        <v>120</v>
      </c>
      <c r="F777" s="311">
        <f>F778</f>
        <v>13078.8</v>
      </c>
      <c r="G777" s="363"/>
      <c r="H777" s="363"/>
      <c r="I777" s="363"/>
      <c r="J777" s="363"/>
      <c r="K777" s="363"/>
    </row>
    <row r="778" spans="1:11" s="362" customFormat="1" ht="31.5" x14ac:dyDescent="0.25">
      <c r="A778" s="364" t="s">
        <v>121</v>
      </c>
      <c r="B778" s="365" t="s">
        <v>187</v>
      </c>
      <c r="C778" s="365" t="s">
        <v>161</v>
      </c>
      <c r="D778" s="365" t="s">
        <v>437</v>
      </c>
      <c r="E778" s="365" t="s">
        <v>122</v>
      </c>
      <c r="F778" s="311">
        <f>'Пр.4 ведом.22'!G817</f>
        <v>13078.8</v>
      </c>
      <c r="G778" s="363"/>
      <c r="H778" s="363"/>
      <c r="I778" s="363"/>
      <c r="J778" s="363"/>
      <c r="K778" s="363"/>
    </row>
    <row r="779" spans="1:11" s="362" customFormat="1" ht="31.5" x14ac:dyDescent="0.25">
      <c r="A779" s="364" t="s">
        <v>123</v>
      </c>
      <c r="B779" s="365" t="s">
        <v>187</v>
      </c>
      <c r="C779" s="365" t="s">
        <v>161</v>
      </c>
      <c r="D779" s="365" t="s">
        <v>437</v>
      </c>
      <c r="E779" s="365" t="s">
        <v>124</v>
      </c>
      <c r="F779" s="311">
        <f>F780</f>
        <v>1437.7</v>
      </c>
      <c r="G779" s="363"/>
      <c r="H779" s="363"/>
      <c r="I779" s="363"/>
      <c r="J779" s="363"/>
      <c r="K779" s="363"/>
    </row>
    <row r="780" spans="1:11" s="362" customFormat="1" ht="31.5" x14ac:dyDescent="0.25">
      <c r="A780" s="364" t="s">
        <v>125</v>
      </c>
      <c r="B780" s="365" t="s">
        <v>187</v>
      </c>
      <c r="C780" s="365" t="s">
        <v>161</v>
      </c>
      <c r="D780" s="365" t="s">
        <v>437</v>
      </c>
      <c r="E780" s="365" t="s">
        <v>126</v>
      </c>
      <c r="F780" s="311">
        <f>'Пр.4 ведом.22'!G819</f>
        <v>1437.7</v>
      </c>
      <c r="G780" s="363"/>
      <c r="H780" s="363"/>
      <c r="I780" s="363"/>
      <c r="J780" s="363"/>
      <c r="K780" s="363"/>
    </row>
    <row r="781" spans="1:11" s="362" customFormat="1" ht="15.75" x14ac:dyDescent="0.25">
      <c r="A781" s="364" t="s">
        <v>127</v>
      </c>
      <c r="B781" s="365" t="s">
        <v>187</v>
      </c>
      <c r="C781" s="365" t="s">
        <v>161</v>
      </c>
      <c r="D781" s="365" t="s">
        <v>437</v>
      </c>
      <c r="E781" s="365" t="s">
        <v>134</v>
      </c>
      <c r="F781" s="311">
        <f>F782</f>
        <v>14</v>
      </c>
      <c r="G781" s="363"/>
      <c r="H781" s="363"/>
      <c r="I781" s="363"/>
      <c r="J781" s="363"/>
      <c r="K781" s="363"/>
    </row>
    <row r="782" spans="1:11" s="362" customFormat="1" ht="15.75" x14ac:dyDescent="0.25">
      <c r="A782" s="364" t="s">
        <v>280</v>
      </c>
      <c r="B782" s="365" t="s">
        <v>187</v>
      </c>
      <c r="C782" s="365" t="s">
        <v>161</v>
      </c>
      <c r="D782" s="365" t="s">
        <v>437</v>
      </c>
      <c r="E782" s="365" t="s">
        <v>130</v>
      </c>
      <c r="F782" s="311">
        <f>'Пр.4 ведом.22'!G821</f>
        <v>14</v>
      </c>
      <c r="G782" s="363"/>
      <c r="H782" s="363"/>
      <c r="I782" s="363"/>
      <c r="J782" s="363"/>
      <c r="K782" s="363"/>
    </row>
    <row r="783" spans="1:11" ht="47.25" x14ac:dyDescent="0.25">
      <c r="A783" s="364" t="s">
        <v>416</v>
      </c>
      <c r="B783" s="365" t="s">
        <v>187</v>
      </c>
      <c r="C783" s="365" t="s">
        <v>161</v>
      </c>
      <c r="D783" s="365" t="s">
        <v>438</v>
      </c>
      <c r="E783" s="365"/>
      <c r="F783" s="311">
        <f>F784</f>
        <v>475</v>
      </c>
    </row>
    <row r="784" spans="1:11" ht="78.75" x14ac:dyDescent="0.25">
      <c r="A784" s="364" t="s">
        <v>119</v>
      </c>
      <c r="B784" s="365" t="s">
        <v>187</v>
      </c>
      <c r="C784" s="365" t="s">
        <v>161</v>
      </c>
      <c r="D784" s="365" t="s">
        <v>438</v>
      </c>
      <c r="E784" s="365" t="s">
        <v>120</v>
      </c>
      <c r="F784" s="311">
        <f>F785</f>
        <v>475</v>
      </c>
    </row>
    <row r="785" spans="1:11" ht="31.5" x14ac:dyDescent="0.25">
      <c r="A785" s="364" t="s">
        <v>121</v>
      </c>
      <c r="B785" s="365" t="s">
        <v>187</v>
      </c>
      <c r="C785" s="365" t="s">
        <v>161</v>
      </c>
      <c r="D785" s="365" t="s">
        <v>438</v>
      </c>
      <c r="E785" s="365" t="s">
        <v>122</v>
      </c>
      <c r="F785" s="311">
        <f>'Пр.4 ведом.22'!G824</f>
        <v>475</v>
      </c>
    </row>
    <row r="786" spans="1:11" ht="15.75" x14ac:dyDescent="0.25">
      <c r="A786" s="315" t="s">
        <v>133</v>
      </c>
      <c r="B786" s="316" t="s">
        <v>187</v>
      </c>
      <c r="C786" s="316" t="s">
        <v>161</v>
      </c>
      <c r="D786" s="316" t="s">
        <v>442</v>
      </c>
      <c r="E786" s="316"/>
      <c r="F786" s="310">
        <f>F787+F796</f>
        <v>500</v>
      </c>
    </row>
    <row r="787" spans="1:11" ht="31.5" x14ac:dyDescent="0.25">
      <c r="A787" s="315" t="s">
        <v>446</v>
      </c>
      <c r="B787" s="316" t="s">
        <v>187</v>
      </c>
      <c r="C787" s="316" t="s">
        <v>161</v>
      </c>
      <c r="D787" s="316" t="s">
        <v>441</v>
      </c>
      <c r="E787" s="316"/>
      <c r="F787" s="310">
        <f>F791+F788</f>
        <v>500</v>
      </c>
    </row>
    <row r="788" spans="1:11" s="309" customFormat="1" ht="47.25" hidden="1" x14ac:dyDescent="0.25">
      <c r="A788" s="24" t="s">
        <v>1057</v>
      </c>
      <c r="B788" s="365" t="s">
        <v>187</v>
      </c>
      <c r="C788" s="365" t="s">
        <v>161</v>
      </c>
      <c r="D788" s="365" t="s">
        <v>1056</v>
      </c>
      <c r="E788" s="365"/>
      <c r="F788" s="311">
        <f>F789</f>
        <v>0</v>
      </c>
      <c r="G788" s="363"/>
      <c r="H788" s="363"/>
      <c r="I788" s="363"/>
      <c r="J788" s="363"/>
      <c r="K788" s="363"/>
    </row>
    <row r="789" spans="1:11" s="309" customFormat="1" ht="31.5" hidden="1" x14ac:dyDescent="0.25">
      <c r="A789" s="364" t="s">
        <v>123</v>
      </c>
      <c r="B789" s="365" t="s">
        <v>187</v>
      </c>
      <c r="C789" s="365" t="s">
        <v>161</v>
      </c>
      <c r="D789" s="365" t="s">
        <v>1056</v>
      </c>
      <c r="E789" s="365" t="s">
        <v>124</v>
      </c>
      <c r="F789" s="311">
        <f>F790</f>
        <v>0</v>
      </c>
      <c r="G789" s="363"/>
      <c r="H789" s="363"/>
      <c r="I789" s="363"/>
      <c r="J789" s="363"/>
      <c r="K789" s="363"/>
    </row>
    <row r="790" spans="1:11" s="309" customFormat="1" ht="31.5" hidden="1" x14ac:dyDescent="0.25">
      <c r="A790" s="364" t="s">
        <v>125</v>
      </c>
      <c r="B790" s="365" t="s">
        <v>187</v>
      </c>
      <c r="C790" s="365" t="s">
        <v>161</v>
      </c>
      <c r="D790" s="365" t="s">
        <v>1056</v>
      </c>
      <c r="E790" s="365" t="s">
        <v>126</v>
      </c>
      <c r="F790" s="311">
        <f>'Пр.4 ведом.22'!G370</f>
        <v>0</v>
      </c>
      <c r="G790" s="363"/>
      <c r="H790" s="363"/>
      <c r="I790" s="363"/>
      <c r="J790" s="363"/>
      <c r="K790" s="363"/>
    </row>
    <row r="791" spans="1:11" ht="15.75" x14ac:dyDescent="0.25">
      <c r="A791" s="364" t="s">
        <v>247</v>
      </c>
      <c r="B791" s="365" t="s">
        <v>187</v>
      </c>
      <c r="C791" s="365" t="s">
        <v>161</v>
      </c>
      <c r="D791" s="365" t="s">
        <v>512</v>
      </c>
      <c r="E791" s="365"/>
      <c r="F791" s="311">
        <f>F792+F794</f>
        <v>500</v>
      </c>
    </row>
    <row r="792" spans="1:11" s="309" customFormat="1" ht="78.75" hidden="1" x14ac:dyDescent="0.25">
      <c r="A792" s="364" t="s">
        <v>119</v>
      </c>
      <c r="B792" s="365" t="s">
        <v>187</v>
      </c>
      <c r="C792" s="365" t="s">
        <v>161</v>
      </c>
      <c r="D792" s="365" t="s">
        <v>512</v>
      </c>
      <c r="E792" s="365" t="s">
        <v>120</v>
      </c>
      <c r="F792" s="311">
        <f>F793</f>
        <v>0</v>
      </c>
      <c r="G792" s="363"/>
      <c r="H792" s="363"/>
      <c r="I792" s="363"/>
      <c r="J792" s="363"/>
      <c r="K792" s="363"/>
    </row>
    <row r="793" spans="1:11" s="309" customFormat="1" ht="31.5" hidden="1" x14ac:dyDescent="0.25">
      <c r="A793" s="364" t="s">
        <v>212</v>
      </c>
      <c r="B793" s="365" t="s">
        <v>187</v>
      </c>
      <c r="C793" s="365" t="s">
        <v>161</v>
      </c>
      <c r="D793" s="365" t="s">
        <v>512</v>
      </c>
      <c r="E793" s="365" t="s">
        <v>156</v>
      </c>
      <c r="F793" s="311">
        <f>'Пр.4 ведом.22'!G829</f>
        <v>0</v>
      </c>
      <c r="G793" s="363"/>
      <c r="H793" s="363"/>
      <c r="I793" s="363"/>
      <c r="J793" s="363"/>
      <c r="K793" s="363"/>
    </row>
    <row r="794" spans="1:11" ht="31.5" x14ac:dyDescent="0.25">
      <c r="A794" s="364" t="s">
        <v>123</v>
      </c>
      <c r="B794" s="365" t="s">
        <v>187</v>
      </c>
      <c r="C794" s="365" t="s">
        <v>161</v>
      </c>
      <c r="D794" s="365" t="s">
        <v>512</v>
      </c>
      <c r="E794" s="365" t="s">
        <v>124</v>
      </c>
      <c r="F794" s="311">
        <f>F795</f>
        <v>500</v>
      </c>
    </row>
    <row r="795" spans="1:11" ht="39.75" customHeight="1" x14ac:dyDescent="0.25">
      <c r="A795" s="364" t="s">
        <v>125</v>
      </c>
      <c r="B795" s="365" t="s">
        <v>187</v>
      </c>
      <c r="C795" s="365" t="s">
        <v>161</v>
      </c>
      <c r="D795" s="365" t="s">
        <v>512</v>
      </c>
      <c r="E795" s="365" t="s">
        <v>126</v>
      </c>
      <c r="F795" s="311">
        <f>'Пр.4 ведом.22'!G831</f>
        <v>500</v>
      </c>
    </row>
    <row r="796" spans="1:11" ht="36.75" hidden="1" customHeight="1" x14ac:dyDescent="0.25">
      <c r="A796" s="315" t="s">
        <v>500</v>
      </c>
      <c r="B796" s="316" t="s">
        <v>187</v>
      </c>
      <c r="C796" s="316" t="s">
        <v>161</v>
      </c>
      <c r="D796" s="316" t="s">
        <v>485</v>
      </c>
      <c r="E796" s="316"/>
      <c r="F796" s="310">
        <f>F797+F804</f>
        <v>0</v>
      </c>
    </row>
    <row r="797" spans="1:11" ht="31.5" hidden="1" x14ac:dyDescent="0.25">
      <c r="A797" s="364" t="s">
        <v>474</v>
      </c>
      <c r="B797" s="365" t="s">
        <v>187</v>
      </c>
      <c r="C797" s="365" t="s">
        <v>161</v>
      </c>
      <c r="D797" s="365" t="s">
        <v>486</v>
      </c>
      <c r="E797" s="365"/>
      <c r="F797" s="255">
        <f>F798+F800+F802</f>
        <v>0</v>
      </c>
    </row>
    <row r="798" spans="1:11" ht="78.75" hidden="1" x14ac:dyDescent="0.25">
      <c r="A798" s="364" t="s">
        <v>119</v>
      </c>
      <c r="B798" s="365" t="s">
        <v>187</v>
      </c>
      <c r="C798" s="365" t="s">
        <v>161</v>
      </c>
      <c r="D798" s="365" t="s">
        <v>486</v>
      </c>
      <c r="E798" s="365" t="s">
        <v>120</v>
      </c>
      <c r="F798" s="255">
        <f>F799</f>
        <v>0</v>
      </c>
    </row>
    <row r="799" spans="1:11" ht="24" hidden="1" customHeight="1" x14ac:dyDescent="0.25">
      <c r="A799" s="364" t="s">
        <v>212</v>
      </c>
      <c r="B799" s="365" t="s">
        <v>187</v>
      </c>
      <c r="C799" s="365" t="s">
        <v>161</v>
      </c>
      <c r="D799" s="365" t="s">
        <v>486</v>
      </c>
      <c r="E799" s="365" t="s">
        <v>156</v>
      </c>
      <c r="F799" s="311">
        <f>'Пр.4 ведом.22'!G835</f>
        <v>0</v>
      </c>
    </row>
    <row r="800" spans="1:11" ht="31.5" hidden="1" x14ac:dyDescent="0.25">
      <c r="A800" s="364" t="s">
        <v>123</v>
      </c>
      <c r="B800" s="365" t="s">
        <v>187</v>
      </c>
      <c r="C800" s="365" t="s">
        <v>161</v>
      </c>
      <c r="D800" s="365" t="s">
        <v>486</v>
      </c>
      <c r="E800" s="365" t="s">
        <v>124</v>
      </c>
      <c r="F800" s="311">
        <f>F801</f>
        <v>0</v>
      </c>
    </row>
    <row r="801" spans="1:12" ht="31.7" hidden="1" customHeight="1" x14ac:dyDescent="0.25">
      <c r="A801" s="364" t="s">
        <v>125</v>
      </c>
      <c r="B801" s="365" t="s">
        <v>187</v>
      </c>
      <c r="C801" s="365" t="s">
        <v>161</v>
      </c>
      <c r="D801" s="365" t="s">
        <v>486</v>
      </c>
      <c r="E801" s="365" t="s">
        <v>126</v>
      </c>
      <c r="F801" s="311">
        <f>'Пр.4 ведом.22'!G837</f>
        <v>0</v>
      </c>
    </row>
    <row r="802" spans="1:12" ht="22.7" hidden="1" customHeight="1" x14ac:dyDescent="0.25">
      <c r="A802" s="364" t="s">
        <v>127</v>
      </c>
      <c r="B802" s="365" t="s">
        <v>187</v>
      </c>
      <c r="C802" s="365" t="s">
        <v>161</v>
      </c>
      <c r="D802" s="365" t="s">
        <v>486</v>
      </c>
      <c r="E802" s="365" t="s">
        <v>134</v>
      </c>
      <c r="F802" s="311">
        <f t="shared" ref="F802" si="79">F803</f>
        <v>0</v>
      </c>
    </row>
    <row r="803" spans="1:12" ht="15.75" hidden="1" customHeight="1" x14ac:dyDescent="0.25">
      <c r="A803" s="364" t="s">
        <v>280</v>
      </c>
      <c r="B803" s="365" t="s">
        <v>187</v>
      </c>
      <c r="C803" s="365" t="s">
        <v>161</v>
      </c>
      <c r="D803" s="365" t="s">
        <v>486</v>
      </c>
      <c r="E803" s="365" t="s">
        <v>130</v>
      </c>
      <c r="F803" s="311">
        <f>'Пр.4 ведом.22'!G839</f>
        <v>0</v>
      </c>
    </row>
    <row r="804" spans="1:12" ht="47.25" hidden="1" customHeight="1" x14ac:dyDescent="0.25">
      <c r="A804" s="364" t="s">
        <v>416</v>
      </c>
      <c r="B804" s="365" t="s">
        <v>187</v>
      </c>
      <c r="C804" s="365" t="s">
        <v>161</v>
      </c>
      <c r="D804" s="365" t="s">
        <v>487</v>
      </c>
      <c r="E804" s="365"/>
      <c r="F804" s="311">
        <f>F805</f>
        <v>0</v>
      </c>
    </row>
    <row r="805" spans="1:12" ht="78.75" hidden="1" x14ac:dyDescent="0.25">
      <c r="A805" s="364" t="s">
        <v>119</v>
      </c>
      <c r="B805" s="365" t="s">
        <v>187</v>
      </c>
      <c r="C805" s="365" t="s">
        <v>161</v>
      </c>
      <c r="D805" s="365" t="s">
        <v>487</v>
      </c>
      <c r="E805" s="365" t="s">
        <v>120</v>
      </c>
      <c r="F805" s="311">
        <f>F806</f>
        <v>0</v>
      </c>
    </row>
    <row r="806" spans="1:12" ht="31.5" hidden="1" x14ac:dyDescent="0.25">
      <c r="A806" s="364" t="s">
        <v>121</v>
      </c>
      <c r="B806" s="365" t="s">
        <v>187</v>
      </c>
      <c r="C806" s="365" t="s">
        <v>161</v>
      </c>
      <c r="D806" s="365" t="s">
        <v>487</v>
      </c>
      <c r="E806" s="365" t="s">
        <v>122</v>
      </c>
      <c r="F806" s="311">
        <f>'Пр.4 ведом.22'!G842</f>
        <v>0</v>
      </c>
    </row>
    <row r="807" spans="1:12" ht="15.75" x14ac:dyDescent="0.25">
      <c r="A807" s="359" t="s">
        <v>202</v>
      </c>
      <c r="B807" s="7" t="s">
        <v>203</v>
      </c>
      <c r="C807" s="7"/>
      <c r="D807" s="7"/>
      <c r="E807" s="7"/>
      <c r="F807" s="310">
        <f>F808+F891</f>
        <v>89197.35</v>
      </c>
      <c r="H807" s="74"/>
      <c r="K807" s="154">
        <f>F807-F840-'Пр.4 ведом.22'!L1216-'Пр.4 ведом.22'!N1216-'Пр.4 ведом.22'!J1226-'Пр.4 ведом.22'!T1226</f>
        <v>86712.35</v>
      </c>
      <c r="L807" s="156">
        <f>F821+F840+F854-'Пр.4 ведом.22'!L1215-'Пр.4 ведом.22'!N1215-'Пр.4 ведом.22'!J1225-'Пр.4 ведом.22'!T1225</f>
        <v>2488.5</v>
      </c>
    </row>
    <row r="808" spans="1:12" ht="15.75" x14ac:dyDescent="0.25">
      <c r="A808" s="359" t="s">
        <v>204</v>
      </c>
      <c r="B808" s="7" t="s">
        <v>203</v>
      </c>
      <c r="C808" s="7" t="s">
        <v>116</v>
      </c>
      <c r="D808" s="7"/>
      <c r="E808" s="7"/>
      <c r="F808" s="310">
        <f>F809+F875+F883</f>
        <v>67916.45</v>
      </c>
      <c r="G808" s="74"/>
      <c r="H808" s="74"/>
      <c r="I808" s="74"/>
      <c r="J808" s="74"/>
    </row>
    <row r="809" spans="1:12" ht="34.5" customHeight="1" x14ac:dyDescent="0.25">
      <c r="A809" s="315" t="s">
        <v>854</v>
      </c>
      <c r="B809" s="316" t="s">
        <v>203</v>
      </c>
      <c r="C809" s="316" t="s">
        <v>116</v>
      </c>
      <c r="D809" s="316" t="s">
        <v>189</v>
      </c>
      <c r="E809" s="316"/>
      <c r="F809" s="310">
        <f>F810+F824+F833+F840+F849+F853+F864+F871</f>
        <v>67027.75</v>
      </c>
      <c r="H809" s="126"/>
    </row>
    <row r="810" spans="1:12" ht="34.5" customHeight="1" x14ac:dyDescent="0.25">
      <c r="A810" s="315" t="s">
        <v>814</v>
      </c>
      <c r="B810" s="316" t="s">
        <v>203</v>
      </c>
      <c r="C810" s="316" t="s">
        <v>116</v>
      </c>
      <c r="D810" s="316" t="s">
        <v>743</v>
      </c>
      <c r="E810" s="316"/>
      <c r="F810" s="310">
        <f>F814+F821+F811</f>
        <v>52501.3</v>
      </c>
    </row>
    <row r="811" spans="1:12" s="362" customFormat="1" ht="31.5" x14ac:dyDescent="0.25">
      <c r="A811" s="364" t="s">
        <v>205</v>
      </c>
      <c r="B811" s="365" t="s">
        <v>203</v>
      </c>
      <c r="C811" s="365" t="s">
        <v>116</v>
      </c>
      <c r="D811" s="402" t="s">
        <v>1192</v>
      </c>
      <c r="E811" s="365"/>
      <c r="F811" s="311">
        <f>F812</f>
        <v>28655.7</v>
      </c>
      <c r="G811" s="363"/>
      <c r="H811" s="363"/>
      <c r="I811" s="363"/>
      <c r="J811" s="363"/>
      <c r="K811" s="363"/>
    </row>
    <row r="812" spans="1:12" s="362" customFormat="1" ht="31.5" x14ac:dyDescent="0.25">
      <c r="A812" s="364" t="s">
        <v>191</v>
      </c>
      <c r="B812" s="365" t="s">
        <v>203</v>
      </c>
      <c r="C812" s="365" t="s">
        <v>116</v>
      </c>
      <c r="D812" s="402" t="s">
        <v>1192</v>
      </c>
      <c r="E812" s="365" t="s">
        <v>192</v>
      </c>
      <c r="F812" s="311">
        <f>F813</f>
        <v>28655.7</v>
      </c>
      <c r="G812" s="363"/>
      <c r="H812" s="363"/>
      <c r="I812" s="363"/>
      <c r="J812" s="363"/>
      <c r="K812" s="363"/>
    </row>
    <row r="813" spans="1:12" s="362" customFormat="1" ht="15.75" x14ac:dyDescent="0.25">
      <c r="A813" s="364" t="s">
        <v>193</v>
      </c>
      <c r="B813" s="365" t="s">
        <v>203</v>
      </c>
      <c r="C813" s="365" t="s">
        <v>116</v>
      </c>
      <c r="D813" s="402" t="s">
        <v>1192</v>
      </c>
      <c r="E813" s="365" t="s">
        <v>194</v>
      </c>
      <c r="F813" s="311">
        <f>'Пр.4 ведом.22'!G377</f>
        <v>28655.7</v>
      </c>
      <c r="G813" s="363"/>
      <c r="H813" s="363"/>
      <c r="I813" s="363"/>
      <c r="J813" s="363"/>
      <c r="K813" s="363"/>
    </row>
    <row r="814" spans="1:12" ht="15.75" x14ac:dyDescent="0.25">
      <c r="A814" s="364" t="s">
        <v>378</v>
      </c>
      <c r="B814" s="365" t="s">
        <v>203</v>
      </c>
      <c r="C814" s="365" t="s">
        <v>116</v>
      </c>
      <c r="D814" s="365" t="s">
        <v>744</v>
      </c>
      <c r="E814" s="365"/>
      <c r="F814" s="311">
        <f>F815+F817+F819</f>
        <v>23845.599999999999</v>
      </c>
    </row>
    <row r="815" spans="1:12" ht="78.75" x14ac:dyDescent="0.25">
      <c r="A815" s="364" t="s">
        <v>119</v>
      </c>
      <c r="B815" s="365" t="s">
        <v>203</v>
      </c>
      <c r="C815" s="365" t="s">
        <v>116</v>
      </c>
      <c r="D815" s="365" t="s">
        <v>744</v>
      </c>
      <c r="E815" s="365" t="s">
        <v>120</v>
      </c>
      <c r="F815" s="311">
        <f>F816</f>
        <v>19863.7</v>
      </c>
    </row>
    <row r="816" spans="1:12" ht="15.75" x14ac:dyDescent="0.25">
      <c r="A816" s="364" t="s">
        <v>155</v>
      </c>
      <c r="B816" s="365" t="s">
        <v>203</v>
      </c>
      <c r="C816" s="365" t="s">
        <v>116</v>
      </c>
      <c r="D816" s="365" t="s">
        <v>744</v>
      </c>
      <c r="E816" s="365" t="s">
        <v>156</v>
      </c>
      <c r="F816" s="311">
        <f>'Пр.4 ведом.22'!G380</f>
        <v>19863.7</v>
      </c>
    </row>
    <row r="817" spans="1:12" ht="31.5" x14ac:dyDescent="0.25">
      <c r="A817" s="364" t="s">
        <v>123</v>
      </c>
      <c r="B817" s="365" t="s">
        <v>203</v>
      </c>
      <c r="C817" s="365" t="s">
        <v>116</v>
      </c>
      <c r="D817" s="365" t="s">
        <v>744</v>
      </c>
      <c r="E817" s="365" t="s">
        <v>124</v>
      </c>
      <c r="F817" s="311">
        <f>F818</f>
        <v>3955.8999999999996</v>
      </c>
      <c r="G817" s="74"/>
      <c r="L817" s="16"/>
    </row>
    <row r="818" spans="1:12" ht="31.5" x14ac:dyDescent="0.25">
      <c r="A818" s="364" t="s">
        <v>125</v>
      </c>
      <c r="B818" s="365" t="s">
        <v>203</v>
      </c>
      <c r="C818" s="365" t="s">
        <v>116</v>
      </c>
      <c r="D818" s="365" t="s">
        <v>744</v>
      </c>
      <c r="E818" s="365" t="s">
        <v>126</v>
      </c>
      <c r="F818" s="311">
        <f>'Пр.4 ведом.22'!G382</f>
        <v>3955.8999999999996</v>
      </c>
    </row>
    <row r="819" spans="1:12" ht="15.75" x14ac:dyDescent="0.25">
      <c r="A819" s="364" t="s">
        <v>127</v>
      </c>
      <c r="B819" s="365" t="s">
        <v>203</v>
      </c>
      <c r="C819" s="365" t="s">
        <v>116</v>
      </c>
      <c r="D819" s="365" t="s">
        <v>744</v>
      </c>
      <c r="E819" s="365" t="s">
        <v>134</v>
      </c>
      <c r="F819" s="311">
        <f t="shared" ref="F819" si="80">F820</f>
        <v>26</v>
      </c>
    </row>
    <row r="820" spans="1:12" ht="15.75" x14ac:dyDescent="0.25">
      <c r="A820" s="364" t="s">
        <v>280</v>
      </c>
      <c r="B820" s="365" t="s">
        <v>203</v>
      </c>
      <c r="C820" s="365" t="s">
        <v>116</v>
      </c>
      <c r="D820" s="365" t="s">
        <v>744</v>
      </c>
      <c r="E820" s="365" t="s">
        <v>130</v>
      </c>
      <c r="F820" s="311">
        <f>'Пр.4 ведом.22'!G384</f>
        <v>26</v>
      </c>
    </row>
    <row r="821" spans="1:12" s="131" customFormat="1" ht="29.85" hidden="1" customHeight="1" x14ac:dyDescent="0.25">
      <c r="A821" s="24" t="s">
        <v>968</v>
      </c>
      <c r="B821" s="365" t="s">
        <v>203</v>
      </c>
      <c r="C821" s="365" t="s">
        <v>116</v>
      </c>
      <c r="D821" s="365" t="s">
        <v>962</v>
      </c>
      <c r="E821" s="365"/>
      <c r="F821" s="311">
        <f>F822</f>
        <v>0</v>
      </c>
      <c r="G821" s="363"/>
      <c r="H821" s="363"/>
      <c r="I821" s="363"/>
      <c r="J821" s="363"/>
      <c r="K821" s="363"/>
    </row>
    <row r="822" spans="1:12" s="131" customFormat="1" ht="78.75" hidden="1" x14ac:dyDescent="0.25">
      <c r="A822" s="364" t="s">
        <v>119</v>
      </c>
      <c r="B822" s="365" t="s">
        <v>203</v>
      </c>
      <c r="C822" s="365" t="s">
        <v>116</v>
      </c>
      <c r="D822" s="365" t="s">
        <v>962</v>
      </c>
      <c r="E822" s="365" t="s">
        <v>120</v>
      </c>
      <c r="F822" s="311">
        <f>F823</f>
        <v>0</v>
      </c>
      <c r="G822" s="363"/>
      <c r="H822" s="363"/>
      <c r="I822" s="363"/>
      <c r="J822" s="363"/>
      <c r="K822" s="363"/>
    </row>
    <row r="823" spans="1:12" s="131" customFormat="1" ht="15.75" hidden="1" x14ac:dyDescent="0.25">
      <c r="A823" s="364" t="s">
        <v>155</v>
      </c>
      <c r="B823" s="365" t="s">
        <v>203</v>
      </c>
      <c r="C823" s="365" t="s">
        <v>116</v>
      </c>
      <c r="D823" s="365" t="s">
        <v>962</v>
      </c>
      <c r="E823" s="365" t="s">
        <v>156</v>
      </c>
      <c r="F823" s="311">
        <f>'Пр.4 ведом.22'!G387</f>
        <v>0</v>
      </c>
      <c r="G823" s="363"/>
      <c r="H823" s="363"/>
      <c r="I823" s="363"/>
      <c r="J823" s="363"/>
      <c r="K823" s="363"/>
    </row>
    <row r="824" spans="1:12" ht="31.5" x14ac:dyDescent="0.25">
      <c r="A824" s="143" t="s">
        <v>816</v>
      </c>
      <c r="B824" s="316" t="s">
        <v>203</v>
      </c>
      <c r="C824" s="316" t="s">
        <v>116</v>
      </c>
      <c r="D824" s="316" t="s">
        <v>745</v>
      </c>
      <c r="E824" s="316"/>
      <c r="F824" s="310">
        <f>F825+F830</f>
        <v>725.3</v>
      </c>
    </row>
    <row r="825" spans="1:12" ht="31.5" hidden="1" x14ac:dyDescent="0.25">
      <c r="A825" s="24" t="s">
        <v>394</v>
      </c>
      <c r="B825" s="365" t="s">
        <v>203</v>
      </c>
      <c r="C825" s="365" t="s">
        <v>116</v>
      </c>
      <c r="D825" s="365" t="s">
        <v>747</v>
      </c>
      <c r="E825" s="365"/>
      <c r="F825" s="311">
        <f>F826+F828</f>
        <v>0</v>
      </c>
    </row>
    <row r="826" spans="1:12" ht="78.75" hidden="1" x14ac:dyDescent="0.25">
      <c r="A826" s="364" t="s">
        <v>119</v>
      </c>
      <c r="B826" s="365" t="s">
        <v>203</v>
      </c>
      <c r="C826" s="365" t="s">
        <v>116</v>
      </c>
      <c r="D826" s="365" t="s">
        <v>747</v>
      </c>
      <c r="E826" s="365" t="s">
        <v>120</v>
      </c>
      <c r="F826" s="311">
        <f>F827</f>
        <v>0</v>
      </c>
    </row>
    <row r="827" spans="1:12" ht="15.75" hidden="1" x14ac:dyDescent="0.25">
      <c r="A827" s="364" t="s">
        <v>155</v>
      </c>
      <c r="B827" s="365" t="s">
        <v>203</v>
      </c>
      <c r="C827" s="365" t="s">
        <v>116</v>
      </c>
      <c r="D827" s="365" t="s">
        <v>747</v>
      </c>
      <c r="E827" s="365" t="s">
        <v>156</v>
      </c>
      <c r="F827" s="311">
        <f>'Пр.4 ведом.22'!G391</f>
        <v>0</v>
      </c>
    </row>
    <row r="828" spans="1:12" ht="31.5" hidden="1" x14ac:dyDescent="0.25">
      <c r="A828" s="364" t="s">
        <v>123</v>
      </c>
      <c r="B828" s="365" t="s">
        <v>203</v>
      </c>
      <c r="C828" s="365" t="s">
        <v>116</v>
      </c>
      <c r="D828" s="365" t="s">
        <v>747</v>
      </c>
      <c r="E828" s="365" t="s">
        <v>124</v>
      </c>
      <c r="F828" s="311">
        <f>F829</f>
        <v>0</v>
      </c>
    </row>
    <row r="829" spans="1:12" ht="31.5" hidden="1" x14ac:dyDescent="0.25">
      <c r="A829" s="364" t="s">
        <v>125</v>
      </c>
      <c r="B829" s="365" t="s">
        <v>203</v>
      </c>
      <c r="C829" s="365" t="s">
        <v>116</v>
      </c>
      <c r="D829" s="365" t="s">
        <v>747</v>
      </c>
      <c r="E829" s="365" t="s">
        <v>126</v>
      </c>
      <c r="F829" s="311">
        <f>'Пр.4 ведом.22'!G393</f>
        <v>0</v>
      </c>
    </row>
    <row r="830" spans="1:12" s="362" customFormat="1" ht="31.5" x14ac:dyDescent="0.25">
      <c r="A830" s="364" t="s">
        <v>1193</v>
      </c>
      <c r="B830" s="365" t="s">
        <v>203</v>
      </c>
      <c r="C830" s="365" t="s">
        <v>116</v>
      </c>
      <c r="D830" s="402" t="s">
        <v>1194</v>
      </c>
      <c r="E830" s="365"/>
      <c r="F830" s="311">
        <f>F831</f>
        <v>725.3</v>
      </c>
      <c r="G830" s="363"/>
      <c r="H830" s="363"/>
      <c r="I830" s="363"/>
      <c r="J830" s="363"/>
      <c r="K830" s="363"/>
    </row>
    <row r="831" spans="1:12" s="362" customFormat="1" ht="31.5" x14ac:dyDescent="0.25">
      <c r="A831" s="364" t="s">
        <v>191</v>
      </c>
      <c r="B831" s="365" t="s">
        <v>203</v>
      </c>
      <c r="C831" s="365" t="s">
        <v>116</v>
      </c>
      <c r="D831" s="402" t="s">
        <v>1194</v>
      </c>
      <c r="E831" s="365" t="s">
        <v>192</v>
      </c>
      <c r="F831" s="311">
        <f>F832</f>
        <v>725.3</v>
      </c>
      <c r="G831" s="363"/>
      <c r="H831" s="363"/>
      <c r="I831" s="363"/>
      <c r="J831" s="363"/>
      <c r="K831" s="363"/>
    </row>
    <row r="832" spans="1:12" s="362" customFormat="1" ht="15.75" x14ac:dyDescent="0.25">
      <c r="A832" s="364" t="s">
        <v>193</v>
      </c>
      <c r="B832" s="365" t="s">
        <v>203</v>
      </c>
      <c r="C832" s="365" t="s">
        <v>116</v>
      </c>
      <c r="D832" s="402" t="s">
        <v>1194</v>
      </c>
      <c r="E832" s="365" t="s">
        <v>194</v>
      </c>
      <c r="F832" s="311">
        <f>'Пр.4 ведом.22'!G396</f>
        <v>725.3</v>
      </c>
      <c r="G832" s="363"/>
      <c r="H832" s="363"/>
      <c r="I832" s="363"/>
      <c r="J832" s="363"/>
      <c r="K832" s="363"/>
    </row>
    <row r="833" spans="1:11" ht="31.5" x14ac:dyDescent="0.25">
      <c r="A833" s="315" t="s">
        <v>514</v>
      </c>
      <c r="B833" s="316" t="s">
        <v>203</v>
      </c>
      <c r="C833" s="316" t="s">
        <v>116</v>
      </c>
      <c r="D833" s="316" t="s">
        <v>748</v>
      </c>
      <c r="E833" s="316"/>
      <c r="F833" s="310">
        <f>F834+F837</f>
        <v>903</v>
      </c>
    </row>
    <row r="834" spans="1:11" ht="47.25" x14ac:dyDescent="0.25">
      <c r="A834" s="364" t="s">
        <v>416</v>
      </c>
      <c r="B834" s="365" t="s">
        <v>203</v>
      </c>
      <c r="C834" s="365" t="s">
        <v>116</v>
      </c>
      <c r="D834" s="365" t="s">
        <v>749</v>
      </c>
      <c r="E834" s="365"/>
      <c r="F834" s="311">
        <f>F835</f>
        <v>473</v>
      </c>
    </row>
    <row r="835" spans="1:11" ht="78.75" x14ac:dyDescent="0.25">
      <c r="A835" s="364" t="s">
        <v>119</v>
      </c>
      <c r="B835" s="365" t="s">
        <v>203</v>
      </c>
      <c r="C835" s="365" t="s">
        <v>116</v>
      </c>
      <c r="D835" s="365" t="s">
        <v>749</v>
      </c>
      <c r="E835" s="365" t="s">
        <v>120</v>
      </c>
      <c r="F835" s="311">
        <f>F836</f>
        <v>473</v>
      </c>
    </row>
    <row r="836" spans="1:11" ht="31.5" x14ac:dyDescent="0.25">
      <c r="A836" s="364" t="s">
        <v>121</v>
      </c>
      <c r="B836" s="365" t="s">
        <v>203</v>
      </c>
      <c r="C836" s="365" t="s">
        <v>116</v>
      </c>
      <c r="D836" s="365" t="s">
        <v>749</v>
      </c>
      <c r="E836" s="365" t="s">
        <v>156</v>
      </c>
      <c r="F836" s="311">
        <f>'Пр.4 ведом.22'!G400</f>
        <v>473</v>
      </c>
    </row>
    <row r="837" spans="1:11" s="362" customFormat="1" ht="31.5" x14ac:dyDescent="0.25">
      <c r="A837" s="399" t="s">
        <v>344</v>
      </c>
      <c r="B837" s="365" t="s">
        <v>203</v>
      </c>
      <c r="C837" s="365" t="s">
        <v>116</v>
      </c>
      <c r="D837" s="402" t="s">
        <v>1195</v>
      </c>
      <c r="E837" s="365"/>
      <c r="F837" s="311">
        <f>F838</f>
        <v>430</v>
      </c>
      <c r="G837" s="363"/>
      <c r="H837" s="363"/>
      <c r="I837" s="363"/>
      <c r="J837" s="363"/>
      <c r="K837" s="363"/>
    </row>
    <row r="838" spans="1:11" s="362" customFormat="1" ht="31.5" x14ac:dyDescent="0.25">
      <c r="A838" s="399" t="s">
        <v>191</v>
      </c>
      <c r="B838" s="365" t="s">
        <v>203</v>
      </c>
      <c r="C838" s="365" t="s">
        <v>116</v>
      </c>
      <c r="D838" s="402" t="s">
        <v>1195</v>
      </c>
      <c r="E838" s="365" t="s">
        <v>192</v>
      </c>
      <c r="F838" s="311">
        <f>F839</f>
        <v>430</v>
      </c>
      <c r="G838" s="363"/>
      <c r="H838" s="363"/>
      <c r="I838" s="363"/>
      <c r="J838" s="363"/>
      <c r="K838" s="363"/>
    </row>
    <row r="839" spans="1:11" s="362" customFormat="1" ht="15.75" x14ac:dyDescent="0.25">
      <c r="A839" s="364" t="s">
        <v>193</v>
      </c>
      <c r="B839" s="365" t="s">
        <v>203</v>
      </c>
      <c r="C839" s="365" t="s">
        <v>116</v>
      </c>
      <c r="D839" s="402" t="s">
        <v>1195</v>
      </c>
      <c r="E839" s="365" t="s">
        <v>194</v>
      </c>
      <c r="F839" s="311">
        <f>'Пр.4 ведом.22'!G403</f>
        <v>430</v>
      </c>
      <c r="G839" s="363"/>
      <c r="H839" s="363"/>
      <c r="I839" s="363"/>
      <c r="J839" s="363"/>
      <c r="K839" s="363"/>
    </row>
    <row r="840" spans="1:11" ht="47.25" x14ac:dyDescent="0.25">
      <c r="A840" s="144" t="s">
        <v>471</v>
      </c>
      <c r="B840" s="316" t="s">
        <v>203</v>
      </c>
      <c r="C840" s="316" t="s">
        <v>116</v>
      </c>
      <c r="D840" s="316" t="s">
        <v>750</v>
      </c>
      <c r="E840" s="316"/>
      <c r="F840" s="310">
        <f>F841+F846</f>
        <v>2485</v>
      </c>
    </row>
    <row r="841" spans="1:11" s="131" customFormat="1" ht="94.5" x14ac:dyDescent="0.25">
      <c r="A841" s="24" t="s">
        <v>200</v>
      </c>
      <c r="B841" s="365" t="s">
        <v>203</v>
      </c>
      <c r="C841" s="365" t="s">
        <v>116</v>
      </c>
      <c r="D841" s="365" t="s">
        <v>897</v>
      </c>
      <c r="E841" s="365"/>
      <c r="F841" s="311">
        <f>F842+F844</f>
        <v>2100.5</v>
      </c>
      <c r="G841" s="363"/>
      <c r="H841" s="363"/>
      <c r="I841" s="363"/>
      <c r="J841" s="363"/>
      <c r="K841" s="363"/>
    </row>
    <row r="842" spans="1:11" s="131" customFormat="1" ht="78.75" x14ac:dyDescent="0.25">
      <c r="A842" s="364" t="s">
        <v>119</v>
      </c>
      <c r="B842" s="365" t="s">
        <v>203</v>
      </c>
      <c r="C842" s="365" t="s">
        <v>116</v>
      </c>
      <c r="D842" s="365" t="s">
        <v>897</v>
      </c>
      <c r="E842" s="365" t="s">
        <v>120</v>
      </c>
      <c r="F842" s="311">
        <f>F843</f>
        <v>1204.3</v>
      </c>
      <c r="G842" s="363"/>
      <c r="H842" s="363"/>
      <c r="I842" s="363"/>
      <c r="J842" s="363"/>
      <c r="K842" s="363"/>
    </row>
    <row r="843" spans="1:11" s="131" customFormat="1" ht="15.75" x14ac:dyDescent="0.25">
      <c r="A843" s="364" t="s">
        <v>155</v>
      </c>
      <c r="B843" s="365" t="s">
        <v>203</v>
      </c>
      <c r="C843" s="365" t="s">
        <v>116</v>
      </c>
      <c r="D843" s="365" t="s">
        <v>897</v>
      </c>
      <c r="E843" s="365" t="s">
        <v>156</v>
      </c>
      <c r="F843" s="311">
        <f>'Пр.4 ведом.22'!G407</f>
        <v>1204.3</v>
      </c>
      <c r="G843" s="363"/>
      <c r="H843" s="363"/>
      <c r="I843" s="363"/>
      <c r="J843" s="363"/>
      <c r="K843" s="363"/>
    </row>
    <row r="844" spans="1:11" s="362" customFormat="1" ht="31.5" x14ac:dyDescent="0.25">
      <c r="A844" s="364" t="s">
        <v>191</v>
      </c>
      <c r="B844" s="365" t="s">
        <v>203</v>
      </c>
      <c r="C844" s="365" t="s">
        <v>116</v>
      </c>
      <c r="D844" s="365" t="s">
        <v>897</v>
      </c>
      <c r="E844" s="365" t="s">
        <v>192</v>
      </c>
      <c r="F844" s="311">
        <f>F845</f>
        <v>896.19999999999993</v>
      </c>
      <c r="G844" s="363"/>
      <c r="H844" s="363"/>
      <c r="I844" s="363"/>
      <c r="J844" s="363"/>
      <c r="K844" s="363"/>
    </row>
    <row r="845" spans="1:11" s="362" customFormat="1" ht="15.75" x14ac:dyDescent="0.25">
      <c r="A845" s="364" t="s">
        <v>193</v>
      </c>
      <c r="B845" s="365" t="s">
        <v>203</v>
      </c>
      <c r="C845" s="365" t="s">
        <v>116</v>
      </c>
      <c r="D845" s="365" t="s">
        <v>897</v>
      </c>
      <c r="E845" s="365" t="s">
        <v>194</v>
      </c>
      <c r="F845" s="311">
        <f>'Пр.4 ведом.22'!G409</f>
        <v>896.19999999999993</v>
      </c>
      <c r="G845" s="363"/>
      <c r="H845" s="363"/>
      <c r="I845" s="363"/>
      <c r="J845" s="363"/>
      <c r="K845" s="363"/>
    </row>
    <row r="846" spans="1:11" s="131" customFormat="1" ht="78.75" x14ac:dyDescent="0.25">
      <c r="A846" s="364" t="s">
        <v>207</v>
      </c>
      <c r="B846" s="365" t="s">
        <v>203</v>
      </c>
      <c r="C846" s="365" t="s">
        <v>116</v>
      </c>
      <c r="D846" s="365" t="s">
        <v>808</v>
      </c>
      <c r="E846" s="365"/>
      <c r="F846" s="318">
        <f>F847</f>
        <v>384.5</v>
      </c>
      <c r="G846" s="363"/>
      <c r="H846" s="363"/>
      <c r="I846" s="363"/>
      <c r="J846" s="363"/>
      <c r="K846" s="363"/>
    </row>
    <row r="847" spans="1:11" s="131" customFormat="1" ht="78.75" x14ac:dyDescent="0.25">
      <c r="A847" s="364" t="s">
        <v>119</v>
      </c>
      <c r="B847" s="365" t="s">
        <v>203</v>
      </c>
      <c r="C847" s="365" t="s">
        <v>116</v>
      </c>
      <c r="D847" s="365" t="s">
        <v>808</v>
      </c>
      <c r="E847" s="365" t="s">
        <v>120</v>
      </c>
      <c r="F847" s="318">
        <f>F848</f>
        <v>384.5</v>
      </c>
      <c r="G847" s="363"/>
      <c r="H847" s="363"/>
      <c r="I847" s="363"/>
      <c r="J847" s="363"/>
      <c r="K847" s="363"/>
    </row>
    <row r="848" spans="1:11" s="131" customFormat="1" ht="15.75" x14ac:dyDescent="0.25">
      <c r="A848" s="364" t="s">
        <v>155</v>
      </c>
      <c r="B848" s="365" t="s">
        <v>203</v>
      </c>
      <c r="C848" s="365" t="s">
        <v>116</v>
      </c>
      <c r="D848" s="365" t="s">
        <v>808</v>
      </c>
      <c r="E848" s="365" t="s">
        <v>156</v>
      </c>
      <c r="F848" s="318">
        <f>'Пр.4 ведом.22'!G412</f>
        <v>384.5</v>
      </c>
      <c r="G848" s="363"/>
      <c r="H848" s="363"/>
      <c r="I848" s="363"/>
      <c r="J848" s="363"/>
      <c r="K848" s="363"/>
    </row>
    <row r="849" spans="1:11" s="131" customFormat="1" ht="31.5" x14ac:dyDescent="0.25">
      <c r="A849" s="315" t="s">
        <v>473</v>
      </c>
      <c r="B849" s="316" t="s">
        <v>203</v>
      </c>
      <c r="C849" s="316" t="s">
        <v>116</v>
      </c>
      <c r="D849" s="316" t="s">
        <v>753</v>
      </c>
      <c r="E849" s="316"/>
      <c r="F849" s="310">
        <f>F850</f>
        <v>50</v>
      </c>
      <c r="G849" s="363"/>
      <c r="H849" s="363"/>
      <c r="I849" s="363"/>
      <c r="J849" s="363"/>
      <c r="K849" s="363"/>
    </row>
    <row r="850" spans="1:11" s="131" customFormat="1" ht="31.5" x14ac:dyDescent="0.25">
      <c r="A850" s="364" t="s">
        <v>399</v>
      </c>
      <c r="B850" s="365" t="s">
        <v>203</v>
      </c>
      <c r="C850" s="365" t="s">
        <v>116</v>
      </c>
      <c r="D850" s="365" t="s">
        <v>754</v>
      </c>
      <c r="E850" s="365"/>
      <c r="F850" s="311">
        <f>F851</f>
        <v>50</v>
      </c>
      <c r="G850" s="363"/>
      <c r="H850" s="363"/>
      <c r="I850" s="363"/>
      <c r="J850" s="363"/>
      <c r="K850" s="363"/>
    </row>
    <row r="851" spans="1:11" s="131" customFormat="1" ht="31.5" x14ac:dyDescent="0.25">
      <c r="A851" s="364" t="s">
        <v>123</v>
      </c>
      <c r="B851" s="365" t="s">
        <v>203</v>
      </c>
      <c r="C851" s="365" t="s">
        <v>116</v>
      </c>
      <c r="D851" s="365" t="s">
        <v>754</v>
      </c>
      <c r="E851" s="365" t="s">
        <v>124</v>
      </c>
      <c r="F851" s="311">
        <f>F852</f>
        <v>50</v>
      </c>
      <c r="G851" s="363"/>
      <c r="H851" s="363"/>
      <c r="I851" s="363"/>
      <c r="J851" s="363"/>
      <c r="K851" s="363"/>
    </row>
    <row r="852" spans="1:11" s="131" customFormat="1" ht="31.5" x14ac:dyDescent="0.25">
      <c r="A852" s="364" t="s">
        <v>125</v>
      </c>
      <c r="B852" s="365" t="s">
        <v>203</v>
      </c>
      <c r="C852" s="365" t="s">
        <v>116</v>
      </c>
      <c r="D852" s="365" t="s">
        <v>754</v>
      </c>
      <c r="E852" s="365" t="s">
        <v>126</v>
      </c>
      <c r="F852" s="311">
        <f>'Пр.4 ведом.22'!G416</f>
        <v>50</v>
      </c>
      <c r="G852" s="363"/>
      <c r="H852" s="363"/>
      <c r="I852" s="363"/>
      <c r="J852" s="363"/>
      <c r="K852" s="363"/>
    </row>
    <row r="853" spans="1:11" s="131" customFormat="1" ht="31.5" x14ac:dyDescent="0.25">
      <c r="A853" s="315" t="s">
        <v>573</v>
      </c>
      <c r="B853" s="316" t="s">
        <v>203</v>
      </c>
      <c r="C853" s="316" t="s">
        <v>116</v>
      </c>
      <c r="D853" s="316" t="s">
        <v>755</v>
      </c>
      <c r="E853" s="316"/>
      <c r="F853" s="310">
        <f>F854+F857</f>
        <v>63.95</v>
      </c>
      <c r="G853" s="363"/>
      <c r="H853" s="363"/>
      <c r="I853" s="363"/>
      <c r="J853" s="363"/>
      <c r="K853" s="363"/>
    </row>
    <row r="854" spans="1:11" s="131" customFormat="1" ht="31.5" x14ac:dyDescent="0.25">
      <c r="A854" s="364" t="s">
        <v>963</v>
      </c>
      <c r="B854" s="365" t="s">
        <v>203</v>
      </c>
      <c r="C854" s="365" t="s">
        <v>116</v>
      </c>
      <c r="D854" s="365" t="s">
        <v>756</v>
      </c>
      <c r="E854" s="365"/>
      <c r="F854" s="311">
        <f>F855</f>
        <v>3.5</v>
      </c>
      <c r="G854" s="363"/>
      <c r="H854" s="363"/>
      <c r="I854" s="363"/>
      <c r="J854" s="363"/>
      <c r="K854" s="363"/>
    </row>
    <row r="855" spans="1:11" s="131" customFormat="1" ht="31.5" x14ac:dyDescent="0.25">
      <c r="A855" s="364" t="s">
        <v>123</v>
      </c>
      <c r="B855" s="365" t="s">
        <v>203</v>
      </c>
      <c r="C855" s="365" t="s">
        <v>116</v>
      </c>
      <c r="D855" s="365" t="s">
        <v>756</v>
      </c>
      <c r="E855" s="365" t="s">
        <v>124</v>
      </c>
      <c r="F855" s="311">
        <f>F856</f>
        <v>3.5</v>
      </c>
      <c r="G855" s="363"/>
      <c r="H855" s="363"/>
      <c r="I855" s="363"/>
      <c r="J855" s="363"/>
      <c r="K855" s="363"/>
    </row>
    <row r="856" spans="1:11" s="131" customFormat="1" ht="31.5" x14ac:dyDescent="0.25">
      <c r="A856" s="364" t="s">
        <v>125</v>
      </c>
      <c r="B856" s="365" t="s">
        <v>203</v>
      </c>
      <c r="C856" s="365" t="s">
        <v>116</v>
      </c>
      <c r="D856" s="365" t="s">
        <v>756</v>
      </c>
      <c r="E856" s="365" t="s">
        <v>126</v>
      </c>
      <c r="F856" s="311">
        <f>'Пр.4 ведом.22'!G420</f>
        <v>3.5</v>
      </c>
      <c r="G856" s="363"/>
      <c r="H856" s="363"/>
      <c r="I856" s="363"/>
      <c r="J856" s="363"/>
      <c r="K856" s="363"/>
    </row>
    <row r="857" spans="1:11" s="362" customFormat="1" ht="31.5" x14ac:dyDescent="0.25">
      <c r="A857" s="364" t="s">
        <v>1137</v>
      </c>
      <c r="B857" s="365" t="s">
        <v>203</v>
      </c>
      <c r="C857" s="365" t="s">
        <v>116</v>
      </c>
      <c r="D857" s="365" t="s">
        <v>1138</v>
      </c>
      <c r="E857" s="365"/>
      <c r="F857" s="311">
        <f>F858</f>
        <v>60.45</v>
      </c>
      <c r="G857" s="363"/>
      <c r="H857" s="363"/>
      <c r="I857" s="363"/>
      <c r="J857" s="363"/>
      <c r="K857" s="363"/>
    </row>
    <row r="858" spans="1:11" s="362" customFormat="1" ht="31.5" x14ac:dyDescent="0.25">
      <c r="A858" s="364" t="s">
        <v>123</v>
      </c>
      <c r="B858" s="365" t="s">
        <v>203</v>
      </c>
      <c r="C858" s="365" t="s">
        <v>116</v>
      </c>
      <c r="D858" s="365" t="s">
        <v>1138</v>
      </c>
      <c r="E858" s="365" t="s">
        <v>124</v>
      </c>
      <c r="F858" s="311">
        <f>F859</f>
        <v>60.45</v>
      </c>
      <c r="G858" s="363"/>
      <c r="H858" s="363"/>
      <c r="I858" s="363"/>
      <c r="J858" s="363"/>
      <c r="K858" s="363"/>
    </row>
    <row r="859" spans="1:11" s="362" customFormat="1" ht="31.5" x14ac:dyDescent="0.25">
      <c r="A859" s="364" t="s">
        <v>125</v>
      </c>
      <c r="B859" s="365" t="s">
        <v>203</v>
      </c>
      <c r="C859" s="365" t="s">
        <v>116</v>
      </c>
      <c r="D859" s="365" t="s">
        <v>1138</v>
      </c>
      <c r="E859" s="365" t="s">
        <v>126</v>
      </c>
      <c r="F859" s="311">
        <f>'Пр.4 ведом.22'!G423</f>
        <v>60.45</v>
      </c>
      <c r="G859" s="363"/>
      <c r="H859" s="363"/>
      <c r="I859" s="363"/>
      <c r="J859" s="363"/>
      <c r="K859" s="363"/>
    </row>
    <row r="860" spans="1:11" s="309" customFormat="1" ht="31.5" hidden="1" x14ac:dyDescent="0.25">
      <c r="A860" s="26" t="s">
        <v>1039</v>
      </c>
      <c r="B860" s="316" t="s">
        <v>203</v>
      </c>
      <c r="C860" s="316" t="s">
        <v>116</v>
      </c>
      <c r="D860" s="316" t="s">
        <v>1041</v>
      </c>
      <c r="E860" s="316"/>
      <c r="F860" s="310">
        <f>F861</f>
        <v>0</v>
      </c>
      <c r="G860" s="363"/>
      <c r="H860" s="363"/>
      <c r="I860" s="363"/>
      <c r="J860" s="363"/>
      <c r="K860" s="363"/>
    </row>
    <row r="861" spans="1:11" s="309" customFormat="1" ht="63" hidden="1" x14ac:dyDescent="0.25">
      <c r="A861" s="24" t="s">
        <v>1040</v>
      </c>
      <c r="B861" s="365" t="s">
        <v>203</v>
      </c>
      <c r="C861" s="365" t="s">
        <v>116</v>
      </c>
      <c r="D861" s="365" t="s">
        <v>1042</v>
      </c>
      <c r="E861" s="365"/>
      <c r="F861" s="311">
        <f>F862</f>
        <v>0</v>
      </c>
      <c r="G861" s="363"/>
      <c r="H861" s="363"/>
      <c r="I861" s="363"/>
      <c r="J861" s="363"/>
      <c r="K861" s="363"/>
    </row>
    <row r="862" spans="1:11" s="309" customFormat="1" ht="31.5" hidden="1" x14ac:dyDescent="0.25">
      <c r="A862" s="364" t="s">
        <v>123</v>
      </c>
      <c r="B862" s="365" t="s">
        <v>203</v>
      </c>
      <c r="C862" s="365" t="s">
        <v>116</v>
      </c>
      <c r="D862" s="365" t="s">
        <v>1042</v>
      </c>
      <c r="E862" s="365" t="s">
        <v>124</v>
      </c>
      <c r="F862" s="311">
        <f>F863</f>
        <v>0</v>
      </c>
      <c r="G862" s="363"/>
      <c r="H862" s="363"/>
      <c r="I862" s="363"/>
      <c r="J862" s="363"/>
      <c r="K862" s="363"/>
    </row>
    <row r="863" spans="1:11" s="309" customFormat="1" ht="31.5" hidden="1" x14ac:dyDescent="0.25">
      <c r="A863" s="364" t="s">
        <v>125</v>
      </c>
      <c r="B863" s="365" t="s">
        <v>203</v>
      </c>
      <c r="C863" s="365" t="s">
        <v>116</v>
      </c>
      <c r="D863" s="365" t="s">
        <v>1042</v>
      </c>
      <c r="E863" s="365" t="s">
        <v>126</v>
      </c>
      <c r="F863" s="311">
        <f>'Пр.4 ведом.22'!G427</f>
        <v>0</v>
      </c>
      <c r="G863" s="363"/>
      <c r="H863" s="363"/>
      <c r="I863" s="363"/>
      <c r="J863" s="363"/>
      <c r="K863" s="363"/>
    </row>
    <row r="864" spans="1:11" s="131" customFormat="1" ht="31.5" x14ac:dyDescent="0.25">
      <c r="A864" s="358" t="s">
        <v>725</v>
      </c>
      <c r="B864" s="316" t="s">
        <v>203</v>
      </c>
      <c r="C864" s="316" t="s">
        <v>116</v>
      </c>
      <c r="D864" s="316" t="s">
        <v>751</v>
      </c>
      <c r="E864" s="316"/>
      <c r="F864" s="314">
        <f>F868</f>
        <v>10178.300000000001</v>
      </c>
      <c r="G864" s="363"/>
      <c r="H864" s="363"/>
      <c r="I864" s="363"/>
      <c r="J864" s="363"/>
      <c r="K864" s="363"/>
    </row>
    <row r="865" spans="1:11" s="362" customFormat="1" ht="47.25" hidden="1" x14ac:dyDescent="0.25">
      <c r="A865" s="354" t="s">
        <v>1103</v>
      </c>
      <c r="B865" s="365" t="s">
        <v>203</v>
      </c>
      <c r="C865" s="365" t="s">
        <v>116</v>
      </c>
      <c r="D865" s="365" t="s">
        <v>1102</v>
      </c>
      <c r="E865" s="365"/>
      <c r="F865" s="318">
        <f>F866</f>
        <v>0</v>
      </c>
      <c r="G865" s="363"/>
      <c r="H865" s="363"/>
      <c r="I865" s="363"/>
      <c r="J865" s="363"/>
      <c r="K865" s="363"/>
    </row>
    <row r="866" spans="1:11" s="362" customFormat="1" ht="31.5" hidden="1" x14ac:dyDescent="0.25">
      <c r="A866" s="364" t="s">
        <v>123</v>
      </c>
      <c r="B866" s="365" t="s">
        <v>203</v>
      </c>
      <c r="C866" s="365" t="s">
        <v>116</v>
      </c>
      <c r="D866" s="365" t="s">
        <v>1102</v>
      </c>
      <c r="E866" s="365" t="s">
        <v>124</v>
      </c>
      <c r="F866" s="318">
        <f>F867</f>
        <v>0</v>
      </c>
      <c r="G866" s="363"/>
      <c r="H866" s="363"/>
      <c r="I866" s="363"/>
      <c r="J866" s="363"/>
      <c r="K866" s="363"/>
    </row>
    <row r="867" spans="1:11" s="362" customFormat="1" ht="31.5" hidden="1" x14ac:dyDescent="0.25">
      <c r="A867" s="364" t="s">
        <v>125</v>
      </c>
      <c r="B867" s="365" t="s">
        <v>203</v>
      </c>
      <c r="C867" s="365" t="s">
        <v>116</v>
      </c>
      <c r="D867" s="365" t="s">
        <v>1102</v>
      </c>
      <c r="E867" s="365" t="s">
        <v>126</v>
      </c>
      <c r="F867" s="318">
        <f>'Пр.4 ведом.22'!G431</f>
        <v>0</v>
      </c>
      <c r="G867" s="363"/>
      <c r="H867" s="363"/>
      <c r="I867" s="363"/>
      <c r="J867" s="363"/>
      <c r="K867" s="363"/>
    </row>
    <row r="868" spans="1:11" s="362" customFormat="1" ht="15.75" x14ac:dyDescent="0.25">
      <c r="A868" s="361" t="s">
        <v>1134</v>
      </c>
      <c r="B868" s="365" t="s">
        <v>203</v>
      </c>
      <c r="C868" s="365" t="s">
        <v>116</v>
      </c>
      <c r="D868" s="365" t="s">
        <v>1135</v>
      </c>
      <c r="E868" s="316"/>
      <c r="F868" s="318">
        <f>F869</f>
        <v>10178.300000000001</v>
      </c>
      <c r="G868" s="363"/>
      <c r="H868" s="363"/>
      <c r="I868" s="363"/>
      <c r="J868" s="363"/>
      <c r="K868" s="363"/>
    </row>
    <row r="869" spans="1:11" s="362" customFormat="1" ht="31.5" x14ac:dyDescent="0.25">
      <c r="A869" s="364" t="s">
        <v>191</v>
      </c>
      <c r="B869" s="365" t="s">
        <v>203</v>
      </c>
      <c r="C869" s="365" t="s">
        <v>116</v>
      </c>
      <c r="D869" s="365" t="s">
        <v>1135</v>
      </c>
      <c r="E869" s="365" t="s">
        <v>192</v>
      </c>
      <c r="F869" s="318">
        <f>F870</f>
        <v>10178.300000000001</v>
      </c>
      <c r="G869" s="363"/>
      <c r="H869" s="363"/>
      <c r="I869" s="363"/>
      <c r="J869" s="363"/>
      <c r="K869" s="363"/>
    </row>
    <row r="870" spans="1:11" s="362" customFormat="1" ht="15.75" x14ac:dyDescent="0.25">
      <c r="A870" s="364" t="s">
        <v>193</v>
      </c>
      <c r="B870" s="365" t="s">
        <v>203</v>
      </c>
      <c r="C870" s="365" t="s">
        <v>116</v>
      </c>
      <c r="D870" s="365" t="s">
        <v>1135</v>
      </c>
      <c r="E870" s="365" t="s">
        <v>194</v>
      </c>
      <c r="F870" s="318">
        <f>'Пр.4 ведом.22'!G434</f>
        <v>10178.300000000001</v>
      </c>
      <c r="G870" s="363"/>
      <c r="H870" s="363"/>
      <c r="I870" s="363"/>
      <c r="J870" s="363"/>
      <c r="K870" s="363"/>
    </row>
    <row r="871" spans="1:11" s="362" customFormat="1" ht="31.5" x14ac:dyDescent="0.25">
      <c r="A871" s="315" t="s">
        <v>1190</v>
      </c>
      <c r="B871" s="316" t="s">
        <v>203</v>
      </c>
      <c r="C871" s="316" t="s">
        <v>116</v>
      </c>
      <c r="D871" s="316" t="s">
        <v>1188</v>
      </c>
      <c r="E871" s="316"/>
      <c r="F871" s="314">
        <f>F872</f>
        <v>120.9</v>
      </c>
      <c r="G871" s="363"/>
      <c r="H871" s="363"/>
      <c r="I871" s="363"/>
      <c r="J871" s="363"/>
      <c r="K871" s="363"/>
    </row>
    <row r="872" spans="1:11" s="131" customFormat="1" ht="15.75" x14ac:dyDescent="0.25">
      <c r="A872" s="70" t="s">
        <v>727</v>
      </c>
      <c r="B872" s="365" t="s">
        <v>203</v>
      </c>
      <c r="C872" s="365" t="s">
        <v>116</v>
      </c>
      <c r="D872" s="365" t="s">
        <v>1189</v>
      </c>
      <c r="E872" s="365"/>
      <c r="F872" s="318">
        <f t="shared" ref="F872" si="81">F873</f>
        <v>120.9</v>
      </c>
      <c r="G872" s="363"/>
      <c r="H872" s="363"/>
      <c r="I872" s="363"/>
      <c r="J872" s="363"/>
      <c r="K872" s="363"/>
    </row>
    <row r="873" spans="1:11" s="131" customFormat="1" ht="31.5" x14ac:dyDescent="0.25">
      <c r="A873" s="364" t="s">
        <v>123</v>
      </c>
      <c r="B873" s="365" t="s">
        <v>203</v>
      </c>
      <c r="C873" s="365" t="s">
        <v>116</v>
      </c>
      <c r="D873" s="365" t="s">
        <v>1189</v>
      </c>
      <c r="E873" s="365" t="s">
        <v>124</v>
      </c>
      <c r="F873" s="318">
        <f>F874</f>
        <v>120.9</v>
      </c>
      <c r="G873" s="363"/>
      <c r="H873" s="363"/>
      <c r="I873" s="363"/>
      <c r="J873" s="363"/>
      <c r="K873" s="363"/>
    </row>
    <row r="874" spans="1:11" s="131" customFormat="1" ht="31.5" x14ac:dyDescent="0.25">
      <c r="A874" s="364" t="s">
        <v>125</v>
      </c>
      <c r="B874" s="365" t="s">
        <v>203</v>
      </c>
      <c r="C874" s="365" t="s">
        <v>116</v>
      </c>
      <c r="D874" s="365" t="s">
        <v>1189</v>
      </c>
      <c r="E874" s="365" t="s">
        <v>126</v>
      </c>
      <c r="F874" s="318">
        <f>'Пр.4 ведом.22'!G438</f>
        <v>120.9</v>
      </c>
      <c r="G874" s="363"/>
      <c r="H874" s="363"/>
      <c r="I874" s="363"/>
      <c r="J874" s="363"/>
      <c r="K874" s="363"/>
    </row>
    <row r="875" spans="1:11" ht="47.25" x14ac:dyDescent="0.25">
      <c r="A875" s="26" t="s">
        <v>859</v>
      </c>
      <c r="B875" s="316" t="s">
        <v>203</v>
      </c>
      <c r="C875" s="316" t="s">
        <v>116</v>
      </c>
      <c r="D875" s="316" t="s">
        <v>206</v>
      </c>
      <c r="E875" s="316"/>
      <c r="F875" s="257">
        <f>F876</f>
        <v>10</v>
      </c>
    </row>
    <row r="876" spans="1:11" ht="63" x14ac:dyDescent="0.25">
      <c r="A876" s="26" t="s">
        <v>588</v>
      </c>
      <c r="B876" s="316" t="s">
        <v>203</v>
      </c>
      <c r="C876" s="316" t="s">
        <v>116</v>
      </c>
      <c r="D876" s="316" t="s">
        <v>504</v>
      </c>
      <c r="E876" s="316"/>
      <c r="F876" s="310">
        <f>F877+F880</f>
        <v>10</v>
      </c>
      <c r="H876" s="74"/>
    </row>
    <row r="877" spans="1:11" ht="47.25" x14ac:dyDescent="0.25">
      <c r="A877" s="24" t="s">
        <v>633</v>
      </c>
      <c r="B877" s="365" t="s">
        <v>203</v>
      </c>
      <c r="C877" s="365" t="s">
        <v>116</v>
      </c>
      <c r="D877" s="365" t="s">
        <v>589</v>
      </c>
      <c r="E877" s="365"/>
      <c r="F877" s="311">
        <f>F878</f>
        <v>4</v>
      </c>
    </row>
    <row r="878" spans="1:11" ht="31.5" x14ac:dyDescent="0.25">
      <c r="A878" s="364" t="s">
        <v>123</v>
      </c>
      <c r="B878" s="365" t="s">
        <v>203</v>
      </c>
      <c r="C878" s="365" t="s">
        <v>116</v>
      </c>
      <c r="D878" s="365" t="s">
        <v>589</v>
      </c>
      <c r="E878" s="365" t="s">
        <v>124</v>
      </c>
      <c r="F878" s="311">
        <f>F879</f>
        <v>4</v>
      </c>
    </row>
    <row r="879" spans="1:11" ht="31.5" x14ac:dyDescent="0.25">
      <c r="A879" s="364" t="s">
        <v>125</v>
      </c>
      <c r="B879" s="365" t="s">
        <v>203</v>
      </c>
      <c r="C879" s="365" t="s">
        <v>116</v>
      </c>
      <c r="D879" s="365" t="s">
        <v>589</v>
      </c>
      <c r="E879" s="365" t="s">
        <v>126</v>
      </c>
      <c r="F879" s="311">
        <f>'Пр.4 ведом.22'!G443</f>
        <v>4</v>
      </c>
    </row>
    <row r="880" spans="1:11" s="362" customFormat="1" ht="47.25" x14ac:dyDescent="0.25">
      <c r="A880" s="399" t="s">
        <v>571</v>
      </c>
      <c r="B880" s="365" t="s">
        <v>203</v>
      </c>
      <c r="C880" s="365" t="s">
        <v>116</v>
      </c>
      <c r="D880" s="365" t="s">
        <v>1196</v>
      </c>
      <c r="E880" s="365"/>
      <c r="F880" s="311">
        <f>F881</f>
        <v>6</v>
      </c>
      <c r="G880" s="363"/>
      <c r="H880" s="363"/>
      <c r="I880" s="363"/>
      <c r="J880" s="363"/>
      <c r="K880" s="363"/>
    </row>
    <row r="881" spans="1:11" s="362" customFormat="1" ht="31.5" x14ac:dyDescent="0.25">
      <c r="A881" s="399" t="s">
        <v>191</v>
      </c>
      <c r="B881" s="365" t="s">
        <v>203</v>
      </c>
      <c r="C881" s="365" t="s">
        <v>116</v>
      </c>
      <c r="D881" s="365" t="s">
        <v>1196</v>
      </c>
      <c r="E881" s="365" t="s">
        <v>192</v>
      </c>
      <c r="F881" s="311">
        <f>F882</f>
        <v>6</v>
      </c>
      <c r="G881" s="363"/>
      <c r="H881" s="363"/>
      <c r="I881" s="363"/>
      <c r="J881" s="363"/>
      <c r="K881" s="363"/>
    </row>
    <row r="882" spans="1:11" s="362" customFormat="1" ht="15.75" x14ac:dyDescent="0.25">
      <c r="A882" s="364" t="s">
        <v>193</v>
      </c>
      <c r="B882" s="365" t="s">
        <v>203</v>
      </c>
      <c r="C882" s="365" t="s">
        <v>116</v>
      </c>
      <c r="D882" s="365" t="s">
        <v>1196</v>
      </c>
      <c r="E882" s="365" t="s">
        <v>194</v>
      </c>
      <c r="F882" s="311">
        <f>'Пр.4 ведом.22'!G446</f>
        <v>6</v>
      </c>
      <c r="G882" s="363"/>
      <c r="H882" s="363"/>
      <c r="I882" s="363"/>
      <c r="J882" s="363"/>
      <c r="K882" s="363"/>
    </row>
    <row r="883" spans="1:11" ht="47.25" x14ac:dyDescent="0.25">
      <c r="A883" s="359" t="s">
        <v>855</v>
      </c>
      <c r="B883" s="316" t="s">
        <v>203</v>
      </c>
      <c r="C883" s="316" t="s">
        <v>116</v>
      </c>
      <c r="D883" s="316" t="s">
        <v>339</v>
      </c>
      <c r="E883" s="323"/>
      <c r="F883" s="310">
        <f t="shared" ref="F883" si="82">F884</f>
        <v>878.7</v>
      </c>
    </row>
    <row r="884" spans="1:11" ht="47.25" x14ac:dyDescent="0.25">
      <c r="A884" s="359" t="s">
        <v>463</v>
      </c>
      <c r="B884" s="316" t="s">
        <v>203</v>
      </c>
      <c r="C884" s="316" t="s">
        <v>116</v>
      </c>
      <c r="D884" s="316" t="s">
        <v>461</v>
      </c>
      <c r="E884" s="323"/>
      <c r="F884" s="310">
        <f>F885+F888</f>
        <v>878.7</v>
      </c>
      <c r="G884" s="112"/>
      <c r="H884" s="321"/>
    </row>
    <row r="885" spans="1:11" ht="47.25" x14ac:dyDescent="0.25">
      <c r="A885" s="70" t="s">
        <v>585</v>
      </c>
      <c r="B885" s="365" t="s">
        <v>203</v>
      </c>
      <c r="C885" s="365" t="s">
        <v>116</v>
      </c>
      <c r="D885" s="365" t="s">
        <v>462</v>
      </c>
      <c r="E885" s="319"/>
      <c r="F885" s="255">
        <f>F886</f>
        <v>506.80000000000007</v>
      </c>
    </row>
    <row r="886" spans="1:11" ht="31.5" x14ac:dyDescent="0.25">
      <c r="A886" s="364" t="s">
        <v>123</v>
      </c>
      <c r="B886" s="365" t="s">
        <v>203</v>
      </c>
      <c r="C886" s="365" t="s">
        <v>116</v>
      </c>
      <c r="D886" s="365" t="s">
        <v>462</v>
      </c>
      <c r="E886" s="319" t="s">
        <v>124</v>
      </c>
      <c r="F886" s="311">
        <f>F887</f>
        <v>506.80000000000007</v>
      </c>
    </row>
    <row r="887" spans="1:11" ht="31.5" x14ac:dyDescent="0.25">
      <c r="A887" s="364" t="s">
        <v>125</v>
      </c>
      <c r="B887" s="365" t="s">
        <v>203</v>
      </c>
      <c r="C887" s="365" t="s">
        <v>116</v>
      </c>
      <c r="D887" s="365" t="s">
        <v>462</v>
      </c>
      <c r="E887" s="319" t="s">
        <v>126</v>
      </c>
      <c r="F887" s="311">
        <f>'Пр.4 ведом.22'!G451</f>
        <v>506.80000000000007</v>
      </c>
    </row>
    <row r="888" spans="1:11" s="362" customFormat="1" ht="47.25" x14ac:dyDescent="0.25">
      <c r="A888" s="399" t="s">
        <v>359</v>
      </c>
      <c r="B888" s="365" t="s">
        <v>203</v>
      </c>
      <c r="C888" s="365" t="s">
        <v>116</v>
      </c>
      <c r="D888" s="365" t="s">
        <v>1197</v>
      </c>
      <c r="E888" s="319"/>
      <c r="F888" s="311">
        <f>F889</f>
        <v>371.9</v>
      </c>
      <c r="G888" s="363"/>
      <c r="H888" s="363"/>
      <c r="I888" s="363"/>
      <c r="J888" s="363"/>
      <c r="K888" s="363"/>
    </row>
    <row r="889" spans="1:11" s="362" customFormat="1" ht="31.5" x14ac:dyDescent="0.25">
      <c r="A889" s="399" t="s">
        <v>191</v>
      </c>
      <c r="B889" s="365" t="s">
        <v>203</v>
      </c>
      <c r="C889" s="365" t="s">
        <v>116</v>
      </c>
      <c r="D889" s="365" t="s">
        <v>1197</v>
      </c>
      <c r="E889" s="319" t="s">
        <v>192</v>
      </c>
      <c r="F889" s="311">
        <f>F890</f>
        <v>371.9</v>
      </c>
      <c r="G889" s="363"/>
      <c r="H889" s="363"/>
      <c r="I889" s="363"/>
      <c r="J889" s="363"/>
      <c r="K889" s="363"/>
    </row>
    <row r="890" spans="1:11" s="362" customFormat="1" ht="15.75" x14ac:dyDescent="0.25">
      <c r="A890" s="364" t="s">
        <v>193</v>
      </c>
      <c r="B890" s="365" t="s">
        <v>203</v>
      </c>
      <c r="C890" s="365" t="s">
        <v>116</v>
      </c>
      <c r="D890" s="365" t="s">
        <v>1197</v>
      </c>
      <c r="E890" s="319" t="s">
        <v>194</v>
      </c>
      <c r="F890" s="311">
        <f>'Пр.4 ведом.22'!G454</f>
        <v>371.9</v>
      </c>
      <c r="G890" s="363"/>
      <c r="H890" s="363"/>
      <c r="I890" s="363"/>
      <c r="J890" s="363"/>
      <c r="K890" s="363"/>
    </row>
    <row r="891" spans="1:11" s="131" customFormat="1" ht="31.5" x14ac:dyDescent="0.25">
      <c r="A891" s="315" t="s">
        <v>208</v>
      </c>
      <c r="B891" s="316" t="s">
        <v>203</v>
      </c>
      <c r="C891" s="316" t="s">
        <v>139</v>
      </c>
      <c r="D891" s="316"/>
      <c r="E891" s="319"/>
      <c r="F891" s="310">
        <f>F892+F905+F921</f>
        <v>21280.9</v>
      </c>
      <c r="G891" s="363"/>
      <c r="H891" s="363"/>
      <c r="I891" s="363"/>
      <c r="J891" s="363"/>
      <c r="K891" s="363"/>
    </row>
    <row r="892" spans="1:11" s="131" customFormat="1" ht="31.5" x14ac:dyDescent="0.25">
      <c r="A892" s="315" t="s">
        <v>488</v>
      </c>
      <c r="B892" s="316" t="s">
        <v>203</v>
      </c>
      <c r="C892" s="316" t="s">
        <v>139</v>
      </c>
      <c r="D892" s="316" t="s">
        <v>434</v>
      </c>
      <c r="E892" s="319"/>
      <c r="F892" s="310">
        <f>F893</f>
        <v>8557.3000000000011</v>
      </c>
      <c r="G892" s="363"/>
      <c r="H892" s="363"/>
      <c r="I892" s="363"/>
      <c r="J892" s="363"/>
      <c r="K892" s="363"/>
    </row>
    <row r="893" spans="1:11" s="131" customFormat="1" ht="15.75" x14ac:dyDescent="0.25">
      <c r="A893" s="315" t="s">
        <v>489</v>
      </c>
      <c r="B893" s="316" t="s">
        <v>203</v>
      </c>
      <c r="C893" s="316" t="s">
        <v>139</v>
      </c>
      <c r="D893" s="316" t="s">
        <v>435</v>
      </c>
      <c r="E893" s="319"/>
      <c r="F893" s="310">
        <f>F894+F902+F899</f>
        <v>8557.3000000000011</v>
      </c>
      <c r="G893" s="363"/>
      <c r="H893" s="363"/>
      <c r="I893" s="363"/>
      <c r="J893" s="363"/>
      <c r="K893" s="363"/>
    </row>
    <row r="894" spans="1:11" s="131" customFormat="1" ht="31.5" x14ac:dyDescent="0.25">
      <c r="A894" s="364" t="s">
        <v>468</v>
      </c>
      <c r="B894" s="365" t="s">
        <v>203</v>
      </c>
      <c r="C894" s="365" t="s">
        <v>139</v>
      </c>
      <c r="D894" s="365" t="s">
        <v>436</v>
      </c>
      <c r="E894" s="319"/>
      <c r="F894" s="311">
        <f>F895+F897</f>
        <v>7179.1</v>
      </c>
      <c r="G894" s="363"/>
      <c r="H894" s="363"/>
      <c r="I894" s="363"/>
      <c r="J894" s="363"/>
      <c r="K894" s="363"/>
    </row>
    <row r="895" spans="1:11" s="131" customFormat="1" ht="78.75" x14ac:dyDescent="0.25">
      <c r="A895" s="364" t="s">
        <v>119</v>
      </c>
      <c r="B895" s="365" t="s">
        <v>203</v>
      </c>
      <c r="C895" s="365" t="s">
        <v>139</v>
      </c>
      <c r="D895" s="365" t="s">
        <v>436</v>
      </c>
      <c r="E895" s="319" t="s">
        <v>120</v>
      </c>
      <c r="F895" s="311">
        <f>F896</f>
        <v>7179.1</v>
      </c>
      <c r="G895" s="363"/>
      <c r="H895" s="363"/>
      <c r="I895" s="363"/>
      <c r="J895" s="363"/>
      <c r="K895" s="363"/>
    </row>
    <row r="896" spans="1:11" ht="31.5" x14ac:dyDescent="0.25">
      <c r="A896" s="364" t="s">
        <v>121</v>
      </c>
      <c r="B896" s="365" t="s">
        <v>203</v>
      </c>
      <c r="C896" s="365" t="s">
        <v>139</v>
      </c>
      <c r="D896" s="365" t="s">
        <v>436</v>
      </c>
      <c r="E896" s="360" t="s">
        <v>122</v>
      </c>
      <c r="F896" s="311">
        <f>'Пр.4 ведом.22'!G460</f>
        <v>7179.1</v>
      </c>
    </row>
    <row r="897" spans="1:11" ht="31.5" hidden="1" x14ac:dyDescent="0.25">
      <c r="A897" s="364" t="s">
        <v>123</v>
      </c>
      <c r="B897" s="365" t="s">
        <v>203</v>
      </c>
      <c r="C897" s="365" t="s">
        <v>139</v>
      </c>
      <c r="D897" s="365" t="s">
        <v>436</v>
      </c>
      <c r="E897" s="360" t="s">
        <v>124</v>
      </c>
      <c r="F897" s="311">
        <f>F898</f>
        <v>0</v>
      </c>
    </row>
    <row r="898" spans="1:11" ht="31.5" hidden="1" x14ac:dyDescent="0.25">
      <c r="A898" s="364" t="s">
        <v>125</v>
      </c>
      <c r="B898" s="365" t="s">
        <v>203</v>
      </c>
      <c r="C898" s="365" t="s">
        <v>139</v>
      </c>
      <c r="D898" s="365" t="s">
        <v>436</v>
      </c>
      <c r="E898" s="360" t="s">
        <v>126</v>
      </c>
      <c r="F898" s="311">
        <f>'Пр.4 ведом.22'!G462</f>
        <v>0</v>
      </c>
    </row>
    <row r="899" spans="1:11" s="362" customFormat="1" ht="31.5" x14ac:dyDescent="0.25">
      <c r="A899" s="364" t="s">
        <v>417</v>
      </c>
      <c r="B899" s="365" t="s">
        <v>203</v>
      </c>
      <c r="C899" s="365" t="s">
        <v>139</v>
      </c>
      <c r="D899" s="365" t="s">
        <v>437</v>
      </c>
      <c r="E899" s="360"/>
      <c r="F899" s="311">
        <f>F900</f>
        <v>948.2</v>
      </c>
      <c r="G899" s="363"/>
      <c r="H899" s="363"/>
      <c r="I899" s="363"/>
      <c r="J899" s="363"/>
      <c r="K899" s="363"/>
    </row>
    <row r="900" spans="1:11" s="362" customFormat="1" ht="78.75" x14ac:dyDescent="0.25">
      <c r="A900" s="364" t="s">
        <v>119</v>
      </c>
      <c r="B900" s="365" t="s">
        <v>203</v>
      </c>
      <c r="C900" s="365" t="s">
        <v>139</v>
      </c>
      <c r="D900" s="365" t="s">
        <v>437</v>
      </c>
      <c r="E900" s="360" t="s">
        <v>120</v>
      </c>
      <c r="F900" s="311">
        <f>F901</f>
        <v>948.2</v>
      </c>
      <c r="G900" s="363"/>
      <c r="H900" s="363"/>
      <c r="I900" s="363"/>
      <c r="J900" s="363"/>
      <c r="K900" s="363"/>
    </row>
    <row r="901" spans="1:11" s="362" customFormat="1" ht="31.5" x14ac:dyDescent="0.25">
      <c r="A901" s="364" t="s">
        <v>121</v>
      </c>
      <c r="B901" s="365" t="s">
        <v>203</v>
      </c>
      <c r="C901" s="365" t="s">
        <v>139</v>
      </c>
      <c r="D901" s="365" t="s">
        <v>437</v>
      </c>
      <c r="E901" s="360" t="s">
        <v>122</v>
      </c>
      <c r="F901" s="311">
        <f>'Пр.4 ведом.22'!G465</f>
        <v>948.2</v>
      </c>
      <c r="G901" s="363"/>
      <c r="H901" s="363"/>
      <c r="I901" s="363"/>
      <c r="J901" s="363"/>
      <c r="K901" s="363"/>
    </row>
    <row r="902" spans="1:11" ht="47.25" x14ac:dyDescent="0.25">
      <c r="A902" s="364" t="s">
        <v>416</v>
      </c>
      <c r="B902" s="365" t="s">
        <v>203</v>
      </c>
      <c r="C902" s="365" t="s">
        <v>139</v>
      </c>
      <c r="D902" s="365" t="s">
        <v>438</v>
      </c>
      <c r="E902" s="360"/>
      <c r="F902" s="311">
        <f>F903</f>
        <v>430</v>
      </c>
    </row>
    <row r="903" spans="1:11" ht="78.75" x14ac:dyDescent="0.25">
      <c r="A903" s="364" t="s">
        <v>119</v>
      </c>
      <c r="B903" s="365" t="s">
        <v>203</v>
      </c>
      <c r="C903" s="365" t="s">
        <v>139</v>
      </c>
      <c r="D903" s="365" t="s">
        <v>438</v>
      </c>
      <c r="E903" s="360" t="s">
        <v>120</v>
      </c>
      <c r="F903" s="311">
        <f t="shared" ref="F903" si="83">F904</f>
        <v>430</v>
      </c>
    </row>
    <row r="904" spans="1:11" ht="31.5" x14ac:dyDescent="0.25">
      <c r="A904" s="364" t="s">
        <v>121</v>
      </c>
      <c r="B904" s="365" t="s">
        <v>203</v>
      </c>
      <c r="C904" s="365" t="s">
        <v>139</v>
      </c>
      <c r="D904" s="365" t="s">
        <v>438</v>
      </c>
      <c r="E904" s="360" t="s">
        <v>122</v>
      </c>
      <c r="F904" s="311">
        <f>'Пр.4 ведом.22'!G468</f>
        <v>430</v>
      </c>
    </row>
    <row r="905" spans="1:11" ht="15.75" x14ac:dyDescent="0.25">
      <c r="A905" s="315" t="s">
        <v>497</v>
      </c>
      <c r="B905" s="316" t="s">
        <v>203</v>
      </c>
      <c r="C905" s="316" t="s">
        <v>139</v>
      </c>
      <c r="D905" s="316" t="s">
        <v>442</v>
      </c>
      <c r="E905" s="360"/>
      <c r="F905" s="310">
        <f>F906+F917</f>
        <v>12463.6</v>
      </c>
    </row>
    <row r="906" spans="1:11" s="362" customFormat="1" ht="15.75" x14ac:dyDescent="0.25">
      <c r="A906" s="315" t="s">
        <v>1105</v>
      </c>
      <c r="B906" s="316" t="s">
        <v>203</v>
      </c>
      <c r="C906" s="316" t="s">
        <v>139</v>
      </c>
      <c r="D906" s="316" t="s">
        <v>518</v>
      </c>
      <c r="E906" s="316"/>
      <c r="F906" s="311">
        <f>F907+F910</f>
        <v>12463.6</v>
      </c>
      <c r="G906" s="363"/>
      <c r="H906" s="363"/>
      <c r="I906" s="363"/>
      <c r="J906" s="363"/>
      <c r="K906" s="363"/>
    </row>
    <row r="907" spans="1:11" s="362" customFormat="1" ht="47.25" x14ac:dyDescent="0.25">
      <c r="A907" s="364" t="s">
        <v>416</v>
      </c>
      <c r="B907" s="365" t="s">
        <v>203</v>
      </c>
      <c r="C907" s="365" t="s">
        <v>139</v>
      </c>
      <c r="D907" s="365" t="s">
        <v>521</v>
      </c>
      <c r="E907" s="365"/>
      <c r="F907" s="311">
        <f>F908</f>
        <v>215</v>
      </c>
      <c r="G907" s="363"/>
      <c r="H907" s="363"/>
      <c r="I907" s="363"/>
      <c r="J907" s="363"/>
      <c r="K907" s="363"/>
    </row>
    <row r="908" spans="1:11" s="362" customFormat="1" ht="78.75" x14ac:dyDescent="0.25">
      <c r="A908" s="364" t="s">
        <v>119</v>
      </c>
      <c r="B908" s="365" t="s">
        <v>203</v>
      </c>
      <c r="C908" s="365" t="s">
        <v>139</v>
      </c>
      <c r="D908" s="365" t="s">
        <v>521</v>
      </c>
      <c r="E908" s="365" t="s">
        <v>120</v>
      </c>
      <c r="F908" s="311">
        <f>F909</f>
        <v>215</v>
      </c>
      <c r="G908" s="363"/>
      <c r="H908" s="363"/>
      <c r="I908" s="363"/>
      <c r="J908" s="363"/>
      <c r="K908" s="363"/>
    </row>
    <row r="909" spans="1:11" s="362" customFormat="1" ht="31.5" x14ac:dyDescent="0.25">
      <c r="A909" s="364" t="s">
        <v>212</v>
      </c>
      <c r="B909" s="365" t="s">
        <v>203</v>
      </c>
      <c r="C909" s="365" t="s">
        <v>139</v>
      </c>
      <c r="D909" s="365" t="s">
        <v>521</v>
      </c>
      <c r="E909" s="365" t="s">
        <v>156</v>
      </c>
      <c r="F909" s="311">
        <f>'Пр.4 ведом.22'!G477</f>
        <v>215</v>
      </c>
      <c r="G909" s="363"/>
      <c r="H909" s="363"/>
      <c r="I909" s="363"/>
      <c r="J909" s="363"/>
      <c r="K909" s="363"/>
    </row>
    <row r="910" spans="1:11" s="362" customFormat="1" ht="15.75" x14ac:dyDescent="0.25">
      <c r="A910" s="364" t="s">
        <v>379</v>
      </c>
      <c r="B910" s="365" t="s">
        <v>203</v>
      </c>
      <c r="C910" s="365" t="s">
        <v>139</v>
      </c>
      <c r="D910" s="365" t="s">
        <v>520</v>
      </c>
      <c r="E910" s="365"/>
      <c r="F910" s="311">
        <f>F911+F913+F915</f>
        <v>12248.6</v>
      </c>
      <c r="G910" s="363"/>
      <c r="H910" s="363"/>
      <c r="I910" s="363"/>
      <c r="J910" s="363"/>
      <c r="K910" s="363"/>
    </row>
    <row r="911" spans="1:11" s="362" customFormat="1" ht="78.75" x14ac:dyDescent="0.25">
      <c r="A911" s="364" t="s">
        <v>119</v>
      </c>
      <c r="B911" s="365" t="s">
        <v>203</v>
      </c>
      <c r="C911" s="365" t="s">
        <v>139</v>
      </c>
      <c r="D911" s="365" t="s">
        <v>520</v>
      </c>
      <c r="E911" s="365" t="s">
        <v>120</v>
      </c>
      <c r="F911" s="311">
        <f>F912</f>
        <v>10294.5</v>
      </c>
      <c r="G911" s="363"/>
      <c r="H911" s="363"/>
      <c r="I911" s="363"/>
      <c r="J911" s="363"/>
      <c r="K911" s="363"/>
    </row>
    <row r="912" spans="1:11" s="362" customFormat="1" ht="31.5" x14ac:dyDescent="0.25">
      <c r="A912" s="364" t="s">
        <v>212</v>
      </c>
      <c r="B912" s="365" t="s">
        <v>203</v>
      </c>
      <c r="C912" s="365" t="s">
        <v>139</v>
      </c>
      <c r="D912" s="365" t="s">
        <v>520</v>
      </c>
      <c r="E912" s="365" t="s">
        <v>156</v>
      </c>
      <c r="F912" s="311">
        <f>'Пр.4 ведом.22'!G480</f>
        <v>10294.5</v>
      </c>
      <c r="G912" s="363"/>
      <c r="H912" s="363"/>
      <c r="I912" s="363"/>
      <c r="J912" s="363"/>
      <c r="K912" s="363"/>
    </row>
    <row r="913" spans="1:11" s="362" customFormat="1" ht="31.5" x14ac:dyDescent="0.25">
      <c r="A913" s="364" t="s">
        <v>123</v>
      </c>
      <c r="B913" s="365" t="s">
        <v>203</v>
      </c>
      <c r="C913" s="365" t="s">
        <v>139</v>
      </c>
      <c r="D913" s="365" t="s">
        <v>520</v>
      </c>
      <c r="E913" s="365" t="s">
        <v>124</v>
      </c>
      <c r="F913" s="311">
        <f>F914</f>
        <v>1940.1</v>
      </c>
      <c r="G913" s="363"/>
      <c r="H913" s="363"/>
      <c r="I913" s="363"/>
      <c r="J913" s="363"/>
      <c r="K913" s="363"/>
    </row>
    <row r="914" spans="1:11" s="362" customFormat="1" ht="31.5" x14ac:dyDescent="0.25">
      <c r="A914" s="364" t="s">
        <v>125</v>
      </c>
      <c r="B914" s="365" t="s">
        <v>203</v>
      </c>
      <c r="C914" s="365" t="s">
        <v>139</v>
      </c>
      <c r="D914" s="365" t="s">
        <v>520</v>
      </c>
      <c r="E914" s="365" t="s">
        <v>126</v>
      </c>
      <c r="F914" s="311">
        <f>'Пр.4 ведом.22'!G482</f>
        <v>1940.1</v>
      </c>
      <c r="G914" s="363"/>
      <c r="H914" s="363"/>
      <c r="I914" s="363"/>
      <c r="J914" s="363"/>
      <c r="K914" s="363"/>
    </row>
    <row r="915" spans="1:11" s="362" customFormat="1" ht="15.75" x14ac:dyDescent="0.25">
      <c r="A915" s="364" t="s">
        <v>127</v>
      </c>
      <c r="B915" s="365" t="s">
        <v>203</v>
      </c>
      <c r="C915" s="365" t="s">
        <v>139</v>
      </c>
      <c r="D915" s="365" t="s">
        <v>520</v>
      </c>
      <c r="E915" s="365" t="s">
        <v>134</v>
      </c>
      <c r="F915" s="311">
        <f>F916</f>
        <v>14</v>
      </c>
      <c r="G915" s="363"/>
      <c r="H915" s="363"/>
      <c r="I915" s="363"/>
      <c r="J915" s="363"/>
      <c r="K915" s="363"/>
    </row>
    <row r="916" spans="1:11" s="362" customFormat="1" ht="15.75" x14ac:dyDescent="0.25">
      <c r="A916" s="364" t="s">
        <v>280</v>
      </c>
      <c r="B916" s="365" t="s">
        <v>203</v>
      </c>
      <c r="C916" s="365" t="s">
        <v>139</v>
      </c>
      <c r="D916" s="365" t="s">
        <v>520</v>
      </c>
      <c r="E916" s="365" t="s">
        <v>130</v>
      </c>
      <c r="F916" s="311">
        <f>'Пр.4 ведом.22'!G484</f>
        <v>14</v>
      </c>
      <c r="G916" s="363"/>
      <c r="H916" s="363"/>
      <c r="I916" s="363"/>
      <c r="J916" s="363"/>
      <c r="K916" s="363"/>
    </row>
    <row r="917" spans="1:11" s="309" customFormat="1" ht="31.5" hidden="1" x14ac:dyDescent="0.25">
      <c r="A917" s="26" t="s">
        <v>446</v>
      </c>
      <c r="B917" s="316" t="s">
        <v>203</v>
      </c>
      <c r="C917" s="316" t="s">
        <v>139</v>
      </c>
      <c r="D917" s="316" t="s">
        <v>441</v>
      </c>
      <c r="E917" s="7"/>
      <c r="F917" s="310">
        <f>F918</f>
        <v>0</v>
      </c>
      <c r="G917" s="363"/>
      <c r="H917" s="363"/>
      <c r="I917" s="363"/>
      <c r="J917" s="363"/>
      <c r="K917" s="363"/>
    </row>
    <row r="918" spans="1:11" s="309" customFormat="1" ht="47.25" hidden="1" x14ac:dyDescent="0.25">
      <c r="A918" s="24" t="s">
        <v>1057</v>
      </c>
      <c r="B918" s="365" t="s">
        <v>203</v>
      </c>
      <c r="C918" s="365" t="s">
        <v>139</v>
      </c>
      <c r="D918" s="365" t="s">
        <v>1056</v>
      </c>
      <c r="E918" s="360"/>
      <c r="F918" s="311">
        <f>F919</f>
        <v>0</v>
      </c>
      <c r="G918" s="363"/>
      <c r="H918" s="363"/>
      <c r="I918" s="363"/>
      <c r="J918" s="363"/>
      <c r="K918" s="363"/>
    </row>
    <row r="919" spans="1:11" s="309" customFormat="1" ht="31.5" hidden="1" x14ac:dyDescent="0.25">
      <c r="A919" s="364" t="s">
        <v>123</v>
      </c>
      <c r="B919" s="365" t="s">
        <v>203</v>
      </c>
      <c r="C919" s="365" t="s">
        <v>139</v>
      </c>
      <c r="D919" s="365" t="s">
        <v>1056</v>
      </c>
      <c r="E919" s="360" t="s">
        <v>124</v>
      </c>
      <c r="F919" s="311">
        <f>F920</f>
        <v>0</v>
      </c>
      <c r="G919" s="363"/>
      <c r="H919" s="363"/>
      <c r="I919" s="363"/>
      <c r="J919" s="363"/>
      <c r="K919" s="363"/>
    </row>
    <row r="920" spans="1:11" s="309" customFormat="1" ht="31.5" hidden="1" x14ac:dyDescent="0.25">
      <c r="A920" s="364" t="s">
        <v>125</v>
      </c>
      <c r="B920" s="365" t="s">
        <v>203</v>
      </c>
      <c r="C920" s="365" t="s">
        <v>139</v>
      </c>
      <c r="D920" s="365" t="s">
        <v>1056</v>
      </c>
      <c r="E920" s="360" t="s">
        <v>126</v>
      </c>
      <c r="F920" s="311">
        <f>'Пр.4 ведом.22'!G473</f>
        <v>0</v>
      </c>
      <c r="G920" s="363"/>
      <c r="H920" s="363"/>
      <c r="I920" s="363"/>
      <c r="J920" s="363"/>
      <c r="K920" s="363"/>
    </row>
    <row r="921" spans="1:11" ht="47.25" x14ac:dyDescent="0.25">
      <c r="A921" s="315" t="s">
        <v>850</v>
      </c>
      <c r="B921" s="316" t="s">
        <v>203</v>
      </c>
      <c r="C921" s="316" t="s">
        <v>139</v>
      </c>
      <c r="D921" s="316" t="s">
        <v>213</v>
      </c>
      <c r="E921" s="360"/>
      <c r="F921" s="310">
        <f>F922</f>
        <v>260</v>
      </c>
    </row>
    <row r="922" spans="1:11" ht="31.5" x14ac:dyDescent="0.25">
      <c r="A922" s="315" t="s">
        <v>220</v>
      </c>
      <c r="B922" s="316" t="s">
        <v>203</v>
      </c>
      <c r="C922" s="316" t="s">
        <v>139</v>
      </c>
      <c r="D922" s="316" t="s">
        <v>223</v>
      </c>
      <c r="E922" s="360"/>
      <c r="F922" s="310">
        <f>F923</f>
        <v>260</v>
      </c>
    </row>
    <row r="923" spans="1:11" ht="31.5" x14ac:dyDescent="0.25">
      <c r="A923" s="315" t="s">
        <v>560</v>
      </c>
      <c r="B923" s="316" t="s">
        <v>203</v>
      </c>
      <c r="C923" s="316" t="s">
        <v>139</v>
      </c>
      <c r="D923" s="316" t="s">
        <v>757</v>
      </c>
      <c r="E923" s="360"/>
      <c r="F923" s="310">
        <f>F924</f>
        <v>260</v>
      </c>
    </row>
    <row r="924" spans="1:11" ht="31.5" x14ac:dyDescent="0.25">
      <c r="A924" s="364" t="s">
        <v>559</v>
      </c>
      <c r="B924" s="365" t="s">
        <v>203</v>
      </c>
      <c r="C924" s="365" t="s">
        <v>139</v>
      </c>
      <c r="D924" s="365" t="s">
        <v>758</v>
      </c>
      <c r="E924" s="360"/>
      <c r="F924" s="311">
        <f t="shared" ref="F924" si="84">F925</f>
        <v>260</v>
      </c>
    </row>
    <row r="925" spans="1:11" ht="31.5" x14ac:dyDescent="0.25">
      <c r="A925" s="364" t="s">
        <v>123</v>
      </c>
      <c r="B925" s="365" t="s">
        <v>203</v>
      </c>
      <c r="C925" s="365" t="s">
        <v>139</v>
      </c>
      <c r="D925" s="365" t="s">
        <v>758</v>
      </c>
      <c r="E925" s="360" t="s">
        <v>124</v>
      </c>
      <c r="F925" s="311">
        <f>F926</f>
        <v>260</v>
      </c>
    </row>
    <row r="926" spans="1:11" ht="31.5" x14ac:dyDescent="0.25">
      <c r="A926" s="364" t="s">
        <v>125</v>
      </c>
      <c r="B926" s="365" t="s">
        <v>203</v>
      </c>
      <c r="C926" s="365" t="s">
        <v>139</v>
      </c>
      <c r="D926" s="365" t="s">
        <v>758</v>
      </c>
      <c r="E926" s="360" t="s">
        <v>126</v>
      </c>
      <c r="F926" s="311">
        <f>'Пр.4 ведом.22'!G490</f>
        <v>260</v>
      </c>
    </row>
    <row r="927" spans="1:11" s="131" customFormat="1" ht="47.25" hidden="1" x14ac:dyDescent="0.25">
      <c r="A927" s="26" t="s">
        <v>859</v>
      </c>
      <c r="B927" s="316" t="s">
        <v>203</v>
      </c>
      <c r="C927" s="316" t="s">
        <v>139</v>
      </c>
      <c r="D927" s="316" t="s">
        <v>206</v>
      </c>
      <c r="E927" s="316"/>
      <c r="F927" s="314">
        <f>F929</f>
        <v>0</v>
      </c>
      <c r="G927" s="363"/>
      <c r="H927" s="363"/>
      <c r="I927" s="363"/>
      <c r="J927" s="363"/>
      <c r="K927" s="363"/>
    </row>
    <row r="928" spans="1:11" s="131" customFormat="1" ht="63" hidden="1" x14ac:dyDescent="0.25">
      <c r="A928" s="26" t="s">
        <v>588</v>
      </c>
      <c r="B928" s="316" t="s">
        <v>203</v>
      </c>
      <c r="C928" s="316" t="s">
        <v>139</v>
      </c>
      <c r="D928" s="316" t="s">
        <v>504</v>
      </c>
      <c r="E928" s="316"/>
      <c r="F928" s="314">
        <f>F931</f>
        <v>0</v>
      </c>
      <c r="G928" s="363"/>
      <c r="H928" s="363"/>
      <c r="I928" s="363"/>
      <c r="J928" s="363"/>
      <c r="K928" s="363"/>
    </row>
    <row r="929" spans="1:12" s="131" customFormat="1" ht="47.25" hidden="1" x14ac:dyDescent="0.25">
      <c r="A929" s="24" t="s">
        <v>634</v>
      </c>
      <c r="B929" s="365" t="s">
        <v>203</v>
      </c>
      <c r="C929" s="365" t="s">
        <v>139</v>
      </c>
      <c r="D929" s="365" t="s">
        <v>589</v>
      </c>
      <c r="E929" s="365"/>
      <c r="F929" s="318">
        <f>F930</f>
        <v>0</v>
      </c>
      <c r="G929" s="363"/>
      <c r="H929" s="363"/>
      <c r="I929" s="363"/>
      <c r="J929" s="363"/>
      <c r="K929" s="363"/>
    </row>
    <row r="930" spans="1:12" s="131" customFormat="1" ht="31.5" hidden="1" x14ac:dyDescent="0.25">
      <c r="A930" s="364" t="s">
        <v>123</v>
      </c>
      <c r="B930" s="365" t="s">
        <v>203</v>
      </c>
      <c r="C930" s="365" t="s">
        <v>139</v>
      </c>
      <c r="D930" s="365" t="s">
        <v>589</v>
      </c>
      <c r="E930" s="365" t="s">
        <v>124</v>
      </c>
      <c r="F930" s="318">
        <f>F931</f>
        <v>0</v>
      </c>
      <c r="G930" s="363"/>
      <c r="H930" s="363"/>
      <c r="I930" s="363"/>
      <c r="J930" s="363"/>
      <c r="K930" s="363"/>
    </row>
    <row r="931" spans="1:12" s="131" customFormat="1" ht="31.5" hidden="1" x14ac:dyDescent="0.25">
      <c r="A931" s="364" t="s">
        <v>125</v>
      </c>
      <c r="B931" s="365" t="s">
        <v>203</v>
      </c>
      <c r="C931" s="365" t="s">
        <v>139</v>
      </c>
      <c r="D931" s="365" t="s">
        <v>589</v>
      </c>
      <c r="E931" s="365" t="s">
        <v>126</v>
      </c>
      <c r="F931" s="318">
        <f>'Пр.4 ведом.22'!G495</f>
        <v>0</v>
      </c>
      <c r="G931" s="363"/>
      <c r="H931" s="363"/>
      <c r="I931" s="363"/>
      <c r="J931" s="363"/>
      <c r="K931" s="363"/>
    </row>
    <row r="932" spans="1:12" s="131" customFormat="1" ht="15.75" x14ac:dyDescent="0.25">
      <c r="A932" s="315" t="s">
        <v>173</v>
      </c>
      <c r="B932" s="316" t="s">
        <v>174</v>
      </c>
      <c r="C932" s="316"/>
      <c r="D932" s="316"/>
      <c r="E932" s="316"/>
      <c r="F932" s="310">
        <f>F933+F939+F973+F968</f>
        <v>15126.01</v>
      </c>
      <c r="G932" s="363">
        <v>17213.900000000001</v>
      </c>
      <c r="H932" s="74"/>
      <c r="I932" s="363"/>
      <c r="J932" s="363"/>
      <c r="K932" s="154">
        <f>F932-'Пр.4 ведом.22'!M1216-'Пр.4 ведом.22'!V1226-F969-F975</f>
        <v>11574.51</v>
      </c>
      <c r="L932" s="156">
        <f>F965+F970+F976-'Пр.4 ведом.22'!M1215-'Пр.4 ведом.22'!V1225</f>
        <v>3561.5</v>
      </c>
    </row>
    <row r="933" spans="1:12" s="131" customFormat="1" ht="15.75" x14ac:dyDescent="0.25">
      <c r="A933" s="315" t="s">
        <v>175</v>
      </c>
      <c r="B933" s="316" t="s">
        <v>174</v>
      </c>
      <c r="C933" s="316" t="s">
        <v>116</v>
      </c>
      <c r="D933" s="316"/>
      <c r="E933" s="316"/>
      <c r="F933" s="310">
        <f>F934</f>
        <v>9913.5</v>
      </c>
      <c r="G933" s="363"/>
      <c r="H933" s="363"/>
      <c r="I933" s="363"/>
      <c r="J933" s="363"/>
      <c r="K933" s="363"/>
    </row>
    <row r="934" spans="1:12" s="131" customFormat="1" ht="15.75" x14ac:dyDescent="0.25">
      <c r="A934" s="315" t="s">
        <v>133</v>
      </c>
      <c r="B934" s="316" t="s">
        <v>174</v>
      </c>
      <c r="C934" s="316" t="s">
        <v>116</v>
      </c>
      <c r="D934" s="316" t="s">
        <v>442</v>
      </c>
      <c r="E934" s="316"/>
      <c r="F934" s="310">
        <f>F935</f>
        <v>9913.5</v>
      </c>
      <c r="G934" s="363"/>
      <c r="H934" s="363"/>
      <c r="I934" s="363"/>
      <c r="J934" s="363"/>
      <c r="K934" s="363"/>
    </row>
    <row r="935" spans="1:12" s="131" customFormat="1" ht="31.5" x14ac:dyDescent="0.25">
      <c r="A935" s="315" t="s">
        <v>446</v>
      </c>
      <c r="B935" s="316" t="s">
        <v>174</v>
      </c>
      <c r="C935" s="316" t="s">
        <v>116</v>
      </c>
      <c r="D935" s="316" t="s">
        <v>441</v>
      </c>
      <c r="E935" s="316"/>
      <c r="F935" s="310">
        <f>F936</f>
        <v>9913.5</v>
      </c>
      <c r="G935" s="363"/>
      <c r="H935" s="363"/>
      <c r="I935" s="363"/>
      <c r="J935" s="363"/>
      <c r="K935" s="363"/>
    </row>
    <row r="936" spans="1:12" s="131" customFormat="1" ht="15.75" x14ac:dyDescent="0.25">
      <c r="A936" s="364" t="s">
        <v>176</v>
      </c>
      <c r="B936" s="365" t="s">
        <v>174</v>
      </c>
      <c r="C936" s="365" t="s">
        <v>116</v>
      </c>
      <c r="D936" s="365" t="s">
        <v>456</v>
      </c>
      <c r="E936" s="365"/>
      <c r="F936" s="311">
        <f>F937</f>
        <v>9913.5</v>
      </c>
      <c r="G936" s="363"/>
      <c r="H936" s="363"/>
      <c r="I936" s="363"/>
      <c r="J936" s="363"/>
      <c r="K936" s="363"/>
    </row>
    <row r="937" spans="1:12" s="131" customFormat="1" ht="18" customHeight="1" x14ac:dyDescent="0.25">
      <c r="A937" s="364" t="s">
        <v>177</v>
      </c>
      <c r="B937" s="365" t="s">
        <v>174</v>
      </c>
      <c r="C937" s="365" t="s">
        <v>116</v>
      </c>
      <c r="D937" s="365" t="s">
        <v>456</v>
      </c>
      <c r="E937" s="365" t="s">
        <v>178</v>
      </c>
      <c r="F937" s="311">
        <f>F938</f>
        <v>9913.5</v>
      </c>
      <c r="G937" s="363"/>
      <c r="H937" s="363"/>
      <c r="I937" s="363"/>
      <c r="J937" s="363"/>
      <c r="K937" s="363"/>
    </row>
    <row r="938" spans="1:12" s="131" customFormat="1" ht="31.5" x14ac:dyDescent="0.25">
      <c r="A938" s="364" t="s">
        <v>179</v>
      </c>
      <c r="B938" s="365" t="s">
        <v>174</v>
      </c>
      <c r="C938" s="365" t="s">
        <v>116</v>
      </c>
      <c r="D938" s="365" t="s">
        <v>456</v>
      </c>
      <c r="E938" s="365" t="s">
        <v>180</v>
      </c>
      <c r="F938" s="311">
        <f>'Пр.4 ведом.22'!G230</f>
        <v>9913.5</v>
      </c>
      <c r="G938" s="363"/>
      <c r="H938" s="363"/>
      <c r="I938" s="363"/>
      <c r="J938" s="363"/>
      <c r="K938" s="363"/>
    </row>
    <row r="939" spans="1:12" ht="15.75" x14ac:dyDescent="0.25">
      <c r="A939" s="315" t="s">
        <v>181</v>
      </c>
      <c r="B939" s="316" t="s">
        <v>174</v>
      </c>
      <c r="C939" s="316" t="s">
        <v>159</v>
      </c>
      <c r="D939" s="316"/>
      <c r="E939" s="316"/>
      <c r="F939" s="310">
        <f>F940+F963</f>
        <v>1575.9</v>
      </c>
    </row>
    <row r="940" spans="1:12" ht="47.25" x14ac:dyDescent="0.25">
      <c r="A940" s="315" t="s">
        <v>871</v>
      </c>
      <c r="B940" s="316" t="s">
        <v>174</v>
      </c>
      <c r="C940" s="316" t="s">
        <v>159</v>
      </c>
      <c r="D940" s="316" t="s">
        <v>213</v>
      </c>
      <c r="E940" s="316"/>
      <c r="F940" s="310">
        <f>F941+F946</f>
        <v>1565.9</v>
      </c>
    </row>
    <row r="941" spans="1:12" ht="31.5" x14ac:dyDescent="0.25">
      <c r="A941" s="315" t="s">
        <v>218</v>
      </c>
      <c r="B941" s="316" t="s">
        <v>174</v>
      </c>
      <c r="C941" s="316" t="s">
        <v>159</v>
      </c>
      <c r="D941" s="316" t="s">
        <v>219</v>
      </c>
      <c r="E941" s="316"/>
      <c r="F941" s="310">
        <f t="shared" ref="F941" si="85">F942</f>
        <v>258.89999999999998</v>
      </c>
    </row>
    <row r="942" spans="1:12" ht="30.2" customHeight="1" x14ac:dyDescent="0.25">
      <c r="A942" s="315" t="s">
        <v>476</v>
      </c>
      <c r="B942" s="316" t="s">
        <v>174</v>
      </c>
      <c r="C942" s="316" t="s">
        <v>159</v>
      </c>
      <c r="D942" s="316" t="s">
        <v>475</v>
      </c>
      <c r="E942" s="316"/>
      <c r="F942" s="310">
        <f>F943</f>
        <v>258.89999999999998</v>
      </c>
    </row>
    <row r="943" spans="1:12" ht="31.5" x14ac:dyDescent="0.25">
      <c r="A943" s="364" t="s">
        <v>401</v>
      </c>
      <c r="B943" s="365" t="s">
        <v>174</v>
      </c>
      <c r="C943" s="365" t="s">
        <v>159</v>
      </c>
      <c r="D943" s="365" t="s">
        <v>477</v>
      </c>
      <c r="E943" s="365"/>
      <c r="F943" s="311">
        <f>F944</f>
        <v>258.89999999999998</v>
      </c>
    </row>
    <row r="944" spans="1:12" ht="19.5" customHeight="1" x14ac:dyDescent="0.25">
      <c r="A944" s="364" t="s">
        <v>177</v>
      </c>
      <c r="B944" s="365" t="s">
        <v>174</v>
      </c>
      <c r="C944" s="365" t="s">
        <v>159</v>
      </c>
      <c r="D944" s="365" t="s">
        <v>477</v>
      </c>
      <c r="E944" s="365" t="s">
        <v>178</v>
      </c>
      <c r="F944" s="311">
        <f t="shared" ref="F944" si="86">F945</f>
        <v>258.89999999999998</v>
      </c>
    </row>
    <row r="945" spans="1:11" ht="31.5" x14ac:dyDescent="0.25">
      <c r="A945" s="364" t="s">
        <v>179</v>
      </c>
      <c r="B945" s="365" t="s">
        <v>174</v>
      </c>
      <c r="C945" s="365" t="s">
        <v>159</v>
      </c>
      <c r="D945" s="365" t="s">
        <v>477</v>
      </c>
      <c r="E945" s="365" t="s">
        <v>180</v>
      </c>
      <c r="F945" s="311">
        <f>'Пр.4 ведом.22'!G503</f>
        <v>258.89999999999998</v>
      </c>
    </row>
    <row r="946" spans="1:11" ht="37.5" customHeight="1" x14ac:dyDescent="0.25">
      <c r="A946" s="315" t="s">
        <v>220</v>
      </c>
      <c r="B946" s="312">
        <v>10</v>
      </c>
      <c r="C946" s="316" t="s">
        <v>159</v>
      </c>
      <c r="D946" s="316" t="s">
        <v>223</v>
      </c>
      <c r="E946" s="316"/>
      <c r="F946" s="310">
        <f>F947+F953+F959</f>
        <v>1307</v>
      </c>
    </row>
    <row r="947" spans="1:11" ht="31.5" x14ac:dyDescent="0.25">
      <c r="A947" s="315" t="s">
        <v>600</v>
      </c>
      <c r="B947" s="316" t="s">
        <v>174</v>
      </c>
      <c r="C947" s="316" t="s">
        <v>159</v>
      </c>
      <c r="D947" s="316" t="s">
        <v>484</v>
      </c>
      <c r="E947" s="316"/>
      <c r="F947" s="314">
        <f>F948</f>
        <v>630</v>
      </c>
    </row>
    <row r="948" spans="1:11" ht="47.25" x14ac:dyDescent="0.25">
      <c r="A948" s="70" t="s">
        <v>601</v>
      </c>
      <c r="B948" s="365" t="s">
        <v>174</v>
      </c>
      <c r="C948" s="365" t="s">
        <v>159</v>
      </c>
      <c r="D948" s="365" t="s">
        <v>760</v>
      </c>
      <c r="E948" s="365"/>
      <c r="F948" s="318">
        <f>F951+F949</f>
        <v>630</v>
      </c>
    </row>
    <row r="949" spans="1:11" s="131" customFormat="1" ht="31.5" hidden="1" x14ac:dyDescent="0.25">
      <c r="A949" s="364" t="s">
        <v>123</v>
      </c>
      <c r="B949" s="365" t="s">
        <v>174</v>
      </c>
      <c r="C949" s="365" t="s">
        <v>159</v>
      </c>
      <c r="D949" s="365" t="s">
        <v>760</v>
      </c>
      <c r="E949" s="365" t="s">
        <v>124</v>
      </c>
      <c r="F949" s="318">
        <f>F950</f>
        <v>0</v>
      </c>
      <c r="G949" s="363"/>
      <c r="H949" s="363"/>
      <c r="I949" s="363"/>
      <c r="J949" s="363"/>
      <c r="K949" s="363"/>
    </row>
    <row r="950" spans="1:11" s="131" customFormat="1" ht="31.5" hidden="1" x14ac:dyDescent="0.25">
      <c r="A950" s="364" t="s">
        <v>125</v>
      </c>
      <c r="B950" s="365" t="s">
        <v>174</v>
      </c>
      <c r="C950" s="365" t="s">
        <v>159</v>
      </c>
      <c r="D950" s="365" t="s">
        <v>760</v>
      </c>
      <c r="E950" s="365" t="s">
        <v>126</v>
      </c>
      <c r="F950" s="318">
        <f>'Пр.4 ведом.22'!G508</f>
        <v>0</v>
      </c>
      <c r="G950" s="363"/>
      <c r="H950" s="363"/>
      <c r="I950" s="363"/>
      <c r="J950" s="363"/>
      <c r="K950" s="363"/>
    </row>
    <row r="951" spans="1:11" ht="18.75" customHeight="1" x14ac:dyDescent="0.25">
      <c r="A951" s="364" t="s">
        <v>177</v>
      </c>
      <c r="B951" s="365" t="s">
        <v>174</v>
      </c>
      <c r="C951" s="365" t="s">
        <v>159</v>
      </c>
      <c r="D951" s="365" t="s">
        <v>760</v>
      </c>
      <c r="E951" s="365" t="s">
        <v>178</v>
      </c>
      <c r="F951" s="318">
        <f>F952</f>
        <v>630</v>
      </c>
    </row>
    <row r="952" spans="1:11" ht="31.7" customHeight="1" x14ac:dyDescent="0.25">
      <c r="A952" s="364" t="s">
        <v>216</v>
      </c>
      <c r="B952" s="365" t="s">
        <v>174</v>
      </c>
      <c r="C952" s="365" t="s">
        <v>159</v>
      </c>
      <c r="D952" s="365" t="s">
        <v>760</v>
      </c>
      <c r="E952" s="365" t="s">
        <v>217</v>
      </c>
      <c r="F952" s="318">
        <f>'Пр.4 ведом.22'!G510</f>
        <v>630</v>
      </c>
    </row>
    <row r="953" spans="1:11" ht="31.5" x14ac:dyDescent="0.25">
      <c r="A953" s="315" t="s">
        <v>764</v>
      </c>
      <c r="B953" s="312">
        <v>10</v>
      </c>
      <c r="C953" s="316" t="s">
        <v>159</v>
      </c>
      <c r="D953" s="316" t="s">
        <v>762</v>
      </c>
      <c r="E953" s="316"/>
      <c r="F953" s="314">
        <f>F954</f>
        <v>257</v>
      </c>
    </row>
    <row r="954" spans="1:11" ht="35.450000000000003" customHeight="1" x14ac:dyDescent="0.25">
      <c r="A954" s="364" t="s">
        <v>761</v>
      </c>
      <c r="B954" s="365" t="s">
        <v>174</v>
      </c>
      <c r="C954" s="365" t="s">
        <v>159</v>
      </c>
      <c r="D954" s="365" t="s">
        <v>763</v>
      </c>
      <c r="E954" s="365"/>
      <c r="F954" s="318">
        <f>F956+F958</f>
        <v>257</v>
      </c>
    </row>
    <row r="955" spans="1:11" ht="36" hidden="1" customHeight="1" x14ac:dyDescent="0.25">
      <c r="A955" s="364" t="s">
        <v>123</v>
      </c>
      <c r="B955" s="365" t="s">
        <v>174</v>
      </c>
      <c r="C955" s="365" t="s">
        <v>159</v>
      </c>
      <c r="D955" s="365" t="s">
        <v>763</v>
      </c>
      <c r="E955" s="365" t="s">
        <v>124</v>
      </c>
      <c r="F955" s="318">
        <f>F956</f>
        <v>0</v>
      </c>
    </row>
    <row r="956" spans="1:11" ht="39.75" hidden="1" customHeight="1" x14ac:dyDescent="0.25">
      <c r="A956" s="364" t="s">
        <v>125</v>
      </c>
      <c r="B956" s="365" t="s">
        <v>174</v>
      </c>
      <c r="C956" s="365" t="s">
        <v>159</v>
      </c>
      <c r="D956" s="365" t="s">
        <v>763</v>
      </c>
      <c r="E956" s="365" t="s">
        <v>126</v>
      </c>
      <c r="F956" s="318">
        <f>'Пр.4 ведом.22'!G514</f>
        <v>0</v>
      </c>
    </row>
    <row r="957" spans="1:11" ht="19.5" customHeight="1" x14ac:dyDescent="0.25">
      <c r="A957" s="364" t="s">
        <v>177</v>
      </c>
      <c r="B957" s="365" t="s">
        <v>174</v>
      </c>
      <c r="C957" s="365" t="s">
        <v>159</v>
      </c>
      <c r="D957" s="365" t="s">
        <v>763</v>
      </c>
      <c r="E957" s="365" t="s">
        <v>178</v>
      </c>
      <c r="F957" s="318">
        <f>F958</f>
        <v>257</v>
      </c>
    </row>
    <row r="958" spans="1:11" ht="31.5" x14ac:dyDescent="0.25">
      <c r="A958" s="364" t="s">
        <v>216</v>
      </c>
      <c r="B958" s="365" t="s">
        <v>174</v>
      </c>
      <c r="C958" s="365" t="s">
        <v>159</v>
      </c>
      <c r="D958" s="365" t="s">
        <v>763</v>
      </c>
      <c r="E958" s="365" t="s">
        <v>217</v>
      </c>
      <c r="F958" s="318">
        <f>'Пр.4 ведом.22'!G516</f>
        <v>257</v>
      </c>
    </row>
    <row r="959" spans="1:11" ht="31.5" x14ac:dyDescent="0.25">
      <c r="A959" s="315" t="s">
        <v>560</v>
      </c>
      <c r="B959" s="312">
        <v>10</v>
      </c>
      <c r="C959" s="316" t="s">
        <v>159</v>
      </c>
      <c r="D959" s="316" t="s">
        <v>757</v>
      </c>
      <c r="E959" s="316"/>
      <c r="F959" s="314">
        <f>F960</f>
        <v>420</v>
      </c>
    </row>
    <row r="960" spans="1:11" ht="15.75" x14ac:dyDescent="0.25">
      <c r="A960" s="364" t="s">
        <v>598</v>
      </c>
      <c r="B960" s="365" t="s">
        <v>174</v>
      </c>
      <c r="C960" s="365" t="s">
        <v>159</v>
      </c>
      <c r="D960" s="365" t="s">
        <v>759</v>
      </c>
      <c r="E960" s="365"/>
      <c r="F960" s="318">
        <f>F961</f>
        <v>420</v>
      </c>
    </row>
    <row r="961" spans="1:11" s="131" customFormat="1" ht="21.75" customHeight="1" x14ac:dyDescent="0.25">
      <c r="A961" s="364" t="s">
        <v>177</v>
      </c>
      <c r="B961" s="365" t="s">
        <v>174</v>
      </c>
      <c r="C961" s="365" t="s">
        <v>159</v>
      </c>
      <c r="D961" s="365" t="s">
        <v>759</v>
      </c>
      <c r="E961" s="365" t="s">
        <v>178</v>
      </c>
      <c r="F961" s="318">
        <f>F962</f>
        <v>420</v>
      </c>
      <c r="G961" s="363"/>
      <c r="H961" s="363"/>
      <c r="I961" s="363"/>
      <c r="J961" s="363"/>
      <c r="K961" s="363"/>
    </row>
    <row r="962" spans="1:11" s="131" customFormat="1" ht="31.5" x14ac:dyDescent="0.25">
      <c r="A962" s="364" t="s">
        <v>216</v>
      </c>
      <c r="B962" s="365" t="s">
        <v>174</v>
      </c>
      <c r="C962" s="365" t="s">
        <v>159</v>
      </c>
      <c r="D962" s="365" t="s">
        <v>759</v>
      </c>
      <c r="E962" s="365" t="s">
        <v>217</v>
      </c>
      <c r="F962" s="318">
        <f>'Пр.4 ведом.22'!G520</f>
        <v>420</v>
      </c>
      <c r="G962" s="363"/>
      <c r="H962" s="363"/>
      <c r="I962" s="363"/>
      <c r="J962" s="363"/>
      <c r="K962" s="363"/>
    </row>
    <row r="963" spans="1:11" ht="69" customHeight="1" x14ac:dyDescent="0.25">
      <c r="A963" s="315" t="s">
        <v>849</v>
      </c>
      <c r="B963" s="316" t="s">
        <v>174</v>
      </c>
      <c r="C963" s="316" t="s">
        <v>159</v>
      </c>
      <c r="D963" s="316" t="s">
        <v>182</v>
      </c>
      <c r="E963" s="316"/>
      <c r="F963" s="310">
        <f t="shared" ref="F963:F965" si="87">F964</f>
        <v>10</v>
      </c>
    </row>
    <row r="964" spans="1:11" ht="47.25" x14ac:dyDescent="0.25">
      <c r="A964" s="315" t="s">
        <v>459</v>
      </c>
      <c r="B964" s="316" t="s">
        <v>174</v>
      </c>
      <c r="C964" s="316" t="s">
        <v>159</v>
      </c>
      <c r="D964" s="316" t="s">
        <v>457</v>
      </c>
      <c r="E964" s="316"/>
      <c r="F964" s="310">
        <f>F965</f>
        <v>10</v>
      </c>
    </row>
    <row r="965" spans="1:11" ht="31.5" x14ac:dyDescent="0.25">
      <c r="A965" s="364" t="s">
        <v>458</v>
      </c>
      <c r="B965" s="365" t="s">
        <v>174</v>
      </c>
      <c r="C965" s="365" t="s">
        <v>159</v>
      </c>
      <c r="D965" s="365" t="s">
        <v>728</v>
      </c>
      <c r="E965" s="365"/>
      <c r="F965" s="311">
        <f t="shared" si="87"/>
        <v>10</v>
      </c>
    </row>
    <row r="966" spans="1:11" ht="19.5" customHeight="1" x14ac:dyDescent="0.25">
      <c r="A966" s="364" t="s">
        <v>177</v>
      </c>
      <c r="B966" s="365" t="s">
        <v>174</v>
      </c>
      <c r="C966" s="365" t="s">
        <v>159</v>
      </c>
      <c r="D966" s="365" t="s">
        <v>728</v>
      </c>
      <c r="E966" s="365" t="s">
        <v>178</v>
      </c>
      <c r="F966" s="311">
        <v>10</v>
      </c>
    </row>
    <row r="967" spans="1:11" ht="31.5" x14ac:dyDescent="0.25">
      <c r="A967" s="364" t="s">
        <v>179</v>
      </c>
      <c r="B967" s="365" t="s">
        <v>174</v>
      </c>
      <c r="C967" s="365" t="s">
        <v>159</v>
      </c>
      <c r="D967" s="365" t="s">
        <v>728</v>
      </c>
      <c r="E967" s="365" t="s">
        <v>180</v>
      </c>
      <c r="F967" s="311">
        <f>'Пр.4 ведом.22'!G236</f>
        <v>10</v>
      </c>
    </row>
    <row r="968" spans="1:11" s="131" customFormat="1" ht="15.75" hidden="1" x14ac:dyDescent="0.25">
      <c r="A968" s="315" t="s">
        <v>234</v>
      </c>
      <c r="B968" s="316" t="s">
        <v>174</v>
      </c>
      <c r="C968" s="316" t="s">
        <v>139</v>
      </c>
      <c r="D968" s="316"/>
      <c r="E968" s="316"/>
      <c r="F968" s="310">
        <f>F969</f>
        <v>0</v>
      </c>
      <c r="G968" s="363"/>
      <c r="H968" s="363"/>
      <c r="I968" s="363"/>
      <c r="J968" s="363"/>
      <c r="K968" s="363"/>
    </row>
    <row r="969" spans="1:11" s="131" customFormat="1" ht="31.5" hidden="1" x14ac:dyDescent="0.25">
      <c r="A969" s="315" t="s">
        <v>460</v>
      </c>
      <c r="B969" s="316" t="s">
        <v>174</v>
      </c>
      <c r="C969" s="316" t="s">
        <v>139</v>
      </c>
      <c r="D969" s="316" t="s">
        <v>439</v>
      </c>
      <c r="E969" s="365"/>
      <c r="F969" s="314">
        <f>F970</f>
        <v>0</v>
      </c>
      <c r="G969" s="363"/>
      <c r="H969" s="363"/>
      <c r="I969" s="363"/>
      <c r="J969" s="363"/>
      <c r="K969" s="363"/>
    </row>
    <row r="970" spans="1:11" s="131" customFormat="1" ht="47.25" hidden="1" x14ac:dyDescent="0.25">
      <c r="A970" s="364" t="s">
        <v>721</v>
      </c>
      <c r="B970" s="365" t="s">
        <v>174</v>
      </c>
      <c r="C970" s="365" t="s">
        <v>139</v>
      </c>
      <c r="D970" s="365" t="s">
        <v>720</v>
      </c>
      <c r="E970" s="365"/>
      <c r="F970" s="318">
        <f>F971</f>
        <v>0</v>
      </c>
      <c r="G970" s="363"/>
      <c r="H970" s="363"/>
      <c r="I970" s="363"/>
      <c r="J970" s="363"/>
      <c r="K970" s="363"/>
    </row>
    <row r="971" spans="1:11" s="131" customFormat="1" ht="31.5" hidden="1" x14ac:dyDescent="0.25">
      <c r="A971" s="364" t="s">
        <v>123</v>
      </c>
      <c r="B971" s="365" t="s">
        <v>174</v>
      </c>
      <c r="C971" s="365" t="s">
        <v>139</v>
      </c>
      <c r="D971" s="365" t="s">
        <v>720</v>
      </c>
      <c r="E971" s="365" t="s">
        <v>124</v>
      </c>
      <c r="F971" s="318">
        <f>F972</f>
        <v>0</v>
      </c>
      <c r="G971" s="363"/>
      <c r="H971" s="363"/>
      <c r="I971" s="363"/>
      <c r="J971" s="363"/>
      <c r="K971" s="363"/>
    </row>
    <row r="972" spans="1:11" s="131" customFormat="1" ht="31.5" hidden="1" x14ac:dyDescent="0.25">
      <c r="A972" s="364" t="s">
        <v>125</v>
      </c>
      <c r="B972" s="365" t="s">
        <v>174</v>
      </c>
      <c r="C972" s="365" t="s">
        <v>139</v>
      </c>
      <c r="D972" s="365" t="s">
        <v>720</v>
      </c>
      <c r="E972" s="365" t="s">
        <v>126</v>
      </c>
      <c r="F972" s="318">
        <f>'Пр.4 ведом.22'!G607</f>
        <v>0</v>
      </c>
      <c r="G972" s="363"/>
      <c r="H972" s="363"/>
      <c r="I972" s="363"/>
      <c r="J972" s="363"/>
      <c r="K972" s="363"/>
    </row>
    <row r="973" spans="1:11" s="131" customFormat="1" ht="15.75" x14ac:dyDescent="0.25">
      <c r="A973" s="315" t="s">
        <v>183</v>
      </c>
      <c r="B973" s="316" t="s">
        <v>174</v>
      </c>
      <c r="C973" s="316" t="s">
        <v>118</v>
      </c>
      <c r="D973" s="316"/>
      <c r="E973" s="316"/>
      <c r="F973" s="310">
        <f>F974+F981</f>
        <v>3636.61</v>
      </c>
      <c r="G973" s="363"/>
      <c r="H973" s="363"/>
      <c r="I973" s="363"/>
      <c r="J973" s="363"/>
      <c r="K973" s="363"/>
    </row>
    <row r="974" spans="1:11" s="131" customFormat="1" ht="31.5" x14ac:dyDescent="0.25">
      <c r="A974" s="315" t="s">
        <v>488</v>
      </c>
      <c r="B974" s="316" t="s">
        <v>174</v>
      </c>
      <c r="C974" s="316" t="s">
        <v>118</v>
      </c>
      <c r="D974" s="316" t="s">
        <v>434</v>
      </c>
      <c r="E974" s="316"/>
      <c r="F974" s="310">
        <f>F975</f>
        <v>3551.5</v>
      </c>
      <c r="G974" s="363"/>
      <c r="H974" s="363"/>
      <c r="I974" s="363"/>
      <c r="J974" s="363"/>
      <c r="K974" s="363"/>
    </row>
    <row r="975" spans="1:11" ht="31.5" x14ac:dyDescent="0.25">
      <c r="A975" s="315" t="s">
        <v>460</v>
      </c>
      <c r="B975" s="316" t="s">
        <v>174</v>
      </c>
      <c r="C975" s="316" t="s">
        <v>118</v>
      </c>
      <c r="D975" s="316" t="s">
        <v>439</v>
      </c>
      <c r="E975" s="316"/>
      <c r="F975" s="310">
        <f>F976</f>
        <v>3551.5</v>
      </c>
    </row>
    <row r="976" spans="1:11" ht="43.5" customHeight="1" x14ac:dyDescent="0.25">
      <c r="A976" s="24" t="s">
        <v>184</v>
      </c>
      <c r="B976" s="365" t="s">
        <v>174</v>
      </c>
      <c r="C976" s="365" t="s">
        <v>118</v>
      </c>
      <c r="D976" s="365" t="s">
        <v>496</v>
      </c>
      <c r="E976" s="365"/>
      <c r="F976" s="311">
        <f>F977+F979</f>
        <v>3551.5</v>
      </c>
    </row>
    <row r="977" spans="1:12" ht="78.75" x14ac:dyDescent="0.25">
      <c r="A977" s="364" t="s">
        <v>119</v>
      </c>
      <c r="B977" s="365" t="s">
        <v>174</v>
      </c>
      <c r="C977" s="365" t="s">
        <v>118</v>
      </c>
      <c r="D977" s="365" t="s">
        <v>496</v>
      </c>
      <c r="E977" s="365" t="s">
        <v>120</v>
      </c>
      <c r="F977" s="311">
        <f t="shared" ref="F977" si="88">F978</f>
        <v>3426.1</v>
      </c>
    </row>
    <row r="978" spans="1:12" ht="31.5" x14ac:dyDescent="0.25">
      <c r="A978" s="364" t="s">
        <v>121</v>
      </c>
      <c r="B978" s="365" t="s">
        <v>174</v>
      </c>
      <c r="C978" s="365" t="s">
        <v>118</v>
      </c>
      <c r="D978" s="365" t="s">
        <v>496</v>
      </c>
      <c r="E978" s="365" t="s">
        <v>122</v>
      </c>
      <c r="F978" s="311">
        <f>'Пр.4 ведом.22'!G242</f>
        <v>3426.1</v>
      </c>
    </row>
    <row r="979" spans="1:12" ht="32.25" customHeight="1" x14ac:dyDescent="0.25">
      <c r="A979" s="364" t="s">
        <v>123</v>
      </c>
      <c r="B979" s="365" t="s">
        <v>174</v>
      </c>
      <c r="C979" s="365" t="s">
        <v>118</v>
      </c>
      <c r="D979" s="365" t="s">
        <v>496</v>
      </c>
      <c r="E979" s="365" t="s">
        <v>124</v>
      </c>
      <c r="F979" s="311">
        <f t="shared" ref="F979" si="89">F980</f>
        <v>125.4</v>
      </c>
    </row>
    <row r="980" spans="1:12" ht="31.7" customHeight="1" x14ac:dyDescent="0.25">
      <c r="A980" s="364" t="s">
        <v>125</v>
      </c>
      <c r="B980" s="365" t="s">
        <v>174</v>
      </c>
      <c r="C980" s="365" t="s">
        <v>118</v>
      </c>
      <c r="D980" s="365" t="s">
        <v>496</v>
      </c>
      <c r="E980" s="365" t="s">
        <v>126</v>
      </c>
      <c r="F980" s="311">
        <f>'Пр.4 ведом.22'!G244</f>
        <v>125.4</v>
      </c>
    </row>
    <row r="981" spans="1:12" s="131" customFormat="1" ht="15" customHeight="1" x14ac:dyDescent="0.25">
      <c r="A981" s="315" t="s">
        <v>133</v>
      </c>
      <c r="B981" s="316" t="s">
        <v>174</v>
      </c>
      <c r="C981" s="316" t="s">
        <v>118</v>
      </c>
      <c r="D981" s="316" t="s">
        <v>442</v>
      </c>
      <c r="E981" s="316"/>
      <c r="F981" s="310">
        <f>F982</f>
        <v>85.11</v>
      </c>
      <c r="G981" s="363"/>
      <c r="H981" s="363"/>
      <c r="I981" s="363"/>
      <c r="J981" s="363"/>
      <c r="K981" s="363"/>
    </row>
    <row r="982" spans="1:12" ht="37.5" customHeight="1" x14ac:dyDescent="0.25">
      <c r="A982" s="315" t="s">
        <v>446</v>
      </c>
      <c r="B982" s="316" t="s">
        <v>174</v>
      </c>
      <c r="C982" s="316" t="s">
        <v>118</v>
      </c>
      <c r="D982" s="316" t="s">
        <v>441</v>
      </c>
      <c r="E982" s="316"/>
      <c r="F982" s="310">
        <f>F983</f>
        <v>85.11</v>
      </c>
    </row>
    <row r="983" spans="1:12" ht="15.75" customHeight="1" x14ac:dyDescent="0.25">
      <c r="A983" s="364" t="s">
        <v>283</v>
      </c>
      <c r="B983" s="365" t="s">
        <v>174</v>
      </c>
      <c r="C983" s="365" t="s">
        <v>118</v>
      </c>
      <c r="D983" s="365" t="s">
        <v>550</v>
      </c>
      <c r="E983" s="365"/>
      <c r="F983" s="311">
        <f>F984</f>
        <v>85.11</v>
      </c>
    </row>
    <row r="984" spans="1:12" ht="31.7" customHeight="1" x14ac:dyDescent="0.25">
      <c r="A984" s="364" t="s">
        <v>123</v>
      </c>
      <c r="B984" s="365" t="s">
        <v>174</v>
      </c>
      <c r="C984" s="365" t="s">
        <v>118</v>
      </c>
      <c r="D984" s="365" t="s">
        <v>550</v>
      </c>
      <c r="E984" s="365" t="s">
        <v>124</v>
      </c>
      <c r="F984" s="311">
        <f>F985</f>
        <v>85.11</v>
      </c>
    </row>
    <row r="985" spans="1:12" ht="35.450000000000003" customHeight="1" x14ac:dyDescent="0.25">
      <c r="A985" s="364" t="s">
        <v>125</v>
      </c>
      <c r="B985" s="365" t="s">
        <v>174</v>
      </c>
      <c r="C985" s="365" t="s">
        <v>118</v>
      </c>
      <c r="D985" s="365" t="s">
        <v>550</v>
      </c>
      <c r="E985" s="365" t="s">
        <v>126</v>
      </c>
      <c r="F985" s="311">
        <f>'Пр.4 ведом.22'!G1193</f>
        <v>85.11</v>
      </c>
    </row>
    <row r="986" spans="1:12" ht="15.75" x14ac:dyDescent="0.25">
      <c r="A986" s="359" t="s">
        <v>250</v>
      </c>
      <c r="B986" s="7" t="s">
        <v>251</v>
      </c>
      <c r="C986" s="360"/>
      <c r="D986" s="360"/>
      <c r="E986" s="360"/>
      <c r="F986" s="310">
        <f>F987+F1034</f>
        <v>76135.790000000008</v>
      </c>
      <c r="G986" s="363">
        <v>64422.1</v>
      </c>
      <c r="H986" s="74">
        <f>G986-F986</f>
        <v>-11713.69000000001</v>
      </c>
      <c r="K986" s="154">
        <f>F986-F1013-'Пр.4 ведом.22'!S1216</f>
        <v>75251.890000000014</v>
      </c>
      <c r="L986" s="156">
        <f>F1013+F1026-'Пр.4 ведом.22'!S1215</f>
        <v>883.9</v>
      </c>
    </row>
    <row r="987" spans="1:12" ht="15.75" x14ac:dyDescent="0.25">
      <c r="A987" s="315" t="s">
        <v>252</v>
      </c>
      <c r="B987" s="316" t="s">
        <v>251</v>
      </c>
      <c r="C987" s="316" t="s">
        <v>116</v>
      </c>
      <c r="D987" s="365"/>
      <c r="E987" s="365"/>
      <c r="F987" s="310">
        <f>F988+F1029</f>
        <v>62670.400000000001</v>
      </c>
      <c r="G987" s="74"/>
      <c r="H987" s="74"/>
      <c r="I987" s="74"/>
      <c r="J987" s="74"/>
    </row>
    <row r="988" spans="1:12" ht="47.25" x14ac:dyDescent="0.25">
      <c r="A988" s="315" t="s">
        <v>869</v>
      </c>
      <c r="B988" s="316" t="s">
        <v>251</v>
      </c>
      <c r="C988" s="316" t="s">
        <v>116</v>
      </c>
      <c r="D988" s="316" t="s">
        <v>249</v>
      </c>
      <c r="E988" s="316"/>
      <c r="F988" s="310">
        <f>F989+F993+F1006+F1013+F1017+F1021+F1025</f>
        <v>62091.3</v>
      </c>
      <c r="H988" s="74"/>
    </row>
    <row r="989" spans="1:12" ht="31.5" x14ac:dyDescent="0.25">
      <c r="A989" s="315" t="s">
        <v>507</v>
      </c>
      <c r="B989" s="316" t="s">
        <v>251</v>
      </c>
      <c r="C989" s="316" t="s">
        <v>116</v>
      </c>
      <c r="D989" s="316" t="s">
        <v>790</v>
      </c>
      <c r="E989" s="316"/>
      <c r="F989" s="310">
        <f>F990</f>
        <v>54429</v>
      </c>
    </row>
    <row r="990" spans="1:12" ht="31.5" x14ac:dyDescent="0.25">
      <c r="A990" s="364" t="s">
        <v>810</v>
      </c>
      <c r="B990" s="365" t="s">
        <v>251</v>
      </c>
      <c r="C990" s="365" t="s">
        <v>116</v>
      </c>
      <c r="D990" s="365" t="s">
        <v>791</v>
      </c>
      <c r="E990" s="365"/>
      <c r="F990" s="311">
        <f>F991</f>
        <v>54429</v>
      </c>
    </row>
    <row r="991" spans="1:12" ht="31.5" x14ac:dyDescent="0.25">
      <c r="A991" s="364" t="s">
        <v>191</v>
      </c>
      <c r="B991" s="365" t="s">
        <v>251</v>
      </c>
      <c r="C991" s="365" t="s">
        <v>116</v>
      </c>
      <c r="D991" s="365" t="s">
        <v>791</v>
      </c>
      <c r="E991" s="365" t="s">
        <v>192</v>
      </c>
      <c r="F991" s="311">
        <f>F992</f>
        <v>54429</v>
      </c>
    </row>
    <row r="992" spans="1:12" ht="15.75" x14ac:dyDescent="0.25">
      <c r="A992" s="364" t="s">
        <v>193</v>
      </c>
      <c r="B992" s="365" t="s">
        <v>251</v>
      </c>
      <c r="C992" s="365" t="s">
        <v>116</v>
      </c>
      <c r="D992" s="365" t="s">
        <v>791</v>
      </c>
      <c r="E992" s="365" t="s">
        <v>194</v>
      </c>
      <c r="F992" s="311">
        <f>'Пр.4 ведом.22'!G857</f>
        <v>54429</v>
      </c>
      <c r="H992" s="74"/>
    </row>
    <row r="993" spans="1:11" ht="31.5" x14ac:dyDescent="0.25">
      <c r="A993" s="315" t="s">
        <v>513</v>
      </c>
      <c r="B993" s="316" t="s">
        <v>251</v>
      </c>
      <c r="C993" s="316" t="s">
        <v>116</v>
      </c>
      <c r="D993" s="316" t="s">
        <v>792</v>
      </c>
      <c r="E993" s="316"/>
      <c r="F993" s="310">
        <f>F994+F997+F1000+F1003</f>
        <v>36</v>
      </c>
    </row>
    <row r="994" spans="1:11" ht="31.5" hidden="1" x14ac:dyDescent="0.25">
      <c r="A994" s="364" t="s">
        <v>195</v>
      </c>
      <c r="B994" s="365" t="s">
        <v>251</v>
      </c>
      <c r="C994" s="365" t="s">
        <v>116</v>
      </c>
      <c r="D994" s="365" t="s">
        <v>831</v>
      </c>
      <c r="E994" s="365"/>
      <c r="F994" s="311">
        <f t="shared" ref="F994" si="90">F995</f>
        <v>0</v>
      </c>
    </row>
    <row r="995" spans="1:11" ht="31.5" hidden="1" x14ac:dyDescent="0.25">
      <c r="A995" s="364" t="s">
        <v>191</v>
      </c>
      <c r="B995" s="365" t="s">
        <v>251</v>
      </c>
      <c r="C995" s="365" t="s">
        <v>116</v>
      </c>
      <c r="D995" s="365" t="s">
        <v>831</v>
      </c>
      <c r="E995" s="365" t="s">
        <v>192</v>
      </c>
      <c r="F995" s="311">
        <f>'Пр.4 ведом.22'!G861</f>
        <v>0</v>
      </c>
    </row>
    <row r="996" spans="1:11" ht="20.25" hidden="1" customHeight="1" x14ac:dyDescent="0.25">
      <c r="A996" s="364" t="s">
        <v>193</v>
      </c>
      <c r="B996" s="365" t="s">
        <v>251</v>
      </c>
      <c r="C996" s="365" t="s">
        <v>116</v>
      </c>
      <c r="D996" s="365" t="s">
        <v>831</v>
      </c>
      <c r="E996" s="365" t="s">
        <v>194</v>
      </c>
      <c r="F996" s="311">
        <f>'Пр.4 ведом.22'!G861</f>
        <v>0</v>
      </c>
    </row>
    <row r="997" spans="1:11" ht="33" hidden="1" customHeight="1" x14ac:dyDescent="0.25">
      <c r="A997" s="364" t="s">
        <v>196</v>
      </c>
      <c r="B997" s="365" t="s">
        <v>251</v>
      </c>
      <c r="C997" s="365" t="s">
        <v>116</v>
      </c>
      <c r="D997" s="365" t="s">
        <v>832</v>
      </c>
      <c r="E997" s="365"/>
      <c r="F997" s="311">
        <f t="shared" ref="F997" si="91">F998</f>
        <v>0</v>
      </c>
    </row>
    <row r="998" spans="1:11" ht="37.5" hidden="1" customHeight="1" x14ac:dyDescent="0.25">
      <c r="A998" s="364" t="s">
        <v>191</v>
      </c>
      <c r="B998" s="365" t="s">
        <v>251</v>
      </c>
      <c r="C998" s="365" t="s">
        <v>116</v>
      </c>
      <c r="D998" s="365" t="s">
        <v>832</v>
      </c>
      <c r="E998" s="365" t="s">
        <v>192</v>
      </c>
      <c r="F998" s="311">
        <f>'Пр.4 ведом.22'!G864</f>
        <v>0</v>
      </c>
    </row>
    <row r="999" spans="1:11" s="131" customFormat="1" ht="15.75" hidden="1" customHeight="1" x14ac:dyDescent="0.25">
      <c r="A999" s="364" t="s">
        <v>193</v>
      </c>
      <c r="B999" s="365" t="s">
        <v>251</v>
      </c>
      <c r="C999" s="365" t="s">
        <v>116</v>
      </c>
      <c r="D999" s="365" t="s">
        <v>832</v>
      </c>
      <c r="E999" s="365" t="s">
        <v>194</v>
      </c>
      <c r="F999" s="311">
        <f>'Пр.4 ведом.22'!G864</f>
        <v>0</v>
      </c>
      <c r="G999" s="363"/>
      <c r="H999" s="363"/>
      <c r="I999" s="363"/>
      <c r="J999" s="363"/>
      <c r="K999" s="363"/>
    </row>
    <row r="1000" spans="1:11" s="131" customFormat="1" ht="20.25" customHeight="1" x14ac:dyDescent="0.25">
      <c r="A1000" s="364" t="s">
        <v>407</v>
      </c>
      <c r="B1000" s="365" t="s">
        <v>251</v>
      </c>
      <c r="C1000" s="365" t="s">
        <v>116</v>
      </c>
      <c r="D1000" s="365" t="s">
        <v>793</v>
      </c>
      <c r="E1000" s="365"/>
      <c r="F1000" s="311">
        <f>F1001</f>
        <v>36</v>
      </c>
      <c r="G1000" s="363"/>
      <c r="H1000" s="363"/>
      <c r="I1000" s="363"/>
      <c r="J1000" s="363"/>
      <c r="K1000" s="363"/>
    </row>
    <row r="1001" spans="1:11" s="131" customFormat="1" ht="33" customHeight="1" x14ac:dyDescent="0.25">
      <c r="A1001" s="364" t="s">
        <v>191</v>
      </c>
      <c r="B1001" s="365" t="s">
        <v>251</v>
      </c>
      <c r="C1001" s="365" t="s">
        <v>116</v>
      </c>
      <c r="D1001" s="365" t="s">
        <v>793</v>
      </c>
      <c r="E1001" s="365" t="s">
        <v>192</v>
      </c>
      <c r="F1001" s="311">
        <f>'Пр.4 ведом.22'!G867</f>
        <v>36</v>
      </c>
      <c r="G1001" s="363"/>
      <c r="H1001" s="363"/>
      <c r="I1001" s="363"/>
      <c r="J1001" s="363"/>
      <c r="K1001" s="363"/>
    </row>
    <row r="1002" spans="1:11" ht="20.25" customHeight="1" x14ac:dyDescent="0.25">
      <c r="A1002" s="364" t="s">
        <v>193</v>
      </c>
      <c r="B1002" s="365" t="s">
        <v>251</v>
      </c>
      <c r="C1002" s="365" t="s">
        <v>116</v>
      </c>
      <c r="D1002" s="365" t="s">
        <v>793</v>
      </c>
      <c r="E1002" s="365" t="s">
        <v>194</v>
      </c>
      <c r="F1002" s="311">
        <f>'Пр.4 ведом.22'!G867</f>
        <v>36</v>
      </c>
    </row>
    <row r="1003" spans="1:11" s="309" customFormat="1" ht="39.75" hidden="1" customHeight="1" x14ac:dyDescent="0.25">
      <c r="A1003" s="364" t="s">
        <v>199</v>
      </c>
      <c r="B1003" s="365" t="s">
        <v>251</v>
      </c>
      <c r="C1003" s="365" t="s">
        <v>116</v>
      </c>
      <c r="D1003" s="365" t="s">
        <v>1079</v>
      </c>
      <c r="E1003" s="365"/>
      <c r="F1003" s="311">
        <f>F1004</f>
        <v>0</v>
      </c>
      <c r="G1003" s="363"/>
      <c r="H1003" s="363"/>
      <c r="I1003" s="363"/>
      <c r="J1003" s="363"/>
      <c r="K1003" s="363"/>
    </row>
    <row r="1004" spans="1:11" s="309" customFormat="1" ht="35.25" hidden="1" customHeight="1" x14ac:dyDescent="0.25">
      <c r="A1004" s="364" t="s">
        <v>191</v>
      </c>
      <c r="B1004" s="365" t="s">
        <v>251</v>
      </c>
      <c r="C1004" s="365" t="s">
        <v>116</v>
      </c>
      <c r="D1004" s="365" t="s">
        <v>1079</v>
      </c>
      <c r="E1004" s="365" t="s">
        <v>192</v>
      </c>
      <c r="F1004" s="311">
        <f>F1005</f>
        <v>0</v>
      </c>
      <c r="G1004" s="363"/>
      <c r="H1004" s="363"/>
      <c r="I1004" s="363"/>
      <c r="J1004" s="363"/>
      <c r="K1004" s="363"/>
    </row>
    <row r="1005" spans="1:11" s="309" customFormat="1" ht="20.25" hidden="1" customHeight="1" x14ac:dyDescent="0.25">
      <c r="A1005" s="364" t="s">
        <v>193</v>
      </c>
      <c r="B1005" s="365" t="s">
        <v>251</v>
      </c>
      <c r="C1005" s="365" t="s">
        <v>116</v>
      </c>
      <c r="D1005" s="365" t="s">
        <v>1079</v>
      </c>
      <c r="E1005" s="365" t="s">
        <v>194</v>
      </c>
      <c r="F1005" s="311">
        <f>'Пр.4 ведом.22'!G870</f>
        <v>0</v>
      </c>
      <c r="G1005" s="363"/>
      <c r="H1005" s="363"/>
      <c r="I1005" s="363"/>
      <c r="J1005" s="363"/>
      <c r="K1005" s="363"/>
    </row>
    <row r="1006" spans="1:11" ht="33" customHeight="1" x14ac:dyDescent="0.25">
      <c r="A1006" s="315" t="s">
        <v>514</v>
      </c>
      <c r="B1006" s="316" t="s">
        <v>251</v>
      </c>
      <c r="C1006" s="316" t="s">
        <v>116</v>
      </c>
      <c r="D1006" s="316" t="s">
        <v>794</v>
      </c>
      <c r="E1006" s="316"/>
      <c r="F1006" s="310">
        <f>F1007+F1010</f>
        <v>1290</v>
      </c>
    </row>
    <row r="1007" spans="1:11" ht="39.200000000000003" hidden="1" customHeight="1" x14ac:dyDescent="0.25">
      <c r="A1007" s="364" t="s">
        <v>369</v>
      </c>
      <c r="B1007" s="365" t="s">
        <v>251</v>
      </c>
      <c r="C1007" s="365" t="s">
        <v>116</v>
      </c>
      <c r="D1007" s="365" t="s">
        <v>819</v>
      </c>
      <c r="E1007" s="365"/>
      <c r="F1007" s="311">
        <f>'Пр.4 ведом.22'!G874</f>
        <v>0</v>
      </c>
    </row>
    <row r="1008" spans="1:11" ht="40.700000000000003" hidden="1" customHeight="1" x14ac:dyDescent="0.25">
      <c r="A1008" s="364" t="s">
        <v>191</v>
      </c>
      <c r="B1008" s="365" t="s">
        <v>251</v>
      </c>
      <c r="C1008" s="365" t="s">
        <v>116</v>
      </c>
      <c r="D1008" s="365" t="s">
        <v>819</v>
      </c>
      <c r="E1008" s="365" t="s">
        <v>192</v>
      </c>
      <c r="F1008" s="311">
        <f t="shared" ref="F1008" si="92">F1009</f>
        <v>0</v>
      </c>
    </row>
    <row r="1009" spans="1:11" ht="15.75" hidden="1" customHeight="1" x14ac:dyDescent="0.25">
      <c r="A1009" s="364" t="s">
        <v>193</v>
      </c>
      <c r="B1009" s="365" t="s">
        <v>251</v>
      </c>
      <c r="C1009" s="365" t="s">
        <v>116</v>
      </c>
      <c r="D1009" s="365" t="s">
        <v>819</v>
      </c>
      <c r="E1009" s="365" t="s">
        <v>194</v>
      </c>
      <c r="F1009" s="311">
        <f>'Пр.4 ведом.22'!G874</f>
        <v>0</v>
      </c>
    </row>
    <row r="1010" spans="1:11" ht="34.5" customHeight="1" x14ac:dyDescent="0.25">
      <c r="A1010" s="31" t="s">
        <v>344</v>
      </c>
      <c r="B1010" s="365" t="s">
        <v>251</v>
      </c>
      <c r="C1010" s="365" t="s">
        <v>116</v>
      </c>
      <c r="D1010" s="365" t="s">
        <v>795</v>
      </c>
      <c r="E1010" s="365"/>
      <c r="F1010" s="311">
        <f>'Пр.4 ведом.22'!G877</f>
        <v>1290</v>
      </c>
    </row>
    <row r="1011" spans="1:11" ht="39.75" customHeight="1" x14ac:dyDescent="0.25">
      <c r="A1011" s="24" t="s">
        <v>191</v>
      </c>
      <c r="B1011" s="365" t="s">
        <v>251</v>
      </c>
      <c r="C1011" s="365" t="s">
        <v>116</v>
      </c>
      <c r="D1011" s="365" t="s">
        <v>795</v>
      </c>
      <c r="E1011" s="365" t="s">
        <v>192</v>
      </c>
      <c r="F1011" s="311">
        <f>F1012</f>
        <v>1290</v>
      </c>
    </row>
    <row r="1012" spans="1:11" ht="15.75" x14ac:dyDescent="0.25">
      <c r="A1012" s="24" t="s">
        <v>193</v>
      </c>
      <c r="B1012" s="365" t="s">
        <v>251</v>
      </c>
      <c r="C1012" s="365" t="s">
        <v>116</v>
      </c>
      <c r="D1012" s="365" t="s">
        <v>795</v>
      </c>
      <c r="E1012" s="365" t="s">
        <v>194</v>
      </c>
      <c r="F1012" s="311">
        <f>'Пр.4 ведом.22'!G877</f>
        <v>1290</v>
      </c>
    </row>
    <row r="1013" spans="1:11" ht="47.25" x14ac:dyDescent="0.25">
      <c r="A1013" s="315" t="s">
        <v>471</v>
      </c>
      <c r="B1013" s="316" t="s">
        <v>251</v>
      </c>
      <c r="C1013" s="316" t="s">
        <v>116</v>
      </c>
      <c r="D1013" s="316" t="s">
        <v>796</v>
      </c>
      <c r="E1013" s="316"/>
      <c r="F1013" s="310">
        <f>F1014</f>
        <v>883.9</v>
      </c>
    </row>
    <row r="1014" spans="1:11" ht="94.5" x14ac:dyDescent="0.25">
      <c r="A1014" s="24" t="s">
        <v>245</v>
      </c>
      <c r="B1014" s="365" t="s">
        <v>251</v>
      </c>
      <c r="C1014" s="365" t="s">
        <v>116</v>
      </c>
      <c r="D1014" s="365" t="s">
        <v>896</v>
      </c>
      <c r="E1014" s="365"/>
      <c r="F1014" s="311">
        <f>F1015</f>
        <v>883.9</v>
      </c>
    </row>
    <row r="1015" spans="1:11" ht="31.5" x14ac:dyDescent="0.25">
      <c r="A1015" s="364" t="s">
        <v>191</v>
      </c>
      <c r="B1015" s="365" t="s">
        <v>251</v>
      </c>
      <c r="C1015" s="365" t="s">
        <v>116</v>
      </c>
      <c r="D1015" s="365" t="s">
        <v>896</v>
      </c>
      <c r="E1015" s="365" t="s">
        <v>192</v>
      </c>
      <c r="F1015" s="311">
        <f t="shared" ref="F1015:F1029" si="93">F1016</f>
        <v>883.9</v>
      </c>
    </row>
    <row r="1016" spans="1:11" ht="15.75" x14ac:dyDescent="0.25">
      <c r="A1016" s="364" t="s">
        <v>193</v>
      </c>
      <c r="B1016" s="365" t="s">
        <v>251</v>
      </c>
      <c r="C1016" s="365" t="s">
        <v>116</v>
      </c>
      <c r="D1016" s="365" t="s">
        <v>896</v>
      </c>
      <c r="E1016" s="365" t="s">
        <v>194</v>
      </c>
      <c r="F1016" s="311">
        <f>'Пр.4 ведом.22'!G881</f>
        <v>883.9</v>
      </c>
    </row>
    <row r="1017" spans="1:11" s="309" customFormat="1" ht="47.25" x14ac:dyDescent="0.25">
      <c r="A1017" s="315" t="s">
        <v>1060</v>
      </c>
      <c r="B1017" s="316" t="s">
        <v>251</v>
      </c>
      <c r="C1017" s="316" t="s">
        <v>116</v>
      </c>
      <c r="D1017" s="316" t="s">
        <v>1058</v>
      </c>
      <c r="E1017" s="316"/>
      <c r="F1017" s="310">
        <f>F1018</f>
        <v>5022.3</v>
      </c>
      <c r="G1017" s="363"/>
      <c r="H1017" s="363"/>
      <c r="I1017" s="363"/>
      <c r="J1017" s="363"/>
      <c r="K1017" s="363"/>
    </row>
    <row r="1018" spans="1:11" s="309" customFormat="1" ht="55.5" customHeight="1" x14ac:dyDescent="0.25">
      <c r="A1018" s="24" t="s">
        <v>1061</v>
      </c>
      <c r="B1018" s="365" t="s">
        <v>251</v>
      </c>
      <c r="C1018" s="365" t="s">
        <v>116</v>
      </c>
      <c r="D1018" s="365" t="s">
        <v>1059</v>
      </c>
      <c r="E1018" s="365"/>
      <c r="F1018" s="311">
        <f>F1019</f>
        <v>5022.3</v>
      </c>
      <c r="G1018" s="363"/>
      <c r="H1018" s="363"/>
      <c r="I1018" s="363"/>
      <c r="J1018" s="363"/>
      <c r="K1018" s="363"/>
    </row>
    <row r="1019" spans="1:11" s="309" customFormat="1" ht="31.5" x14ac:dyDescent="0.25">
      <c r="A1019" s="364" t="s">
        <v>191</v>
      </c>
      <c r="B1019" s="365" t="s">
        <v>251</v>
      </c>
      <c r="C1019" s="365" t="s">
        <v>116</v>
      </c>
      <c r="D1019" s="365" t="s">
        <v>1059</v>
      </c>
      <c r="E1019" s="365" t="s">
        <v>192</v>
      </c>
      <c r="F1019" s="311">
        <f t="shared" si="93"/>
        <v>5022.3</v>
      </c>
      <c r="G1019" s="363"/>
      <c r="H1019" s="363"/>
      <c r="I1019" s="363"/>
      <c r="J1019" s="363"/>
      <c r="K1019" s="363"/>
    </row>
    <row r="1020" spans="1:11" s="309" customFormat="1" ht="15.75" x14ac:dyDescent="0.25">
      <c r="A1020" s="364" t="s">
        <v>193</v>
      </c>
      <c r="B1020" s="365" t="s">
        <v>251</v>
      </c>
      <c r="C1020" s="365" t="s">
        <v>116</v>
      </c>
      <c r="D1020" s="365" t="s">
        <v>1059</v>
      </c>
      <c r="E1020" s="365" t="s">
        <v>194</v>
      </c>
      <c r="F1020" s="311">
        <f>'Пр.4 ведом.22'!G884</f>
        <v>5022.3</v>
      </c>
      <c r="G1020" s="363"/>
      <c r="H1020" s="363"/>
      <c r="I1020" s="363"/>
      <c r="J1020" s="363"/>
      <c r="K1020" s="363"/>
    </row>
    <row r="1021" spans="1:11" s="362" customFormat="1" ht="31.5" x14ac:dyDescent="0.25">
      <c r="A1021" s="359" t="s">
        <v>1122</v>
      </c>
      <c r="B1021" s="316" t="s">
        <v>251</v>
      </c>
      <c r="C1021" s="316" t="s">
        <v>116</v>
      </c>
      <c r="D1021" s="316" t="s">
        <v>1123</v>
      </c>
      <c r="E1021" s="316"/>
      <c r="F1021" s="310">
        <f>F1022</f>
        <v>430.1</v>
      </c>
      <c r="G1021" s="363"/>
      <c r="H1021" s="363"/>
      <c r="I1021" s="363"/>
      <c r="J1021" s="363"/>
      <c r="K1021" s="363"/>
    </row>
    <row r="1022" spans="1:11" s="362" customFormat="1" ht="31.5" x14ac:dyDescent="0.25">
      <c r="A1022" s="22" t="s">
        <v>1125</v>
      </c>
      <c r="B1022" s="365" t="s">
        <v>251</v>
      </c>
      <c r="C1022" s="365" t="s">
        <v>116</v>
      </c>
      <c r="D1022" s="365" t="s">
        <v>1124</v>
      </c>
      <c r="E1022" s="365"/>
      <c r="F1022" s="311">
        <f>F1023</f>
        <v>430.1</v>
      </c>
      <c r="G1022" s="363"/>
      <c r="H1022" s="363"/>
      <c r="I1022" s="363"/>
      <c r="J1022" s="363"/>
      <c r="K1022" s="363"/>
    </row>
    <row r="1023" spans="1:11" s="362" customFormat="1" ht="31.5" x14ac:dyDescent="0.25">
      <c r="A1023" s="364" t="s">
        <v>191</v>
      </c>
      <c r="B1023" s="365" t="s">
        <v>251</v>
      </c>
      <c r="C1023" s="365" t="s">
        <v>116</v>
      </c>
      <c r="D1023" s="365" t="s">
        <v>1124</v>
      </c>
      <c r="E1023" s="365" t="s">
        <v>192</v>
      </c>
      <c r="F1023" s="311">
        <f>F1024</f>
        <v>430.1</v>
      </c>
      <c r="G1023" s="363"/>
      <c r="H1023" s="363"/>
      <c r="I1023" s="363"/>
      <c r="J1023" s="363"/>
      <c r="K1023" s="363"/>
    </row>
    <row r="1024" spans="1:11" s="362" customFormat="1" ht="15.75" x14ac:dyDescent="0.25">
      <c r="A1024" s="364" t="s">
        <v>193</v>
      </c>
      <c r="B1024" s="365" t="s">
        <v>251</v>
      </c>
      <c r="C1024" s="365" t="s">
        <v>116</v>
      </c>
      <c r="D1024" s="365" t="s">
        <v>1124</v>
      </c>
      <c r="E1024" s="365" t="s">
        <v>194</v>
      </c>
      <c r="F1024" s="311">
        <f>'Пр.4 ведом.22'!G889</f>
        <v>430.1</v>
      </c>
      <c r="G1024" s="363"/>
      <c r="H1024" s="363"/>
      <c r="I1024" s="363"/>
      <c r="J1024" s="363"/>
      <c r="K1024" s="363"/>
    </row>
    <row r="1025" spans="1:11" s="131" customFormat="1" ht="63" hidden="1" x14ac:dyDescent="0.25">
      <c r="A1025" s="315" t="s">
        <v>732</v>
      </c>
      <c r="B1025" s="316" t="s">
        <v>251</v>
      </c>
      <c r="C1025" s="316" t="s">
        <v>116</v>
      </c>
      <c r="D1025" s="316" t="s">
        <v>797</v>
      </c>
      <c r="E1025" s="316"/>
      <c r="F1025" s="310">
        <f>F1026</f>
        <v>0</v>
      </c>
      <c r="G1025" s="363"/>
      <c r="H1025" s="363"/>
      <c r="I1025" s="363"/>
      <c r="J1025" s="363"/>
      <c r="K1025" s="363"/>
    </row>
    <row r="1026" spans="1:11" s="131" customFormat="1" ht="63" hidden="1" x14ac:dyDescent="0.25">
      <c r="A1026" s="364" t="s">
        <v>734</v>
      </c>
      <c r="B1026" s="365" t="s">
        <v>251</v>
      </c>
      <c r="C1026" s="365" t="s">
        <v>116</v>
      </c>
      <c r="D1026" s="365" t="s">
        <v>833</v>
      </c>
      <c r="E1026" s="365"/>
      <c r="F1026" s="311">
        <f>F1027</f>
        <v>0</v>
      </c>
      <c r="G1026" s="363"/>
      <c r="H1026" s="363"/>
      <c r="I1026" s="363"/>
      <c r="J1026" s="363"/>
      <c r="K1026" s="363"/>
    </row>
    <row r="1027" spans="1:11" s="131" customFormat="1" ht="31.5" hidden="1" x14ac:dyDescent="0.25">
      <c r="A1027" s="364" t="s">
        <v>191</v>
      </c>
      <c r="B1027" s="365" t="s">
        <v>251</v>
      </c>
      <c r="C1027" s="365" t="s">
        <v>116</v>
      </c>
      <c r="D1027" s="365" t="s">
        <v>833</v>
      </c>
      <c r="E1027" s="365" t="s">
        <v>192</v>
      </c>
      <c r="F1027" s="311">
        <f>F1028</f>
        <v>0</v>
      </c>
      <c r="G1027" s="363"/>
      <c r="H1027" s="363"/>
      <c r="I1027" s="363"/>
      <c r="J1027" s="363"/>
      <c r="K1027" s="363"/>
    </row>
    <row r="1028" spans="1:11" s="131" customFormat="1" ht="15.75" hidden="1" x14ac:dyDescent="0.25">
      <c r="A1028" s="364" t="s">
        <v>193</v>
      </c>
      <c r="B1028" s="365" t="s">
        <v>251</v>
      </c>
      <c r="C1028" s="365" t="s">
        <v>116</v>
      </c>
      <c r="D1028" s="365" t="s">
        <v>833</v>
      </c>
      <c r="E1028" s="365" t="s">
        <v>194</v>
      </c>
      <c r="F1028" s="311">
        <f>'Пр.4 ведом.22'!G893</f>
        <v>0</v>
      </c>
      <c r="G1028" s="363"/>
      <c r="H1028" s="363"/>
      <c r="I1028" s="363"/>
      <c r="J1028" s="363"/>
      <c r="K1028" s="363"/>
    </row>
    <row r="1029" spans="1:11" ht="47.25" x14ac:dyDescent="0.25">
      <c r="A1029" s="359" t="s">
        <v>855</v>
      </c>
      <c r="B1029" s="316" t="s">
        <v>251</v>
      </c>
      <c r="C1029" s="316" t="s">
        <v>116</v>
      </c>
      <c r="D1029" s="316" t="s">
        <v>339</v>
      </c>
      <c r="E1029" s="323"/>
      <c r="F1029" s="310">
        <f t="shared" si="93"/>
        <v>579.1</v>
      </c>
    </row>
    <row r="1030" spans="1:11" ht="47.25" x14ac:dyDescent="0.25">
      <c r="A1030" s="359" t="s">
        <v>463</v>
      </c>
      <c r="B1030" s="316" t="s">
        <v>251</v>
      </c>
      <c r="C1030" s="316" t="s">
        <v>116</v>
      </c>
      <c r="D1030" s="316" t="s">
        <v>461</v>
      </c>
      <c r="E1030" s="323"/>
      <c r="F1030" s="310">
        <f>F1031</f>
        <v>579.1</v>
      </c>
    </row>
    <row r="1031" spans="1:11" ht="47.25" x14ac:dyDescent="0.25">
      <c r="A1031" s="70" t="s">
        <v>359</v>
      </c>
      <c r="B1031" s="365" t="s">
        <v>251</v>
      </c>
      <c r="C1031" s="365" t="s">
        <v>116</v>
      </c>
      <c r="D1031" s="365" t="s">
        <v>506</v>
      </c>
      <c r="E1031" s="319"/>
      <c r="F1031" s="311">
        <f>F1032</f>
        <v>579.1</v>
      </c>
    </row>
    <row r="1032" spans="1:11" ht="31.5" x14ac:dyDescent="0.25">
      <c r="A1032" s="22" t="s">
        <v>191</v>
      </c>
      <c r="B1032" s="365" t="s">
        <v>251</v>
      </c>
      <c r="C1032" s="365" t="s">
        <v>116</v>
      </c>
      <c r="D1032" s="365" t="s">
        <v>506</v>
      </c>
      <c r="E1032" s="319" t="s">
        <v>192</v>
      </c>
      <c r="F1032" s="311">
        <f>F1033</f>
        <v>579.1</v>
      </c>
    </row>
    <row r="1033" spans="1:11" ht="15.75" x14ac:dyDescent="0.25">
      <c r="A1033" s="111" t="s">
        <v>193</v>
      </c>
      <c r="B1033" s="365" t="s">
        <v>251</v>
      </c>
      <c r="C1033" s="365" t="s">
        <v>116</v>
      </c>
      <c r="D1033" s="365" t="s">
        <v>506</v>
      </c>
      <c r="E1033" s="319" t="s">
        <v>194</v>
      </c>
      <c r="F1033" s="311">
        <f>'Пр.4 ведом.22'!G898</f>
        <v>579.1</v>
      </c>
    </row>
    <row r="1034" spans="1:11" ht="31.5" x14ac:dyDescent="0.25">
      <c r="A1034" s="315" t="s">
        <v>254</v>
      </c>
      <c r="B1034" s="316" t="s">
        <v>251</v>
      </c>
      <c r="C1034" s="316" t="s">
        <v>168</v>
      </c>
      <c r="D1034" s="316"/>
      <c r="E1034" s="316"/>
      <c r="F1034" s="310">
        <f>F1035+F1050+F1062</f>
        <v>13465.39</v>
      </c>
    </row>
    <row r="1035" spans="1:11" ht="31.5" x14ac:dyDescent="0.25">
      <c r="A1035" s="315" t="s">
        <v>488</v>
      </c>
      <c r="B1035" s="316" t="s">
        <v>251</v>
      </c>
      <c r="C1035" s="316" t="s">
        <v>168</v>
      </c>
      <c r="D1035" s="316" t="s">
        <v>434</v>
      </c>
      <c r="E1035" s="316"/>
      <c r="F1035" s="310">
        <f>F1036</f>
        <v>10765.39</v>
      </c>
    </row>
    <row r="1036" spans="1:11" ht="15.75" x14ac:dyDescent="0.25">
      <c r="A1036" s="315" t="s">
        <v>489</v>
      </c>
      <c r="B1036" s="316" t="s">
        <v>251</v>
      </c>
      <c r="C1036" s="316" t="s">
        <v>168</v>
      </c>
      <c r="D1036" s="316" t="s">
        <v>435</v>
      </c>
      <c r="E1036" s="316"/>
      <c r="F1036" s="310">
        <f>F1037+F1047+F1040</f>
        <v>10765.39</v>
      </c>
    </row>
    <row r="1037" spans="1:11" ht="31.5" x14ac:dyDescent="0.25">
      <c r="A1037" s="364" t="s">
        <v>468</v>
      </c>
      <c r="B1037" s="365" t="s">
        <v>251</v>
      </c>
      <c r="C1037" s="365" t="s">
        <v>168</v>
      </c>
      <c r="D1037" s="365" t="s">
        <v>436</v>
      </c>
      <c r="E1037" s="365"/>
      <c r="F1037" s="311">
        <f>F1038</f>
        <v>4977.99</v>
      </c>
    </row>
    <row r="1038" spans="1:11" ht="78.75" x14ac:dyDescent="0.25">
      <c r="A1038" s="364" t="s">
        <v>119</v>
      </c>
      <c r="B1038" s="365" t="s">
        <v>251</v>
      </c>
      <c r="C1038" s="365" t="s">
        <v>168</v>
      </c>
      <c r="D1038" s="365" t="s">
        <v>436</v>
      </c>
      <c r="E1038" s="365" t="s">
        <v>120</v>
      </c>
      <c r="F1038" s="311">
        <f>F1039</f>
        <v>4977.99</v>
      </c>
    </row>
    <row r="1039" spans="1:11" ht="31.5" x14ac:dyDescent="0.25">
      <c r="A1039" s="364" t="s">
        <v>121</v>
      </c>
      <c r="B1039" s="365" t="s">
        <v>251</v>
      </c>
      <c r="C1039" s="365" t="s">
        <v>168</v>
      </c>
      <c r="D1039" s="365" t="s">
        <v>436</v>
      </c>
      <c r="E1039" s="365" t="s">
        <v>122</v>
      </c>
      <c r="F1039" s="311">
        <f>'Пр.4 ведом.22'!G904</f>
        <v>4977.99</v>
      </c>
    </row>
    <row r="1040" spans="1:11" s="362" customFormat="1" ht="31.5" x14ac:dyDescent="0.25">
      <c r="A1040" s="364" t="s">
        <v>417</v>
      </c>
      <c r="B1040" s="365" t="s">
        <v>251</v>
      </c>
      <c r="C1040" s="365" t="s">
        <v>168</v>
      </c>
      <c r="D1040" s="365" t="s">
        <v>437</v>
      </c>
      <c r="E1040" s="365"/>
      <c r="F1040" s="311">
        <f>F1041+F1043+F1045</f>
        <v>5142.3999999999996</v>
      </c>
      <c r="G1040" s="363"/>
      <c r="H1040" s="363"/>
      <c r="I1040" s="363"/>
      <c r="J1040" s="363"/>
      <c r="K1040" s="363"/>
    </row>
    <row r="1041" spans="1:11" s="362" customFormat="1" ht="78.75" x14ac:dyDescent="0.25">
      <c r="A1041" s="364" t="s">
        <v>119</v>
      </c>
      <c r="B1041" s="365" t="s">
        <v>251</v>
      </c>
      <c r="C1041" s="365" t="s">
        <v>168</v>
      </c>
      <c r="D1041" s="365" t="s">
        <v>437</v>
      </c>
      <c r="E1041" s="365" t="s">
        <v>120</v>
      </c>
      <c r="F1041" s="311">
        <f>F1042</f>
        <v>4746.5</v>
      </c>
      <c r="G1041" s="363"/>
      <c r="H1041" s="363"/>
      <c r="I1041" s="363"/>
      <c r="J1041" s="363"/>
      <c r="K1041" s="363"/>
    </row>
    <row r="1042" spans="1:11" s="362" customFormat="1" ht="31.5" x14ac:dyDescent="0.25">
      <c r="A1042" s="364" t="s">
        <v>121</v>
      </c>
      <c r="B1042" s="365" t="s">
        <v>251</v>
      </c>
      <c r="C1042" s="365" t="s">
        <v>168</v>
      </c>
      <c r="D1042" s="365" t="s">
        <v>437</v>
      </c>
      <c r="E1042" s="365" t="s">
        <v>122</v>
      </c>
      <c r="F1042" s="311">
        <f>'Пр.4 ведом.22'!G907</f>
        <v>4746.5</v>
      </c>
      <c r="G1042" s="363"/>
      <c r="H1042" s="363"/>
      <c r="I1042" s="363"/>
      <c r="J1042" s="363"/>
      <c r="K1042" s="363"/>
    </row>
    <row r="1043" spans="1:11" s="362" customFormat="1" ht="31.5" x14ac:dyDescent="0.25">
      <c r="A1043" s="364" t="s">
        <v>123</v>
      </c>
      <c r="B1043" s="365" t="s">
        <v>251</v>
      </c>
      <c r="C1043" s="365" t="s">
        <v>168</v>
      </c>
      <c r="D1043" s="365" t="s">
        <v>437</v>
      </c>
      <c r="E1043" s="365" t="s">
        <v>124</v>
      </c>
      <c r="F1043" s="311">
        <f>F1044</f>
        <v>344.9</v>
      </c>
      <c r="G1043" s="363"/>
      <c r="H1043" s="363"/>
      <c r="I1043" s="363"/>
      <c r="J1043" s="363"/>
      <c r="K1043" s="363"/>
    </row>
    <row r="1044" spans="1:11" s="362" customFormat="1" ht="31.5" x14ac:dyDescent="0.25">
      <c r="A1044" s="364" t="s">
        <v>125</v>
      </c>
      <c r="B1044" s="365" t="s">
        <v>251</v>
      </c>
      <c r="C1044" s="365" t="s">
        <v>168</v>
      </c>
      <c r="D1044" s="365" t="s">
        <v>437</v>
      </c>
      <c r="E1044" s="365" t="s">
        <v>126</v>
      </c>
      <c r="F1044" s="311">
        <f>'Пр.4 ведом.22'!G909</f>
        <v>344.9</v>
      </c>
      <c r="G1044" s="363"/>
      <c r="H1044" s="363"/>
      <c r="I1044" s="363"/>
      <c r="J1044" s="363"/>
      <c r="K1044" s="363"/>
    </row>
    <row r="1045" spans="1:11" s="362" customFormat="1" ht="15.75" x14ac:dyDescent="0.25">
      <c r="A1045" s="364" t="s">
        <v>127</v>
      </c>
      <c r="B1045" s="365" t="s">
        <v>251</v>
      </c>
      <c r="C1045" s="365" t="s">
        <v>168</v>
      </c>
      <c r="D1045" s="365" t="s">
        <v>437</v>
      </c>
      <c r="E1045" s="365" t="s">
        <v>134</v>
      </c>
      <c r="F1045" s="311">
        <f>F1046</f>
        <v>51</v>
      </c>
      <c r="G1045" s="363"/>
      <c r="H1045" s="363"/>
      <c r="I1045" s="363"/>
      <c r="J1045" s="363"/>
      <c r="K1045" s="363"/>
    </row>
    <row r="1046" spans="1:11" s="362" customFormat="1" ht="15.75" x14ac:dyDescent="0.25">
      <c r="A1046" s="364" t="s">
        <v>280</v>
      </c>
      <c r="B1046" s="365" t="s">
        <v>251</v>
      </c>
      <c r="C1046" s="365" t="s">
        <v>168</v>
      </c>
      <c r="D1046" s="365" t="s">
        <v>437</v>
      </c>
      <c r="E1046" s="365" t="s">
        <v>130</v>
      </c>
      <c r="F1046" s="311">
        <f>'Пр.4 ведом.22'!G911</f>
        <v>51</v>
      </c>
      <c r="G1046" s="363"/>
      <c r="H1046" s="363"/>
      <c r="I1046" s="363"/>
      <c r="J1046" s="363"/>
      <c r="K1046" s="363"/>
    </row>
    <row r="1047" spans="1:11" ht="47.25" x14ac:dyDescent="0.25">
      <c r="A1047" s="364" t="s">
        <v>416</v>
      </c>
      <c r="B1047" s="365" t="s">
        <v>251</v>
      </c>
      <c r="C1047" s="365" t="s">
        <v>168</v>
      </c>
      <c r="D1047" s="365" t="s">
        <v>438</v>
      </c>
      <c r="E1047" s="365"/>
      <c r="F1047" s="311">
        <f>F1048</f>
        <v>645</v>
      </c>
    </row>
    <row r="1048" spans="1:11" ht="78.75" x14ac:dyDescent="0.25">
      <c r="A1048" s="364" t="s">
        <v>119</v>
      </c>
      <c r="B1048" s="365" t="s">
        <v>251</v>
      </c>
      <c r="C1048" s="365" t="s">
        <v>168</v>
      </c>
      <c r="D1048" s="365" t="s">
        <v>438</v>
      </c>
      <c r="E1048" s="365" t="s">
        <v>120</v>
      </c>
      <c r="F1048" s="311">
        <f>F1049</f>
        <v>645</v>
      </c>
    </row>
    <row r="1049" spans="1:11" ht="31.5" x14ac:dyDescent="0.25">
      <c r="A1049" s="364" t="s">
        <v>121</v>
      </c>
      <c r="B1049" s="365" t="s">
        <v>251</v>
      </c>
      <c r="C1049" s="365" t="s">
        <v>168</v>
      </c>
      <c r="D1049" s="365" t="s">
        <v>438</v>
      </c>
      <c r="E1049" s="365" t="s">
        <v>122</v>
      </c>
      <c r="F1049" s="311">
        <f>'Пр.4 ведом.22'!G914</f>
        <v>645</v>
      </c>
    </row>
    <row r="1050" spans="1:11" ht="15.75" hidden="1" x14ac:dyDescent="0.25">
      <c r="A1050" s="315" t="s">
        <v>133</v>
      </c>
      <c r="B1050" s="316" t="s">
        <v>251</v>
      </c>
      <c r="C1050" s="316" t="s">
        <v>168</v>
      </c>
      <c r="D1050" s="316" t="s">
        <v>442</v>
      </c>
      <c r="E1050" s="316"/>
      <c r="F1050" s="310">
        <f>F1051</f>
        <v>0</v>
      </c>
    </row>
    <row r="1051" spans="1:11" ht="31.5" hidden="1" x14ac:dyDescent="0.25">
      <c r="A1051" s="315" t="s">
        <v>500</v>
      </c>
      <c r="B1051" s="316" t="s">
        <v>251</v>
      </c>
      <c r="C1051" s="316" t="s">
        <v>168</v>
      </c>
      <c r="D1051" s="316" t="s">
        <v>485</v>
      </c>
      <c r="E1051" s="316"/>
      <c r="F1051" s="310">
        <f>F1052+F1059</f>
        <v>0</v>
      </c>
    </row>
    <row r="1052" spans="1:11" ht="31.5" hidden="1" x14ac:dyDescent="0.25">
      <c r="A1052" s="364" t="s">
        <v>474</v>
      </c>
      <c r="B1052" s="365" t="s">
        <v>251</v>
      </c>
      <c r="C1052" s="365" t="s">
        <v>168</v>
      </c>
      <c r="D1052" s="365" t="s">
        <v>486</v>
      </c>
      <c r="E1052" s="365"/>
      <c r="F1052" s="311">
        <f>F1053+F1055+F1057</f>
        <v>0</v>
      </c>
    </row>
    <row r="1053" spans="1:11" ht="78.75" hidden="1" x14ac:dyDescent="0.25">
      <c r="A1053" s="364" t="s">
        <v>119</v>
      </c>
      <c r="B1053" s="365" t="s">
        <v>251</v>
      </c>
      <c r="C1053" s="365" t="s">
        <v>168</v>
      </c>
      <c r="D1053" s="365" t="s">
        <v>486</v>
      </c>
      <c r="E1053" s="365" t="s">
        <v>120</v>
      </c>
      <c r="F1053" s="311">
        <f>F1054</f>
        <v>0</v>
      </c>
    </row>
    <row r="1054" spans="1:11" ht="21.75" hidden="1" customHeight="1" x14ac:dyDescent="0.25">
      <c r="A1054" s="364" t="s">
        <v>212</v>
      </c>
      <c r="B1054" s="365" t="s">
        <v>251</v>
      </c>
      <c r="C1054" s="365" t="s">
        <v>168</v>
      </c>
      <c r="D1054" s="365" t="s">
        <v>486</v>
      </c>
      <c r="E1054" s="365" t="s">
        <v>156</v>
      </c>
      <c r="F1054" s="311">
        <f>'Пр.4 ведом.22'!G919</f>
        <v>0</v>
      </c>
    </row>
    <row r="1055" spans="1:11" ht="31.5" hidden="1" x14ac:dyDescent="0.25">
      <c r="A1055" s="364" t="s">
        <v>123</v>
      </c>
      <c r="B1055" s="365" t="s">
        <v>251</v>
      </c>
      <c r="C1055" s="365" t="s">
        <v>168</v>
      </c>
      <c r="D1055" s="365" t="s">
        <v>486</v>
      </c>
      <c r="E1055" s="365" t="s">
        <v>124</v>
      </c>
      <c r="F1055" s="311">
        <f t="shared" ref="F1055" si="94">F1056</f>
        <v>0</v>
      </c>
    </row>
    <row r="1056" spans="1:11" ht="31.5" hidden="1" x14ac:dyDescent="0.25">
      <c r="A1056" s="364" t="s">
        <v>125</v>
      </c>
      <c r="B1056" s="365" t="s">
        <v>251</v>
      </c>
      <c r="C1056" s="365" t="s">
        <v>168</v>
      </c>
      <c r="D1056" s="365" t="s">
        <v>486</v>
      </c>
      <c r="E1056" s="365" t="s">
        <v>126</v>
      </c>
      <c r="F1056" s="311">
        <f>'Пр.4 ведом.22'!G921</f>
        <v>0</v>
      </c>
    </row>
    <row r="1057" spans="1:6" ht="15.75" hidden="1" x14ac:dyDescent="0.25">
      <c r="A1057" s="364" t="s">
        <v>127</v>
      </c>
      <c r="B1057" s="365" t="s">
        <v>251</v>
      </c>
      <c r="C1057" s="365" t="s">
        <v>168</v>
      </c>
      <c r="D1057" s="365" t="s">
        <v>486</v>
      </c>
      <c r="E1057" s="365" t="s">
        <v>134</v>
      </c>
      <c r="F1057" s="311">
        <f>F1058</f>
        <v>0</v>
      </c>
    </row>
    <row r="1058" spans="1:6" ht="15.75" hidden="1" x14ac:dyDescent="0.25">
      <c r="A1058" s="364" t="s">
        <v>280</v>
      </c>
      <c r="B1058" s="365" t="s">
        <v>251</v>
      </c>
      <c r="C1058" s="365" t="s">
        <v>168</v>
      </c>
      <c r="D1058" s="365" t="s">
        <v>486</v>
      </c>
      <c r="E1058" s="365" t="s">
        <v>130</v>
      </c>
      <c r="F1058" s="311">
        <f>'Пр.4 ведом.22'!G923</f>
        <v>0</v>
      </c>
    </row>
    <row r="1059" spans="1:6" ht="47.25" hidden="1" x14ac:dyDescent="0.25">
      <c r="A1059" s="364" t="s">
        <v>416</v>
      </c>
      <c r="B1059" s="365" t="s">
        <v>251</v>
      </c>
      <c r="C1059" s="365" t="s">
        <v>168</v>
      </c>
      <c r="D1059" s="365" t="s">
        <v>487</v>
      </c>
      <c r="E1059" s="365"/>
      <c r="F1059" s="311">
        <f>F1060</f>
        <v>0</v>
      </c>
    </row>
    <row r="1060" spans="1:6" ht="78.75" hidden="1" x14ac:dyDescent="0.25">
      <c r="A1060" s="364" t="s">
        <v>119</v>
      </c>
      <c r="B1060" s="365" t="s">
        <v>251</v>
      </c>
      <c r="C1060" s="365" t="s">
        <v>168</v>
      </c>
      <c r="D1060" s="365" t="s">
        <v>487</v>
      </c>
      <c r="E1060" s="365" t="s">
        <v>120</v>
      </c>
      <c r="F1060" s="311">
        <f t="shared" ref="F1060" si="95">F1061</f>
        <v>0</v>
      </c>
    </row>
    <row r="1061" spans="1:6" ht="31.5" hidden="1" x14ac:dyDescent="0.25">
      <c r="A1061" s="364" t="s">
        <v>121</v>
      </c>
      <c r="B1061" s="365" t="s">
        <v>251</v>
      </c>
      <c r="C1061" s="365" t="s">
        <v>168</v>
      </c>
      <c r="D1061" s="365" t="s">
        <v>487</v>
      </c>
      <c r="E1061" s="365" t="s">
        <v>122</v>
      </c>
      <c r="F1061" s="311">
        <f>'Пр.4 ведом.22'!G926</f>
        <v>0</v>
      </c>
    </row>
    <row r="1062" spans="1:6" ht="47.25" x14ac:dyDescent="0.25">
      <c r="A1062" s="359" t="s">
        <v>869</v>
      </c>
      <c r="B1062" s="316" t="s">
        <v>251</v>
      </c>
      <c r="C1062" s="316" t="s">
        <v>168</v>
      </c>
      <c r="D1062" s="7" t="s">
        <v>249</v>
      </c>
      <c r="E1062" s="316"/>
      <c r="F1062" s="310">
        <f>F1063</f>
        <v>2700</v>
      </c>
    </row>
    <row r="1063" spans="1:6" ht="33.75" customHeight="1" x14ac:dyDescent="0.25">
      <c r="A1063" s="37" t="s">
        <v>516</v>
      </c>
      <c r="B1063" s="316" t="s">
        <v>251</v>
      </c>
      <c r="C1063" s="316" t="s">
        <v>168</v>
      </c>
      <c r="D1063" s="7" t="s">
        <v>798</v>
      </c>
      <c r="E1063" s="316"/>
      <c r="F1063" s="310">
        <f>F1064</f>
        <v>2700</v>
      </c>
    </row>
    <row r="1064" spans="1:6" ht="15.75" x14ac:dyDescent="0.25">
      <c r="A1064" s="22" t="s">
        <v>517</v>
      </c>
      <c r="B1064" s="365" t="s">
        <v>251</v>
      </c>
      <c r="C1064" s="365" t="s">
        <v>168</v>
      </c>
      <c r="D1064" s="360" t="s">
        <v>799</v>
      </c>
      <c r="E1064" s="365"/>
      <c r="F1064" s="255">
        <f>F1065+F1067</f>
        <v>2700</v>
      </c>
    </row>
    <row r="1065" spans="1:6" ht="78.75" x14ac:dyDescent="0.25">
      <c r="A1065" s="364" t="s">
        <v>119</v>
      </c>
      <c r="B1065" s="365" t="s">
        <v>251</v>
      </c>
      <c r="C1065" s="365" t="s">
        <v>168</v>
      </c>
      <c r="D1065" s="360" t="s">
        <v>799</v>
      </c>
      <c r="E1065" s="365" t="s">
        <v>120</v>
      </c>
      <c r="F1065" s="255">
        <f>F1066</f>
        <v>2200</v>
      </c>
    </row>
    <row r="1066" spans="1:6" ht="21.75" customHeight="1" x14ac:dyDescent="0.25">
      <c r="A1066" s="364" t="s">
        <v>212</v>
      </c>
      <c r="B1066" s="365" t="s">
        <v>251</v>
      </c>
      <c r="C1066" s="365" t="s">
        <v>168</v>
      </c>
      <c r="D1066" s="360" t="s">
        <v>799</v>
      </c>
      <c r="E1066" s="365" t="s">
        <v>156</v>
      </c>
      <c r="F1066" s="255">
        <f>'Пр.4 ведом.22'!G931</f>
        <v>2200</v>
      </c>
    </row>
    <row r="1067" spans="1:6" ht="36" customHeight="1" x14ac:dyDescent="0.25">
      <c r="A1067" s="22" t="s">
        <v>123</v>
      </c>
      <c r="B1067" s="365" t="s">
        <v>251</v>
      </c>
      <c r="C1067" s="365" t="s">
        <v>168</v>
      </c>
      <c r="D1067" s="360" t="s">
        <v>799</v>
      </c>
      <c r="E1067" s="365" t="s">
        <v>124</v>
      </c>
      <c r="F1067" s="255">
        <f>F1068</f>
        <v>500</v>
      </c>
    </row>
    <row r="1068" spans="1:6" ht="31.5" x14ac:dyDescent="0.25">
      <c r="A1068" s="22" t="s">
        <v>125</v>
      </c>
      <c r="B1068" s="365" t="s">
        <v>251</v>
      </c>
      <c r="C1068" s="365" t="s">
        <v>168</v>
      </c>
      <c r="D1068" s="360" t="s">
        <v>799</v>
      </c>
      <c r="E1068" s="365" t="s">
        <v>126</v>
      </c>
      <c r="F1068" s="311">
        <f>'Пр.4 ведом.22'!G933</f>
        <v>500</v>
      </c>
    </row>
    <row r="1069" spans="1:6" ht="15.75" x14ac:dyDescent="0.25">
      <c r="A1069" s="359" t="s">
        <v>288</v>
      </c>
      <c r="B1069" s="7" t="s">
        <v>171</v>
      </c>
      <c r="C1069" s="360"/>
      <c r="D1069" s="360"/>
      <c r="E1069" s="360"/>
      <c r="F1069" s="310">
        <f t="shared" ref="F1069" si="96">F1070</f>
        <v>6158.1529999999993</v>
      </c>
    </row>
    <row r="1070" spans="1:6" ht="15.75" x14ac:dyDescent="0.25">
      <c r="A1070" s="359" t="s">
        <v>289</v>
      </c>
      <c r="B1070" s="7" t="s">
        <v>171</v>
      </c>
      <c r="C1070" s="7" t="s">
        <v>158</v>
      </c>
      <c r="D1070" s="7"/>
      <c r="E1070" s="7"/>
      <c r="F1070" s="310">
        <f>F1071+F1083</f>
        <v>6158.1529999999993</v>
      </c>
    </row>
    <row r="1071" spans="1:6" ht="15.75" x14ac:dyDescent="0.25">
      <c r="A1071" s="315" t="s">
        <v>133</v>
      </c>
      <c r="B1071" s="316" t="s">
        <v>171</v>
      </c>
      <c r="C1071" s="316" t="s">
        <v>158</v>
      </c>
      <c r="D1071" s="316" t="s">
        <v>189</v>
      </c>
      <c r="E1071" s="316"/>
      <c r="F1071" s="310">
        <f>F1072</f>
        <v>6083.2529999999997</v>
      </c>
    </row>
    <row r="1072" spans="1:6" ht="15.75" x14ac:dyDescent="0.25">
      <c r="A1072" s="315" t="s">
        <v>519</v>
      </c>
      <c r="B1072" s="316" t="s">
        <v>171</v>
      </c>
      <c r="C1072" s="316" t="s">
        <v>158</v>
      </c>
      <c r="D1072" s="316" t="s">
        <v>743</v>
      </c>
      <c r="E1072" s="316"/>
      <c r="F1072" s="310">
        <f>F1073+F1080</f>
        <v>6083.2529999999997</v>
      </c>
    </row>
    <row r="1073" spans="1:11" ht="15.75" x14ac:dyDescent="0.25">
      <c r="A1073" s="364" t="s">
        <v>379</v>
      </c>
      <c r="B1073" s="365" t="s">
        <v>171</v>
      </c>
      <c r="C1073" s="365" t="s">
        <v>158</v>
      </c>
      <c r="D1073" s="365" t="s">
        <v>744</v>
      </c>
      <c r="E1073" s="365"/>
      <c r="F1073" s="311">
        <f>F1074+F1076+F1078</f>
        <v>5825.2529999999997</v>
      </c>
    </row>
    <row r="1074" spans="1:11" ht="78.75" x14ac:dyDescent="0.25">
      <c r="A1074" s="364" t="s">
        <v>119</v>
      </c>
      <c r="B1074" s="365" t="s">
        <v>171</v>
      </c>
      <c r="C1074" s="365" t="s">
        <v>158</v>
      </c>
      <c r="D1074" s="365" t="s">
        <v>744</v>
      </c>
      <c r="E1074" s="365" t="s">
        <v>120</v>
      </c>
      <c r="F1074" s="311">
        <f>F1075</f>
        <v>4894.5</v>
      </c>
    </row>
    <row r="1075" spans="1:11" ht="15.75" x14ac:dyDescent="0.25">
      <c r="A1075" s="364" t="s">
        <v>155</v>
      </c>
      <c r="B1075" s="365" t="s">
        <v>171</v>
      </c>
      <c r="C1075" s="365" t="s">
        <v>158</v>
      </c>
      <c r="D1075" s="365" t="s">
        <v>744</v>
      </c>
      <c r="E1075" s="365" t="s">
        <v>156</v>
      </c>
      <c r="F1075" s="311">
        <f>'Пр.4 ведом.22'!G527</f>
        <v>4894.5</v>
      </c>
    </row>
    <row r="1076" spans="1:11" ht="31.5" x14ac:dyDescent="0.25">
      <c r="A1076" s="364" t="s">
        <v>123</v>
      </c>
      <c r="B1076" s="365" t="s">
        <v>171</v>
      </c>
      <c r="C1076" s="365" t="s">
        <v>158</v>
      </c>
      <c r="D1076" s="365" t="s">
        <v>744</v>
      </c>
      <c r="E1076" s="365" t="s">
        <v>124</v>
      </c>
      <c r="F1076" s="311">
        <f t="shared" ref="F1076" si="97">F1077</f>
        <v>920.25300000000004</v>
      </c>
    </row>
    <row r="1077" spans="1:11" ht="31.5" x14ac:dyDescent="0.25">
      <c r="A1077" s="364" t="s">
        <v>125</v>
      </c>
      <c r="B1077" s="365" t="s">
        <v>171</v>
      </c>
      <c r="C1077" s="365" t="s">
        <v>158</v>
      </c>
      <c r="D1077" s="365" t="s">
        <v>744</v>
      </c>
      <c r="E1077" s="365" t="s">
        <v>126</v>
      </c>
      <c r="F1077" s="311">
        <f>'Пр.4 ведом.22'!G529</f>
        <v>920.25300000000004</v>
      </c>
    </row>
    <row r="1078" spans="1:11" ht="15.75" x14ac:dyDescent="0.25">
      <c r="A1078" s="364" t="s">
        <v>127</v>
      </c>
      <c r="B1078" s="365" t="s">
        <v>171</v>
      </c>
      <c r="C1078" s="365" t="s">
        <v>158</v>
      </c>
      <c r="D1078" s="365" t="s">
        <v>744</v>
      </c>
      <c r="E1078" s="365" t="s">
        <v>134</v>
      </c>
      <c r="F1078" s="255">
        <f t="shared" ref="F1078" si="98">F1079</f>
        <v>10.5</v>
      </c>
    </row>
    <row r="1079" spans="1:11" ht="15.75" x14ac:dyDescent="0.25">
      <c r="A1079" s="364" t="s">
        <v>280</v>
      </c>
      <c r="B1079" s="365" t="s">
        <v>171</v>
      </c>
      <c r="C1079" s="365" t="s">
        <v>158</v>
      </c>
      <c r="D1079" s="365" t="s">
        <v>744</v>
      </c>
      <c r="E1079" s="365" t="s">
        <v>130</v>
      </c>
      <c r="F1079" s="255">
        <f>'Пр.4 ведом.22'!G531</f>
        <v>10.5</v>
      </c>
    </row>
    <row r="1080" spans="1:11" ht="47.25" x14ac:dyDescent="0.25">
      <c r="A1080" s="364" t="s">
        <v>416</v>
      </c>
      <c r="B1080" s="365" t="s">
        <v>171</v>
      </c>
      <c r="C1080" s="365" t="s">
        <v>158</v>
      </c>
      <c r="D1080" s="365" t="s">
        <v>823</v>
      </c>
      <c r="E1080" s="365"/>
      <c r="F1080" s="311">
        <f>F1081</f>
        <v>258</v>
      </c>
    </row>
    <row r="1081" spans="1:11" ht="78.75" x14ac:dyDescent="0.25">
      <c r="A1081" s="364" t="s">
        <v>119</v>
      </c>
      <c r="B1081" s="365" t="s">
        <v>171</v>
      </c>
      <c r="C1081" s="365" t="s">
        <v>158</v>
      </c>
      <c r="D1081" s="365" t="s">
        <v>823</v>
      </c>
      <c r="E1081" s="365" t="s">
        <v>120</v>
      </c>
      <c r="F1081" s="311">
        <f>F1082</f>
        <v>258</v>
      </c>
    </row>
    <row r="1082" spans="1:11" ht="31.5" x14ac:dyDescent="0.25">
      <c r="A1082" s="364" t="s">
        <v>121</v>
      </c>
      <c r="B1082" s="365" t="s">
        <v>171</v>
      </c>
      <c r="C1082" s="365" t="s">
        <v>158</v>
      </c>
      <c r="D1082" s="365" t="s">
        <v>823</v>
      </c>
      <c r="E1082" s="365" t="s">
        <v>156</v>
      </c>
      <c r="F1082" s="311">
        <f>'Пр.4 ведом.22'!G535</f>
        <v>258</v>
      </c>
    </row>
    <row r="1083" spans="1:11" ht="47.25" x14ac:dyDescent="0.25">
      <c r="A1083" s="359" t="s">
        <v>855</v>
      </c>
      <c r="B1083" s="316" t="s">
        <v>171</v>
      </c>
      <c r="C1083" s="316" t="s">
        <v>158</v>
      </c>
      <c r="D1083" s="316" t="s">
        <v>339</v>
      </c>
      <c r="E1083" s="323"/>
      <c r="F1083" s="310">
        <f>F1084</f>
        <v>74.900000000000006</v>
      </c>
    </row>
    <row r="1084" spans="1:11" s="131" customFormat="1" ht="47.25" x14ac:dyDescent="0.25">
      <c r="A1084" s="359" t="s">
        <v>463</v>
      </c>
      <c r="B1084" s="316" t="s">
        <v>171</v>
      </c>
      <c r="C1084" s="316" t="s">
        <v>158</v>
      </c>
      <c r="D1084" s="316" t="s">
        <v>461</v>
      </c>
      <c r="E1084" s="323"/>
      <c r="F1084" s="310">
        <f>F1085</f>
        <v>74.900000000000006</v>
      </c>
      <c r="G1084" s="363"/>
      <c r="H1084" s="363"/>
      <c r="I1084" s="363"/>
      <c r="J1084" s="363"/>
      <c r="K1084" s="363"/>
    </row>
    <row r="1085" spans="1:11" s="131" customFormat="1" ht="47.25" x14ac:dyDescent="0.25">
      <c r="A1085" s="70" t="s">
        <v>567</v>
      </c>
      <c r="B1085" s="365" t="s">
        <v>171</v>
      </c>
      <c r="C1085" s="365" t="s">
        <v>158</v>
      </c>
      <c r="D1085" s="365" t="s">
        <v>462</v>
      </c>
      <c r="E1085" s="319"/>
      <c r="F1085" s="311">
        <f>F1086</f>
        <v>74.900000000000006</v>
      </c>
      <c r="G1085" s="363"/>
      <c r="H1085" s="363"/>
      <c r="I1085" s="363"/>
      <c r="J1085" s="363"/>
      <c r="K1085" s="363"/>
    </row>
    <row r="1086" spans="1:11" s="131" customFormat="1" ht="31.5" x14ac:dyDescent="0.25">
      <c r="A1086" s="364" t="s">
        <v>123</v>
      </c>
      <c r="B1086" s="365" t="s">
        <v>171</v>
      </c>
      <c r="C1086" s="365" t="s">
        <v>158</v>
      </c>
      <c r="D1086" s="365" t="s">
        <v>462</v>
      </c>
      <c r="E1086" s="319" t="s">
        <v>124</v>
      </c>
      <c r="F1086" s="311">
        <f>F1087</f>
        <v>74.900000000000006</v>
      </c>
      <c r="G1086" s="363"/>
      <c r="H1086" s="363"/>
      <c r="I1086" s="363"/>
      <c r="J1086" s="363"/>
      <c r="K1086" s="363"/>
    </row>
    <row r="1087" spans="1:11" s="131" customFormat="1" ht="31.5" x14ac:dyDescent="0.25">
      <c r="A1087" s="364" t="s">
        <v>125</v>
      </c>
      <c r="B1087" s="365" t="s">
        <v>171</v>
      </c>
      <c r="C1087" s="365" t="s">
        <v>158</v>
      </c>
      <c r="D1087" s="365" t="s">
        <v>462</v>
      </c>
      <c r="E1087" s="319" t="s">
        <v>126</v>
      </c>
      <c r="F1087" s="311">
        <f>'Пр.4 ведом.22'!G540</f>
        <v>74.900000000000006</v>
      </c>
      <c r="G1087" s="363"/>
      <c r="H1087" s="363"/>
      <c r="I1087" s="363"/>
      <c r="J1087" s="363"/>
      <c r="K1087" s="363"/>
    </row>
    <row r="1088" spans="1:11" ht="15.75" x14ac:dyDescent="0.25">
      <c r="A1088" s="40" t="s">
        <v>290</v>
      </c>
      <c r="B1088" s="7"/>
      <c r="C1088" s="7"/>
      <c r="D1088" s="7"/>
      <c r="E1088" s="7"/>
      <c r="F1088" s="259">
        <f>F8+F241+F268+F330+F521+F807+F986+F1069+F932</f>
        <v>833882.56300000008</v>
      </c>
      <c r="H1088" s="74"/>
    </row>
    <row r="1089" spans="6:6" x14ac:dyDescent="0.25">
      <c r="F1089" s="74">
        <f>'Пр.4 ведом.22'!G1212</f>
        <v>833882.56299999985</v>
      </c>
    </row>
    <row r="1090" spans="6:6" x14ac:dyDescent="0.25">
      <c r="F1090" s="74">
        <f>F1089-F1088</f>
        <v>0</v>
      </c>
    </row>
  </sheetData>
  <mergeCells count="4"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6"/>
  <sheetViews>
    <sheetView view="pageBreakPreview" zoomScaleNormal="100" zoomScaleSheetLayoutView="100" workbookViewId="0">
      <selection activeCell="A5" sqref="A5:G5"/>
    </sheetView>
  </sheetViews>
  <sheetFormatPr defaultColWidth="9.140625" defaultRowHeight="15" x14ac:dyDescent="0.25"/>
  <cols>
    <col min="1" max="1" width="55.140625" style="363" customWidth="1"/>
    <col min="2" max="2" width="5.85546875" style="363" customWidth="1"/>
    <col min="3" max="3" width="5.42578125" style="363" customWidth="1"/>
    <col min="4" max="4" width="15.85546875" style="363" customWidth="1"/>
    <col min="5" max="5" width="7.140625" style="363" customWidth="1"/>
    <col min="6" max="7" width="14.28515625" style="74" customWidth="1"/>
    <col min="8" max="10" width="9.140625" style="363" customWidth="1"/>
    <col min="11" max="11" width="9.85546875" style="363" bestFit="1" customWidth="1"/>
    <col min="12" max="12" width="9.85546875" style="362" bestFit="1" customWidth="1"/>
    <col min="13" max="16384" width="9.140625" style="362"/>
  </cols>
  <sheetData>
    <row r="1" spans="1:12" ht="15.75" x14ac:dyDescent="0.25">
      <c r="A1" s="36"/>
      <c r="B1" s="36"/>
      <c r="C1" s="36"/>
      <c r="E1" s="439"/>
      <c r="F1" s="576" t="s">
        <v>1185</v>
      </c>
      <c r="G1" s="576"/>
    </row>
    <row r="2" spans="1:12" ht="15.75" x14ac:dyDescent="0.25">
      <c r="A2" s="36"/>
      <c r="B2" s="36"/>
      <c r="C2" s="36"/>
      <c r="E2" s="439"/>
      <c r="F2" s="576" t="s">
        <v>0</v>
      </c>
      <c r="G2" s="576"/>
    </row>
    <row r="3" spans="1:12" ht="18.75" customHeight="1" x14ac:dyDescent="0.25">
      <c r="A3" s="36"/>
      <c r="B3" s="36"/>
      <c r="C3" s="36"/>
      <c r="E3" s="439"/>
      <c r="F3" s="588" t="s">
        <v>1363</v>
      </c>
      <c r="G3" s="588"/>
    </row>
    <row r="4" spans="1:12" x14ac:dyDescent="0.25">
      <c r="A4" s="36"/>
      <c r="B4" s="36"/>
      <c r="C4" s="36"/>
      <c r="D4" s="36"/>
      <c r="E4" s="36"/>
    </row>
    <row r="5" spans="1:12" ht="63.75" customHeight="1" x14ac:dyDescent="0.25">
      <c r="A5" s="591" t="s">
        <v>1362</v>
      </c>
      <c r="B5" s="591"/>
      <c r="C5" s="591"/>
      <c r="D5" s="591"/>
      <c r="E5" s="591"/>
      <c r="F5" s="591"/>
      <c r="G5" s="591"/>
    </row>
    <row r="6" spans="1:12" x14ac:dyDescent="0.25">
      <c r="A6" s="36"/>
      <c r="B6" s="36"/>
      <c r="C6" s="36"/>
      <c r="D6" s="36"/>
      <c r="E6" s="36"/>
      <c r="F6" s="185"/>
      <c r="G6" s="185" t="s">
        <v>1</v>
      </c>
    </row>
    <row r="7" spans="1:12" ht="30.2" customHeight="1" x14ac:dyDescent="0.25">
      <c r="A7" s="151" t="s">
        <v>295</v>
      </c>
      <c r="B7" s="152" t="s">
        <v>110</v>
      </c>
      <c r="C7" s="152" t="s">
        <v>111</v>
      </c>
      <c r="D7" s="152" t="s">
        <v>112</v>
      </c>
      <c r="E7" s="152" t="s">
        <v>113</v>
      </c>
      <c r="F7" s="186" t="s">
        <v>1179</v>
      </c>
      <c r="G7" s="186" t="s">
        <v>1184</v>
      </c>
    </row>
    <row r="8" spans="1:12" ht="22.5" customHeight="1" x14ac:dyDescent="0.25">
      <c r="A8" s="204" t="s">
        <v>903</v>
      </c>
      <c r="B8" s="152"/>
      <c r="C8" s="152"/>
      <c r="D8" s="152"/>
      <c r="E8" s="152"/>
      <c r="F8" s="205">
        <f>'Пр.4.1 ведом.23-24 '!G9</f>
        <v>13679.9</v>
      </c>
      <c r="G8" s="205">
        <f>'Пр.4.1 ведом.23-24 '!H9</f>
        <v>28368.5</v>
      </c>
    </row>
    <row r="9" spans="1:12" ht="15.75" x14ac:dyDescent="0.25">
      <c r="A9" s="359" t="s">
        <v>115</v>
      </c>
      <c r="B9" s="7" t="s">
        <v>116</v>
      </c>
      <c r="C9" s="7"/>
      <c r="D9" s="7"/>
      <c r="E9" s="7"/>
      <c r="F9" s="310">
        <f>F10+F26+F42+F103+F142+F128+F136</f>
        <v>155173.80000000002</v>
      </c>
      <c r="G9" s="310">
        <f>G10+G26+G42+G103+G142+G128+G136</f>
        <v>161023.6</v>
      </c>
      <c r="H9" s="74"/>
      <c r="K9" s="154">
        <f>F9-F60-'Пр.4 ведом.22'!K1216-'Пр.4 ведом.22'!X1226</f>
        <v>151435.90000000002</v>
      </c>
      <c r="L9" s="156">
        <f>F23+F60+F100+F216-'Пр.4 ведом.22'!K1215-'Пр.4 ведом.22'!X1225</f>
        <v>3738.9000000000005</v>
      </c>
    </row>
    <row r="10" spans="1:12" ht="47.25" x14ac:dyDescent="0.25">
      <c r="A10" s="359" t="s">
        <v>285</v>
      </c>
      <c r="B10" s="7" t="s">
        <v>116</v>
      </c>
      <c r="C10" s="7" t="s">
        <v>158</v>
      </c>
      <c r="D10" s="7"/>
      <c r="E10" s="7"/>
      <c r="F10" s="310">
        <f>F11+F21</f>
        <v>5300.4</v>
      </c>
      <c r="G10" s="310">
        <f>G11+G21</f>
        <v>5386.4</v>
      </c>
    </row>
    <row r="11" spans="1:12" ht="31.5" x14ac:dyDescent="0.25">
      <c r="A11" s="315" t="s">
        <v>488</v>
      </c>
      <c r="B11" s="7" t="s">
        <v>116</v>
      </c>
      <c r="C11" s="7" t="s">
        <v>158</v>
      </c>
      <c r="D11" s="7" t="s">
        <v>434</v>
      </c>
      <c r="E11" s="7"/>
      <c r="F11" s="310">
        <f>F12</f>
        <v>5299.9</v>
      </c>
      <c r="G11" s="310">
        <f>G12</f>
        <v>5385.9</v>
      </c>
    </row>
    <row r="12" spans="1:12" ht="15.75" x14ac:dyDescent="0.25">
      <c r="A12" s="315" t="s">
        <v>489</v>
      </c>
      <c r="B12" s="7" t="s">
        <v>116</v>
      </c>
      <c r="C12" s="7" t="s">
        <v>158</v>
      </c>
      <c r="D12" s="7" t="s">
        <v>435</v>
      </c>
      <c r="E12" s="7"/>
      <c r="F12" s="310">
        <f>F13+F18</f>
        <v>5299.9</v>
      </c>
      <c r="G12" s="310">
        <f>G13+G18</f>
        <v>5385.9</v>
      </c>
    </row>
    <row r="13" spans="1:12" ht="31.5" x14ac:dyDescent="0.25">
      <c r="A13" s="22" t="s">
        <v>286</v>
      </c>
      <c r="B13" s="360" t="s">
        <v>116</v>
      </c>
      <c r="C13" s="360" t="s">
        <v>158</v>
      </c>
      <c r="D13" s="360" t="s">
        <v>836</v>
      </c>
      <c r="E13" s="360"/>
      <c r="F13" s="311">
        <f t="shared" ref="F13:G13" si="0">F14+F16</f>
        <v>5299.9</v>
      </c>
      <c r="G13" s="311">
        <f t="shared" si="0"/>
        <v>5299.9</v>
      </c>
    </row>
    <row r="14" spans="1:12" ht="78.75" x14ac:dyDescent="0.25">
      <c r="A14" s="22" t="s">
        <v>119</v>
      </c>
      <c r="B14" s="360" t="s">
        <v>116</v>
      </c>
      <c r="C14" s="360" t="s">
        <v>158</v>
      </c>
      <c r="D14" s="360" t="s">
        <v>836</v>
      </c>
      <c r="E14" s="360" t="s">
        <v>120</v>
      </c>
      <c r="F14" s="255">
        <f t="shared" ref="F14:G14" si="1">F15</f>
        <v>5209.8999999999996</v>
      </c>
      <c r="G14" s="255">
        <f t="shared" si="1"/>
        <v>5209.8999999999996</v>
      </c>
    </row>
    <row r="15" spans="1:12" ht="31.5" x14ac:dyDescent="0.25">
      <c r="A15" s="22" t="s">
        <v>121</v>
      </c>
      <c r="B15" s="360" t="s">
        <v>116</v>
      </c>
      <c r="C15" s="360" t="s">
        <v>158</v>
      </c>
      <c r="D15" s="360" t="s">
        <v>836</v>
      </c>
      <c r="E15" s="360" t="s">
        <v>122</v>
      </c>
      <c r="F15" s="255">
        <f>'Пр.4.1 ведом.23-24 '!G38</f>
        <v>5209.8999999999996</v>
      </c>
      <c r="G15" s="255">
        <f>'Пр.4.1 ведом.23-24 '!H38</f>
        <v>5209.8999999999996</v>
      </c>
    </row>
    <row r="16" spans="1:12" ht="31.5" x14ac:dyDescent="0.25">
      <c r="A16" s="22" t="s">
        <v>123</v>
      </c>
      <c r="B16" s="360" t="s">
        <v>116</v>
      </c>
      <c r="C16" s="360" t="s">
        <v>158</v>
      </c>
      <c r="D16" s="360" t="s">
        <v>836</v>
      </c>
      <c r="E16" s="360" t="s">
        <v>124</v>
      </c>
      <c r="F16" s="21">
        <f t="shared" ref="F16:G16" si="2">F17</f>
        <v>90</v>
      </c>
      <c r="G16" s="21">
        <f t="shared" si="2"/>
        <v>90</v>
      </c>
    </row>
    <row r="17" spans="1:7" ht="31.5" x14ac:dyDescent="0.25">
      <c r="A17" s="22" t="s">
        <v>125</v>
      </c>
      <c r="B17" s="360" t="s">
        <v>116</v>
      </c>
      <c r="C17" s="360" t="s">
        <v>158</v>
      </c>
      <c r="D17" s="360" t="s">
        <v>836</v>
      </c>
      <c r="E17" s="360" t="s">
        <v>126</v>
      </c>
      <c r="F17" s="21">
        <f>'Пр.4.1 ведом.23-24 '!G40</f>
        <v>90</v>
      </c>
      <c r="G17" s="21">
        <f>'Пр.4.1 ведом.23-24 '!H40</f>
        <v>90</v>
      </c>
    </row>
    <row r="18" spans="1:7" ht="47.25" x14ac:dyDescent="0.25">
      <c r="A18" s="364" t="s">
        <v>416</v>
      </c>
      <c r="B18" s="360" t="s">
        <v>116</v>
      </c>
      <c r="C18" s="360" t="s">
        <v>158</v>
      </c>
      <c r="D18" s="360" t="s">
        <v>438</v>
      </c>
      <c r="E18" s="360"/>
      <c r="F18" s="21">
        <f>F19</f>
        <v>0</v>
      </c>
      <c r="G18" s="21">
        <f>G19</f>
        <v>86</v>
      </c>
    </row>
    <row r="19" spans="1:7" ht="78.75" x14ac:dyDescent="0.25">
      <c r="A19" s="364" t="s">
        <v>119</v>
      </c>
      <c r="B19" s="360" t="s">
        <v>116</v>
      </c>
      <c r="C19" s="360" t="s">
        <v>158</v>
      </c>
      <c r="D19" s="360" t="s">
        <v>438</v>
      </c>
      <c r="E19" s="360" t="s">
        <v>120</v>
      </c>
      <c r="F19" s="21">
        <f>F20</f>
        <v>0</v>
      </c>
      <c r="G19" s="21">
        <f>G20</f>
        <v>86</v>
      </c>
    </row>
    <row r="20" spans="1:7" ht="31.5" x14ac:dyDescent="0.25">
      <c r="A20" s="364" t="s">
        <v>121</v>
      </c>
      <c r="B20" s="360" t="s">
        <v>116</v>
      </c>
      <c r="C20" s="360" t="s">
        <v>158</v>
      </c>
      <c r="D20" s="360" t="s">
        <v>438</v>
      </c>
      <c r="E20" s="360" t="s">
        <v>122</v>
      </c>
      <c r="F20" s="21">
        <f>'Пр.4.1 ведом.23-24 '!G43</f>
        <v>0</v>
      </c>
      <c r="G20" s="21">
        <f>'Пр.4.1 ведом.23-24 '!H43</f>
        <v>86</v>
      </c>
    </row>
    <row r="21" spans="1:7" ht="47.25" x14ac:dyDescent="0.25">
      <c r="A21" s="315" t="s">
        <v>841</v>
      </c>
      <c r="B21" s="316" t="s">
        <v>116</v>
      </c>
      <c r="C21" s="7" t="s">
        <v>158</v>
      </c>
      <c r="D21" s="316" t="s">
        <v>143</v>
      </c>
      <c r="E21" s="7"/>
      <c r="F21" s="256">
        <f t="shared" ref="F21:G24" si="3">F22</f>
        <v>0.5</v>
      </c>
      <c r="G21" s="256">
        <f t="shared" si="3"/>
        <v>0.5</v>
      </c>
    </row>
    <row r="22" spans="1:7" ht="63" x14ac:dyDescent="0.25">
      <c r="A22" s="146" t="s">
        <v>420</v>
      </c>
      <c r="B22" s="316" t="s">
        <v>116</v>
      </c>
      <c r="C22" s="7" t="s">
        <v>158</v>
      </c>
      <c r="D22" s="7" t="s">
        <v>426</v>
      </c>
      <c r="E22" s="7"/>
      <c r="F22" s="256">
        <f t="shared" si="3"/>
        <v>0.5</v>
      </c>
      <c r="G22" s="256">
        <f t="shared" si="3"/>
        <v>0.5</v>
      </c>
    </row>
    <row r="23" spans="1:7" ht="47.25" x14ac:dyDescent="0.25">
      <c r="A23" s="24" t="s">
        <v>334</v>
      </c>
      <c r="B23" s="365" t="s">
        <v>116</v>
      </c>
      <c r="C23" s="365" t="s">
        <v>158</v>
      </c>
      <c r="D23" s="360" t="s">
        <v>556</v>
      </c>
      <c r="E23" s="365"/>
      <c r="F23" s="318">
        <f t="shared" si="3"/>
        <v>0.5</v>
      </c>
      <c r="G23" s="318">
        <f t="shared" si="3"/>
        <v>0.5</v>
      </c>
    </row>
    <row r="24" spans="1:7" ht="31.5" x14ac:dyDescent="0.25">
      <c r="A24" s="364" t="s">
        <v>123</v>
      </c>
      <c r="B24" s="365" t="s">
        <v>116</v>
      </c>
      <c r="C24" s="365" t="s">
        <v>158</v>
      </c>
      <c r="D24" s="360" t="s">
        <v>556</v>
      </c>
      <c r="E24" s="365" t="s">
        <v>124</v>
      </c>
      <c r="F24" s="318">
        <f t="shared" si="3"/>
        <v>0.5</v>
      </c>
      <c r="G24" s="318">
        <f t="shared" si="3"/>
        <v>0.5</v>
      </c>
    </row>
    <row r="25" spans="1:7" ht="31.5" x14ac:dyDescent="0.25">
      <c r="A25" s="364" t="s">
        <v>125</v>
      </c>
      <c r="B25" s="365" t="s">
        <v>116</v>
      </c>
      <c r="C25" s="365" t="s">
        <v>158</v>
      </c>
      <c r="D25" s="360" t="s">
        <v>556</v>
      </c>
      <c r="E25" s="365" t="s">
        <v>126</v>
      </c>
      <c r="F25" s="318">
        <f>'Пр.4.1 ведом.23-24 '!G48</f>
        <v>0.5</v>
      </c>
      <c r="G25" s="318">
        <f>'Пр.4.1 ведом.23-24 '!H48</f>
        <v>0.5</v>
      </c>
    </row>
    <row r="26" spans="1:7" ht="63" x14ac:dyDescent="0.25">
      <c r="A26" s="359" t="s">
        <v>287</v>
      </c>
      <c r="B26" s="7" t="s">
        <v>116</v>
      </c>
      <c r="C26" s="7" t="s">
        <v>159</v>
      </c>
      <c r="D26" s="7"/>
      <c r="E26" s="7"/>
      <c r="F26" s="310">
        <f t="shared" ref="F26:G27" si="4">F27</f>
        <v>5970</v>
      </c>
      <c r="G26" s="310">
        <f t="shared" si="4"/>
        <v>5970</v>
      </c>
    </row>
    <row r="27" spans="1:7" ht="31.5" x14ac:dyDescent="0.25">
      <c r="A27" s="315" t="s">
        <v>488</v>
      </c>
      <c r="B27" s="7" t="s">
        <v>116</v>
      </c>
      <c r="C27" s="7" t="s">
        <v>159</v>
      </c>
      <c r="D27" s="7" t="s">
        <v>434</v>
      </c>
      <c r="E27" s="7"/>
      <c r="F27" s="310">
        <f t="shared" si="4"/>
        <v>5970</v>
      </c>
      <c r="G27" s="310">
        <f t="shared" si="4"/>
        <v>5970</v>
      </c>
    </row>
    <row r="28" spans="1:7" ht="31.5" x14ac:dyDescent="0.25">
      <c r="A28" s="315" t="s">
        <v>551</v>
      </c>
      <c r="B28" s="7" t="s">
        <v>116</v>
      </c>
      <c r="C28" s="7" t="s">
        <v>159</v>
      </c>
      <c r="D28" s="7" t="s">
        <v>552</v>
      </c>
      <c r="E28" s="7"/>
      <c r="F28" s="310">
        <f>F34+F39+F29</f>
        <v>5970</v>
      </c>
      <c r="G28" s="310">
        <f>G34+G39+G29</f>
        <v>5970</v>
      </c>
    </row>
    <row r="29" spans="1:7" ht="47.25" x14ac:dyDescent="0.25">
      <c r="A29" s="189" t="s">
        <v>865</v>
      </c>
      <c r="B29" s="365" t="s">
        <v>116</v>
      </c>
      <c r="C29" s="365" t="s">
        <v>159</v>
      </c>
      <c r="D29" s="365" t="s">
        <v>895</v>
      </c>
      <c r="E29" s="316"/>
      <c r="F29" s="311">
        <f>F30+F32</f>
        <v>4708.8999999999996</v>
      </c>
      <c r="G29" s="311">
        <f>G30+G32</f>
        <v>4708.8999999999996</v>
      </c>
    </row>
    <row r="30" spans="1:7" ht="78.75" x14ac:dyDescent="0.25">
      <c r="A30" s="364" t="s">
        <v>119</v>
      </c>
      <c r="B30" s="365" t="s">
        <v>116</v>
      </c>
      <c r="C30" s="365" t="s">
        <v>159</v>
      </c>
      <c r="D30" s="365" t="s">
        <v>895</v>
      </c>
      <c r="E30" s="365" t="s">
        <v>120</v>
      </c>
      <c r="F30" s="311">
        <f>F31</f>
        <v>4615.8999999999996</v>
      </c>
      <c r="G30" s="311">
        <f>G31</f>
        <v>4615.8999999999996</v>
      </c>
    </row>
    <row r="31" spans="1:7" ht="31.5" x14ac:dyDescent="0.25">
      <c r="A31" s="364" t="s">
        <v>121</v>
      </c>
      <c r="B31" s="365" t="s">
        <v>116</v>
      </c>
      <c r="C31" s="365" t="s">
        <v>159</v>
      </c>
      <c r="D31" s="365" t="s">
        <v>895</v>
      </c>
      <c r="E31" s="365" t="s">
        <v>122</v>
      </c>
      <c r="F31" s="311">
        <f>'Пр.4.1 ведом.23-24 '!G1201</f>
        <v>4615.8999999999996</v>
      </c>
      <c r="G31" s="311">
        <f>'Пр.4.1 ведом.23-24 '!H1201</f>
        <v>4615.8999999999996</v>
      </c>
    </row>
    <row r="32" spans="1:7" ht="31.5" x14ac:dyDescent="0.25">
      <c r="A32" s="364" t="s">
        <v>153</v>
      </c>
      <c r="B32" s="365" t="s">
        <v>116</v>
      </c>
      <c r="C32" s="365" t="s">
        <v>159</v>
      </c>
      <c r="D32" s="365" t="s">
        <v>895</v>
      </c>
      <c r="E32" s="365" t="s">
        <v>124</v>
      </c>
      <c r="F32" s="311">
        <f>F33</f>
        <v>93</v>
      </c>
      <c r="G32" s="311">
        <f>G33</f>
        <v>93</v>
      </c>
    </row>
    <row r="33" spans="1:8" ht="31.5" x14ac:dyDescent="0.25">
      <c r="A33" s="364" t="s">
        <v>125</v>
      </c>
      <c r="B33" s="365" t="s">
        <v>116</v>
      </c>
      <c r="C33" s="365" t="s">
        <v>159</v>
      </c>
      <c r="D33" s="365" t="s">
        <v>895</v>
      </c>
      <c r="E33" s="365" t="s">
        <v>126</v>
      </c>
      <c r="F33" s="311">
        <f>'Пр.4.1 ведом.23-24 '!G1203</f>
        <v>93</v>
      </c>
      <c r="G33" s="311">
        <f>'Пр.4.1 ведом.23-24 '!H1203</f>
        <v>93</v>
      </c>
    </row>
    <row r="34" spans="1:8" ht="31.5" x14ac:dyDescent="0.25">
      <c r="A34" s="364" t="s">
        <v>554</v>
      </c>
      <c r="B34" s="360" t="s">
        <v>116</v>
      </c>
      <c r="C34" s="360" t="s">
        <v>159</v>
      </c>
      <c r="D34" s="360" t="s">
        <v>555</v>
      </c>
      <c r="E34" s="360"/>
      <c r="F34" s="311">
        <f t="shared" ref="F34:G34" si="5">F35+F37</f>
        <v>1261.0999999999999</v>
      </c>
      <c r="G34" s="311">
        <f t="shared" si="5"/>
        <v>1261.0999999999999</v>
      </c>
    </row>
    <row r="35" spans="1:8" ht="78.75" x14ac:dyDescent="0.25">
      <c r="A35" s="22" t="s">
        <v>119</v>
      </c>
      <c r="B35" s="360" t="s">
        <v>116</v>
      </c>
      <c r="C35" s="360" t="s">
        <v>159</v>
      </c>
      <c r="D35" s="360" t="s">
        <v>555</v>
      </c>
      <c r="E35" s="360" t="s">
        <v>120</v>
      </c>
      <c r="F35" s="255">
        <f t="shared" ref="F35:G35" si="6">F36</f>
        <v>1261.0999999999999</v>
      </c>
      <c r="G35" s="255">
        <f t="shared" si="6"/>
        <v>1261.0999999999999</v>
      </c>
    </row>
    <row r="36" spans="1:8" ht="31.5" x14ac:dyDescent="0.25">
      <c r="A36" s="22" t="s">
        <v>121</v>
      </c>
      <c r="B36" s="360" t="s">
        <v>116</v>
      </c>
      <c r="C36" s="360" t="s">
        <v>159</v>
      </c>
      <c r="D36" s="360" t="s">
        <v>555</v>
      </c>
      <c r="E36" s="360" t="s">
        <v>122</v>
      </c>
      <c r="F36" s="255">
        <f>'Пр.4.1 ведом.23-24 '!G1206</f>
        <v>1261.0999999999999</v>
      </c>
      <c r="G36" s="255">
        <f>'Пр.4.1 ведом.23-24 '!H1206</f>
        <v>1261.0999999999999</v>
      </c>
    </row>
    <row r="37" spans="1:8" ht="31.5" hidden="1" x14ac:dyDescent="0.25">
      <c r="A37" s="22" t="s">
        <v>123</v>
      </c>
      <c r="B37" s="360" t="s">
        <v>116</v>
      </c>
      <c r="C37" s="360" t="s">
        <v>159</v>
      </c>
      <c r="D37" s="360" t="s">
        <v>555</v>
      </c>
      <c r="E37" s="360" t="s">
        <v>124</v>
      </c>
      <c r="F37" s="311">
        <f t="shared" ref="F37:G37" si="7">F38</f>
        <v>0</v>
      </c>
      <c r="G37" s="311">
        <f t="shared" si="7"/>
        <v>0</v>
      </c>
    </row>
    <row r="38" spans="1:8" ht="31.5" hidden="1" x14ac:dyDescent="0.25">
      <c r="A38" s="22" t="s">
        <v>125</v>
      </c>
      <c r="B38" s="360" t="s">
        <v>116</v>
      </c>
      <c r="C38" s="360" t="s">
        <v>159</v>
      </c>
      <c r="D38" s="360" t="s">
        <v>555</v>
      </c>
      <c r="E38" s="360" t="s">
        <v>126</v>
      </c>
      <c r="F38" s="311">
        <f>'Пр.4 ведом.22'!G1208</f>
        <v>0</v>
      </c>
      <c r="G38" s="311">
        <f>'Пр.4 ведом.22'!H1208</f>
        <v>0</v>
      </c>
    </row>
    <row r="39" spans="1:8" ht="30.2" hidden="1" customHeight="1" x14ac:dyDescent="0.25">
      <c r="A39" s="364" t="s">
        <v>416</v>
      </c>
      <c r="B39" s="360" t="s">
        <v>116</v>
      </c>
      <c r="C39" s="360" t="s">
        <v>159</v>
      </c>
      <c r="D39" s="360" t="s">
        <v>553</v>
      </c>
      <c r="E39" s="360"/>
      <c r="F39" s="21">
        <f>F40</f>
        <v>0</v>
      </c>
      <c r="G39" s="21">
        <f>G40</f>
        <v>0</v>
      </c>
    </row>
    <row r="40" spans="1:8" ht="85.7" hidden="1" customHeight="1" x14ac:dyDescent="0.25">
      <c r="A40" s="364" t="s">
        <v>119</v>
      </c>
      <c r="B40" s="360" t="s">
        <v>116</v>
      </c>
      <c r="C40" s="360" t="s">
        <v>159</v>
      </c>
      <c r="D40" s="360" t="s">
        <v>553</v>
      </c>
      <c r="E40" s="360" t="s">
        <v>120</v>
      </c>
      <c r="F40" s="21">
        <f>F41</f>
        <v>0</v>
      </c>
      <c r="G40" s="21">
        <f>G41</f>
        <v>0</v>
      </c>
    </row>
    <row r="41" spans="1:8" ht="38.25" hidden="1" customHeight="1" x14ac:dyDescent="0.25">
      <c r="A41" s="364" t="s">
        <v>121</v>
      </c>
      <c r="B41" s="360" t="s">
        <v>116</v>
      </c>
      <c r="C41" s="360" t="s">
        <v>159</v>
      </c>
      <c r="D41" s="360" t="s">
        <v>553</v>
      </c>
      <c r="E41" s="360" t="s">
        <v>122</v>
      </c>
      <c r="F41" s="21">
        <f>'Пр.4 ведом.22'!G1211</f>
        <v>0</v>
      </c>
      <c r="G41" s="21">
        <f>'Пр.4 ведом.22'!H1211</f>
        <v>0</v>
      </c>
    </row>
    <row r="42" spans="1:8" ht="70.5" customHeight="1" x14ac:dyDescent="0.25">
      <c r="A42" s="359" t="s">
        <v>138</v>
      </c>
      <c r="B42" s="7" t="s">
        <v>116</v>
      </c>
      <c r="C42" s="7" t="s">
        <v>139</v>
      </c>
      <c r="D42" s="7"/>
      <c r="E42" s="7"/>
      <c r="F42" s="310">
        <f>F43+F85</f>
        <v>63606.80000000001</v>
      </c>
      <c r="G42" s="310">
        <f>G43+G85</f>
        <v>69634.100000000006</v>
      </c>
      <c r="H42" s="74"/>
    </row>
    <row r="43" spans="1:8" ht="31.5" x14ac:dyDescent="0.25">
      <c r="A43" s="315" t="s">
        <v>488</v>
      </c>
      <c r="B43" s="7" t="s">
        <v>116</v>
      </c>
      <c r="C43" s="7" t="s">
        <v>139</v>
      </c>
      <c r="D43" s="7" t="s">
        <v>434</v>
      </c>
      <c r="E43" s="7"/>
      <c r="F43" s="310">
        <f>F44+F60</f>
        <v>63003.30000000001</v>
      </c>
      <c r="G43" s="310">
        <f>G44+G60</f>
        <v>69030.600000000006</v>
      </c>
    </row>
    <row r="44" spans="1:8" ht="15.75" x14ac:dyDescent="0.25">
      <c r="A44" s="315" t="s">
        <v>489</v>
      </c>
      <c r="B44" s="7" t="s">
        <v>116</v>
      </c>
      <c r="C44" s="7" t="s">
        <v>139</v>
      </c>
      <c r="D44" s="7" t="s">
        <v>435</v>
      </c>
      <c r="E44" s="7"/>
      <c r="F44" s="310">
        <f>F45+F54+F57</f>
        <v>59265.400000000009</v>
      </c>
      <c r="G44" s="310">
        <f>G45+G54+G57</f>
        <v>65144.400000000009</v>
      </c>
    </row>
    <row r="45" spans="1:8" ht="31.5" x14ac:dyDescent="0.25">
      <c r="A45" s="22" t="s">
        <v>468</v>
      </c>
      <c r="B45" s="360" t="s">
        <v>116</v>
      </c>
      <c r="C45" s="360" t="s">
        <v>139</v>
      </c>
      <c r="D45" s="360" t="s">
        <v>436</v>
      </c>
      <c r="E45" s="360"/>
      <c r="F45" s="311">
        <f>F46+F48+F52+F50</f>
        <v>54643.900000000009</v>
      </c>
      <c r="G45" s="311">
        <f>G46+G48+G52+G50</f>
        <v>60522.900000000009</v>
      </c>
    </row>
    <row r="46" spans="1:8" ht="78.75" x14ac:dyDescent="0.25">
      <c r="A46" s="22" t="s">
        <v>119</v>
      </c>
      <c r="B46" s="360" t="s">
        <v>116</v>
      </c>
      <c r="C46" s="360" t="s">
        <v>139</v>
      </c>
      <c r="D46" s="360" t="s">
        <v>436</v>
      </c>
      <c r="E46" s="360" t="s">
        <v>120</v>
      </c>
      <c r="F46" s="255">
        <f t="shared" ref="F46:G46" si="8">F47</f>
        <v>51367.600000000006</v>
      </c>
      <c r="G46" s="255">
        <f t="shared" si="8"/>
        <v>57246.600000000006</v>
      </c>
    </row>
    <row r="47" spans="1:8" ht="31.5" x14ac:dyDescent="0.25">
      <c r="A47" s="22" t="s">
        <v>121</v>
      </c>
      <c r="B47" s="360" t="s">
        <v>116</v>
      </c>
      <c r="C47" s="360" t="s">
        <v>139</v>
      </c>
      <c r="D47" s="360" t="s">
        <v>436</v>
      </c>
      <c r="E47" s="360" t="s">
        <v>122</v>
      </c>
      <c r="F47" s="255">
        <f>'Пр.4.1 ведом.23-24 '!G54+'Пр.4.1 ведом.23-24 '!G564</f>
        <v>51367.600000000006</v>
      </c>
      <c r="G47" s="255">
        <f>'Пр.4.1 ведом.23-24 '!H54+'Пр.4.1 ведом.23-24 '!H564</f>
        <v>57246.600000000006</v>
      </c>
    </row>
    <row r="48" spans="1:8" ht="31.5" x14ac:dyDescent="0.25">
      <c r="A48" s="22" t="s">
        <v>123</v>
      </c>
      <c r="B48" s="360" t="s">
        <v>116</v>
      </c>
      <c r="C48" s="360" t="s">
        <v>139</v>
      </c>
      <c r="D48" s="360" t="s">
        <v>436</v>
      </c>
      <c r="E48" s="360" t="s">
        <v>124</v>
      </c>
      <c r="F48" s="311">
        <f t="shared" ref="F48:G48" si="9">F49</f>
        <v>3070.3</v>
      </c>
      <c r="G48" s="311">
        <f t="shared" si="9"/>
        <v>3070.3</v>
      </c>
    </row>
    <row r="49" spans="1:7" ht="31.5" x14ac:dyDescent="0.25">
      <c r="A49" s="22" t="s">
        <v>125</v>
      </c>
      <c r="B49" s="360" t="s">
        <v>116</v>
      </c>
      <c r="C49" s="360" t="s">
        <v>139</v>
      </c>
      <c r="D49" s="360" t="s">
        <v>436</v>
      </c>
      <c r="E49" s="360" t="s">
        <v>126</v>
      </c>
      <c r="F49" s="311">
        <f>'Пр.4.1 ведом.23-24 '!G566+'Пр.4.1 ведом.23-24 '!G56</f>
        <v>3070.3</v>
      </c>
      <c r="G49" s="311">
        <f>'Пр.4.1 ведом.23-24 '!H566+'Пр.4.1 ведом.23-24 '!H56</f>
        <v>3070.3</v>
      </c>
    </row>
    <row r="50" spans="1:7" ht="21.2" hidden="1" customHeight="1" x14ac:dyDescent="0.25">
      <c r="A50" s="364" t="s">
        <v>177</v>
      </c>
      <c r="B50" s="360" t="s">
        <v>116</v>
      </c>
      <c r="C50" s="360" t="s">
        <v>139</v>
      </c>
      <c r="D50" s="360" t="s">
        <v>436</v>
      </c>
      <c r="E50" s="360" t="s">
        <v>178</v>
      </c>
      <c r="F50" s="311">
        <f>F51</f>
        <v>0</v>
      </c>
      <c r="G50" s="311">
        <f>G51</f>
        <v>0</v>
      </c>
    </row>
    <row r="51" spans="1:7" ht="31.5" hidden="1" x14ac:dyDescent="0.25">
      <c r="A51" s="364" t="s">
        <v>179</v>
      </c>
      <c r="B51" s="360" t="s">
        <v>116</v>
      </c>
      <c r="C51" s="360" t="s">
        <v>139</v>
      </c>
      <c r="D51" s="360" t="s">
        <v>436</v>
      </c>
      <c r="E51" s="360" t="s">
        <v>180</v>
      </c>
      <c r="F51" s="311">
        <f>'Пр.4 ведом.22'!G57</f>
        <v>0</v>
      </c>
      <c r="G51" s="311">
        <f>'Пр.4 ведом.22'!H57</f>
        <v>0</v>
      </c>
    </row>
    <row r="52" spans="1:7" ht="15.75" x14ac:dyDescent="0.25">
      <c r="A52" s="22" t="s">
        <v>127</v>
      </c>
      <c r="B52" s="360" t="s">
        <v>116</v>
      </c>
      <c r="C52" s="360" t="s">
        <v>139</v>
      </c>
      <c r="D52" s="360" t="s">
        <v>436</v>
      </c>
      <c r="E52" s="360" t="s">
        <v>134</v>
      </c>
      <c r="F52" s="311">
        <f t="shared" ref="F52:G52" si="10">F53</f>
        <v>206</v>
      </c>
      <c r="G52" s="311">
        <f t="shared" si="10"/>
        <v>206</v>
      </c>
    </row>
    <row r="53" spans="1:7" ht="15.75" x14ac:dyDescent="0.25">
      <c r="A53" s="22" t="s">
        <v>280</v>
      </c>
      <c r="B53" s="360" t="s">
        <v>116</v>
      </c>
      <c r="C53" s="360" t="s">
        <v>139</v>
      </c>
      <c r="D53" s="360" t="s">
        <v>436</v>
      </c>
      <c r="E53" s="360" t="s">
        <v>130</v>
      </c>
      <c r="F53" s="311">
        <f>'Пр.4.1 ведом.23-24 '!G60+'Пр.4.1 ведом.23-24 '!G568</f>
        <v>206</v>
      </c>
      <c r="G53" s="311">
        <f>'Пр.4.1 ведом.23-24 '!H60+'Пр.4.1 ведом.23-24 '!H568</f>
        <v>206</v>
      </c>
    </row>
    <row r="54" spans="1:7" ht="31.5" x14ac:dyDescent="0.25">
      <c r="A54" s="364" t="s">
        <v>140</v>
      </c>
      <c r="B54" s="365" t="s">
        <v>116</v>
      </c>
      <c r="C54" s="365" t="s">
        <v>139</v>
      </c>
      <c r="D54" s="360" t="s">
        <v>437</v>
      </c>
      <c r="E54" s="365"/>
      <c r="F54" s="255">
        <f>F55</f>
        <v>2614.9</v>
      </c>
      <c r="G54" s="255">
        <f>G55</f>
        <v>2614.9</v>
      </c>
    </row>
    <row r="55" spans="1:7" ht="78.75" x14ac:dyDescent="0.25">
      <c r="A55" s="364" t="s">
        <v>119</v>
      </c>
      <c r="B55" s="365" t="s">
        <v>116</v>
      </c>
      <c r="C55" s="365" t="s">
        <v>139</v>
      </c>
      <c r="D55" s="360" t="s">
        <v>437</v>
      </c>
      <c r="E55" s="365" t="s">
        <v>120</v>
      </c>
      <c r="F55" s="255">
        <f>F56</f>
        <v>2614.9</v>
      </c>
      <c r="G55" s="255">
        <f>G56</f>
        <v>2614.9</v>
      </c>
    </row>
    <row r="56" spans="1:7" ht="31.5" x14ac:dyDescent="0.25">
      <c r="A56" s="364" t="s">
        <v>121</v>
      </c>
      <c r="B56" s="365" t="s">
        <v>116</v>
      </c>
      <c r="C56" s="365" t="s">
        <v>139</v>
      </c>
      <c r="D56" s="360" t="s">
        <v>437</v>
      </c>
      <c r="E56" s="365" t="s">
        <v>122</v>
      </c>
      <c r="F56" s="255">
        <f>'Пр.4.1 ведом.23-24 '!G63</f>
        <v>2614.9</v>
      </c>
      <c r="G56" s="255">
        <f>'Пр.4.1 ведом.23-24 '!H63</f>
        <v>2614.9</v>
      </c>
    </row>
    <row r="57" spans="1:7" ht="47.25" x14ac:dyDescent="0.25">
      <c r="A57" s="364" t="s">
        <v>416</v>
      </c>
      <c r="B57" s="360" t="s">
        <v>116</v>
      </c>
      <c r="C57" s="365" t="s">
        <v>139</v>
      </c>
      <c r="D57" s="360" t="s">
        <v>438</v>
      </c>
      <c r="E57" s="360"/>
      <c r="F57" s="21">
        <f>F58</f>
        <v>2006.6</v>
      </c>
      <c r="G57" s="21">
        <f>G58</f>
        <v>2006.6</v>
      </c>
    </row>
    <row r="58" spans="1:7" ht="78.75" x14ac:dyDescent="0.25">
      <c r="A58" s="364" t="s">
        <v>119</v>
      </c>
      <c r="B58" s="360" t="s">
        <v>116</v>
      </c>
      <c r="C58" s="365" t="s">
        <v>139</v>
      </c>
      <c r="D58" s="360" t="s">
        <v>438</v>
      </c>
      <c r="E58" s="360" t="s">
        <v>120</v>
      </c>
      <c r="F58" s="21">
        <f>F59</f>
        <v>2006.6</v>
      </c>
      <c r="G58" s="21">
        <f>G59</f>
        <v>2006.6</v>
      </c>
    </row>
    <row r="59" spans="1:7" ht="31.5" x14ac:dyDescent="0.25">
      <c r="A59" s="364" t="s">
        <v>121</v>
      </c>
      <c r="B59" s="360" t="s">
        <v>116</v>
      </c>
      <c r="C59" s="365" t="s">
        <v>139</v>
      </c>
      <c r="D59" s="360" t="s">
        <v>438</v>
      </c>
      <c r="E59" s="360" t="s">
        <v>122</v>
      </c>
      <c r="F59" s="21">
        <f>'Пр.4.1 ведом.23-24 '!G66+'Пр.4.1 ведом.23-24 '!G571</f>
        <v>2006.6</v>
      </c>
      <c r="G59" s="21">
        <f>'Пр.4.1 ведом.23-24 '!H66+'Пр.4.1 ведом.23-24 '!H571</f>
        <v>2006.6</v>
      </c>
    </row>
    <row r="60" spans="1:7" ht="31.5" x14ac:dyDescent="0.25">
      <c r="A60" s="315" t="s">
        <v>460</v>
      </c>
      <c r="B60" s="7" t="s">
        <v>116</v>
      </c>
      <c r="C60" s="316" t="s">
        <v>139</v>
      </c>
      <c r="D60" s="7" t="s">
        <v>439</v>
      </c>
      <c r="E60" s="7"/>
      <c r="F60" s="310">
        <f>F67+F72+F77+F80</f>
        <v>3737.9000000000005</v>
      </c>
      <c r="G60" s="310">
        <f>G67+G72+G77+G80</f>
        <v>3886.2</v>
      </c>
    </row>
    <row r="61" spans="1:7" ht="47.25" hidden="1" x14ac:dyDescent="0.25">
      <c r="A61" s="364" t="s">
        <v>149</v>
      </c>
      <c r="B61" s="360" t="s">
        <v>116</v>
      </c>
      <c r="C61" s="365" t="s">
        <v>139</v>
      </c>
      <c r="D61" s="360" t="s">
        <v>628</v>
      </c>
      <c r="E61" s="7"/>
      <c r="F61" s="10">
        <f>F62</f>
        <v>0</v>
      </c>
      <c r="G61" s="10">
        <f>G62</f>
        <v>0</v>
      </c>
    </row>
    <row r="62" spans="1:7" ht="31.5" hidden="1" x14ac:dyDescent="0.25">
      <c r="A62" s="364" t="s">
        <v>123</v>
      </c>
      <c r="B62" s="360" t="s">
        <v>116</v>
      </c>
      <c r="C62" s="365" t="s">
        <v>139</v>
      </c>
      <c r="D62" s="360" t="s">
        <v>628</v>
      </c>
      <c r="E62" s="360" t="s">
        <v>124</v>
      </c>
      <c r="F62" s="10">
        <f t="shared" ref="F62:G62" si="11">F63</f>
        <v>0</v>
      </c>
      <c r="G62" s="10">
        <f t="shared" si="11"/>
        <v>0</v>
      </c>
    </row>
    <row r="63" spans="1:7" ht="31.5" hidden="1" x14ac:dyDescent="0.25">
      <c r="A63" s="364" t="s">
        <v>125</v>
      </c>
      <c r="B63" s="360" t="s">
        <v>116</v>
      </c>
      <c r="C63" s="365" t="s">
        <v>139</v>
      </c>
      <c r="D63" s="360" t="s">
        <v>628</v>
      </c>
      <c r="E63" s="360" t="s">
        <v>126</v>
      </c>
      <c r="F63" s="10">
        <f>'Пр.4 ведом.22'!G69</f>
        <v>0</v>
      </c>
      <c r="G63" s="10">
        <f>'Пр.4 ведом.22'!H69</f>
        <v>0</v>
      </c>
    </row>
    <row r="64" spans="1:7" ht="47.25" hidden="1" x14ac:dyDescent="0.25">
      <c r="A64" s="24" t="s">
        <v>724</v>
      </c>
      <c r="B64" s="365" t="s">
        <v>116</v>
      </c>
      <c r="C64" s="365" t="s">
        <v>139</v>
      </c>
      <c r="D64" s="365" t="s">
        <v>723</v>
      </c>
      <c r="E64" s="365"/>
      <c r="F64" s="318">
        <f>F65</f>
        <v>0</v>
      </c>
      <c r="G64" s="318">
        <f>G65</f>
        <v>0</v>
      </c>
    </row>
    <row r="65" spans="1:7" ht="31.5" hidden="1" x14ac:dyDescent="0.25">
      <c r="A65" s="22" t="s">
        <v>123</v>
      </c>
      <c r="B65" s="365" t="s">
        <v>116</v>
      </c>
      <c r="C65" s="365" t="s">
        <v>139</v>
      </c>
      <c r="D65" s="365" t="s">
        <v>723</v>
      </c>
      <c r="E65" s="365" t="s">
        <v>124</v>
      </c>
      <c r="F65" s="318">
        <f>F66</f>
        <v>0</v>
      </c>
      <c r="G65" s="318">
        <f>G66</f>
        <v>0</v>
      </c>
    </row>
    <row r="66" spans="1:7" ht="31.5" hidden="1" x14ac:dyDescent="0.25">
      <c r="A66" s="22" t="s">
        <v>125</v>
      </c>
      <c r="B66" s="365" t="s">
        <v>116</v>
      </c>
      <c r="C66" s="365" t="s">
        <v>139</v>
      </c>
      <c r="D66" s="365" t="s">
        <v>723</v>
      </c>
      <c r="E66" s="365" t="s">
        <v>126</v>
      </c>
      <c r="F66" s="318"/>
      <c r="G66" s="318"/>
    </row>
    <row r="67" spans="1:7" ht="47.25" x14ac:dyDescent="0.25">
      <c r="A67" s="31" t="s">
        <v>150</v>
      </c>
      <c r="B67" s="360" t="s">
        <v>116</v>
      </c>
      <c r="C67" s="365" t="s">
        <v>139</v>
      </c>
      <c r="D67" s="360" t="s">
        <v>491</v>
      </c>
      <c r="E67" s="360"/>
      <c r="F67" s="311">
        <f>F68+F70</f>
        <v>601.20000000000005</v>
      </c>
      <c r="G67" s="311">
        <f>G68+G70</f>
        <v>624.20000000000005</v>
      </c>
    </row>
    <row r="68" spans="1:7" ht="78.75" x14ac:dyDescent="0.25">
      <c r="A68" s="22" t="s">
        <v>119</v>
      </c>
      <c r="B68" s="360" t="s">
        <v>116</v>
      </c>
      <c r="C68" s="365" t="s">
        <v>139</v>
      </c>
      <c r="D68" s="360" t="s">
        <v>491</v>
      </c>
      <c r="E68" s="360" t="s">
        <v>120</v>
      </c>
      <c r="F68" s="311">
        <f t="shared" ref="F68:G68" si="12">F69</f>
        <v>601.20000000000005</v>
      </c>
      <c r="G68" s="311">
        <f t="shared" si="12"/>
        <v>624.20000000000005</v>
      </c>
    </row>
    <row r="69" spans="1:7" ht="31.5" x14ac:dyDescent="0.25">
      <c r="A69" s="22" t="s">
        <v>121</v>
      </c>
      <c r="B69" s="360" t="s">
        <v>116</v>
      </c>
      <c r="C69" s="365" t="s">
        <v>139</v>
      </c>
      <c r="D69" s="360" t="s">
        <v>491</v>
      </c>
      <c r="E69" s="360" t="s">
        <v>122</v>
      </c>
      <c r="F69" s="311">
        <f>'Пр.4.1 ведом.23-24 '!G73</f>
        <v>601.20000000000005</v>
      </c>
      <c r="G69" s="311">
        <f>'Пр.4.1 ведом.23-24 '!H73</f>
        <v>624.20000000000005</v>
      </c>
    </row>
    <row r="70" spans="1:7" ht="31.5" hidden="1" x14ac:dyDescent="0.25">
      <c r="A70" s="364" t="s">
        <v>123</v>
      </c>
      <c r="B70" s="360" t="s">
        <v>116</v>
      </c>
      <c r="C70" s="365" t="s">
        <v>139</v>
      </c>
      <c r="D70" s="360" t="s">
        <v>491</v>
      </c>
      <c r="E70" s="360" t="s">
        <v>124</v>
      </c>
      <c r="F70" s="311">
        <f>F71</f>
        <v>0</v>
      </c>
      <c r="G70" s="311">
        <f>G71</f>
        <v>0</v>
      </c>
    </row>
    <row r="71" spans="1:7" ht="31.5" hidden="1" x14ac:dyDescent="0.25">
      <c r="A71" s="364" t="s">
        <v>125</v>
      </c>
      <c r="B71" s="360" t="s">
        <v>116</v>
      </c>
      <c r="C71" s="365" t="s">
        <v>139</v>
      </c>
      <c r="D71" s="360" t="s">
        <v>491</v>
      </c>
      <c r="E71" s="360" t="s">
        <v>126</v>
      </c>
      <c r="F71" s="311">
        <f>'Пр.4 ведом.22'!G74</f>
        <v>0</v>
      </c>
      <c r="G71" s="311">
        <f>'Пр.4 ведом.22'!H74</f>
        <v>0</v>
      </c>
    </row>
    <row r="72" spans="1:7" ht="47.25" x14ac:dyDescent="0.25">
      <c r="A72" s="31" t="s">
        <v>152</v>
      </c>
      <c r="B72" s="360" t="s">
        <v>116</v>
      </c>
      <c r="C72" s="365" t="s">
        <v>139</v>
      </c>
      <c r="D72" s="360" t="s">
        <v>492</v>
      </c>
      <c r="E72" s="360"/>
      <c r="F72" s="311">
        <f t="shared" ref="F72:G72" si="13">F73+F75</f>
        <v>1477.7</v>
      </c>
      <c r="G72" s="311">
        <f t="shared" si="13"/>
        <v>1536.8000000000002</v>
      </c>
    </row>
    <row r="73" spans="1:7" ht="81.75" customHeight="1" x14ac:dyDescent="0.25">
      <c r="A73" s="22" t="s">
        <v>119</v>
      </c>
      <c r="B73" s="360" t="s">
        <v>116</v>
      </c>
      <c r="C73" s="365" t="s">
        <v>139</v>
      </c>
      <c r="D73" s="360" t="s">
        <v>492</v>
      </c>
      <c r="E73" s="360" t="s">
        <v>120</v>
      </c>
      <c r="F73" s="311">
        <f t="shared" ref="F73:G73" si="14">F74</f>
        <v>1383.3</v>
      </c>
      <c r="G73" s="311">
        <f t="shared" si="14"/>
        <v>1442.1000000000001</v>
      </c>
    </row>
    <row r="74" spans="1:7" ht="36" customHeight="1" x14ac:dyDescent="0.25">
      <c r="A74" s="22" t="s">
        <v>121</v>
      </c>
      <c r="B74" s="360" t="s">
        <v>116</v>
      </c>
      <c r="C74" s="365" t="s">
        <v>139</v>
      </c>
      <c r="D74" s="360" t="s">
        <v>492</v>
      </c>
      <c r="E74" s="360" t="s">
        <v>122</v>
      </c>
      <c r="F74" s="311">
        <f>'Пр.4.1 ведом.23-24 '!G78</f>
        <v>1383.3</v>
      </c>
      <c r="G74" s="311">
        <f>'Пр.4.1 ведом.23-24 '!H78</f>
        <v>1442.1000000000001</v>
      </c>
    </row>
    <row r="75" spans="1:7" ht="31.5" x14ac:dyDescent="0.25">
      <c r="A75" s="22" t="s">
        <v>123</v>
      </c>
      <c r="B75" s="360" t="s">
        <v>116</v>
      </c>
      <c r="C75" s="365" t="s">
        <v>139</v>
      </c>
      <c r="D75" s="360" t="s">
        <v>492</v>
      </c>
      <c r="E75" s="360" t="s">
        <v>124</v>
      </c>
      <c r="F75" s="311">
        <f t="shared" ref="F75:G75" si="15">F76</f>
        <v>94.4</v>
      </c>
      <c r="G75" s="311">
        <f t="shared" si="15"/>
        <v>94.7</v>
      </c>
    </row>
    <row r="76" spans="1:7" ht="31.5" x14ac:dyDescent="0.25">
      <c r="A76" s="22" t="s">
        <v>125</v>
      </c>
      <c r="B76" s="360" t="s">
        <v>116</v>
      </c>
      <c r="C76" s="365" t="s">
        <v>139</v>
      </c>
      <c r="D76" s="360" t="s">
        <v>492</v>
      </c>
      <c r="E76" s="360" t="s">
        <v>126</v>
      </c>
      <c r="F76" s="311">
        <f>'Пр.4.1 ведом.23-24 '!G80</f>
        <v>94.4</v>
      </c>
      <c r="G76" s="311">
        <f>'Пр.4.1 ведом.23-24 '!H80</f>
        <v>94.7</v>
      </c>
    </row>
    <row r="77" spans="1:7" ht="94.5" x14ac:dyDescent="0.25">
      <c r="A77" s="24" t="s">
        <v>719</v>
      </c>
      <c r="B77" s="365" t="s">
        <v>116</v>
      </c>
      <c r="C77" s="365" t="s">
        <v>139</v>
      </c>
      <c r="D77" s="365" t="s">
        <v>718</v>
      </c>
      <c r="E77" s="365"/>
      <c r="F77" s="318">
        <f>F78</f>
        <v>17.3</v>
      </c>
      <c r="G77" s="318">
        <f>G78</f>
        <v>17.899999999999999</v>
      </c>
    </row>
    <row r="78" spans="1:7" ht="78.75" x14ac:dyDescent="0.25">
      <c r="A78" s="364" t="s">
        <v>119</v>
      </c>
      <c r="B78" s="365" t="s">
        <v>116</v>
      </c>
      <c r="C78" s="365" t="s">
        <v>139</v>
      </c>
      <c r="D78" s="365" t="s">
        <v>718</v>
      </c>
      <c r="E78" s="365" t="s">
        <v>120</v>
      </c>
      <c r="F78" s="318">
        <f>F79</f>
        <v>17.3</v>
      </c>
      <c r="G78" s="318">
        <f>G79</f>
        <v>17.899999999999999</v>
      </c>
    </row>
    <row r="79" spans="1:7" ht="31.5" x14ac:dyDescent="0.25">
      <c r="A79" s="364" t="s">
        <v>121</v>
      </c>
      <c r="B79" s="365" t="s">
        <v>116</v>
      </c>
      <c r="C79" s="365" t="s">
        <v>139</v>
      </c>
      <c r="D79" s="365" t="s">
        <v>718</v>
      </c>
      <c r="E79" s="365" t="s">
        <v>122</v>
      </c>
      <c r="F79" s="318">
        <f>'Пр.4.1 ведом.23-24 '!G575</f>
        <v>17.3</v>
      </c>
      <c r="G79" s="318">
        <f>'Пр.4.1 ведом.23-24 '!H575</f>
        <v>17.899999999999999</v>
      </c>
    </row>
    <row r="80" spans="1:7" ht="47.25" x14ac:dyDescent="0.25">
      <c r="A80" s="364" t="s">
        <v>1147</v>
      </c>
      <c r="B80" s="360" t="s">
        <v>116</v>
      </c>
      <c r="C80" s="365" t="s">
        <v>139</v>
      </c>
      <c r="D80" s="360" t="s">
        <v>1152</v>
      </c>
      <c r="E80" s="360"/>
      <c r="F80" s="311">
        <f>F81+F83</f>
        <v>1641.7</v>
      </c>
      <c r="G80" s="311">
        <f>G81+G83</f>
        <v>1707.3</v>
      </c>
    </row>
    <row r="81" spans="1:7" ht="78.75" x14ac:dyDescent="0.25">
      <c r="A81" s="22" t="s">
        <v>119</v>
      </c>
      <c r="B81" s="360" t="s">
        <v>116</v>
      </c>
      <c r="C81" s="365" t="s">
        <v>139</v>
      </c>
      <c r="D81" s="360" t="s">
        <v>1152</v>
      </c>
      <c r="E81" s="360" t="s">
        <v>120</v>
      </c>
      <c r="F81" s="311">
        <f t="shared" ref="F81:G81" si="16">F82</f>
        <v>1601.4</v>
      </c>
      <c r="G81" s="311">
        <f t="shared" si="16"/>
        <v>1619.1</v>
      </c>
    </row>
    <row r="82" spans="1:7" ht="31.5" x14ac:dyDescent="0.25">
      <c r="A82" s="22" t="s">
        <v>121</v>
      </c>
      <c r="B82" s="360" t="s">
        <v>116</v>
      </c>
      <c r="C82" s="365" t="s">
        <v>139</v>
      </c>
      <c r="D82" s="360" t="s">
        <v>1152</v>
      </c>
      <c r="E82" s="360" t="s">
        <v>122</v>
      </c>
      <c r="F82" s="311">
        <f>'Пр.4.1 ведом.23-24 '!G83</f>
        <v>1601.4</v>
      </c>
      <c r="G82" s="311">
        <f>'Пр.4.1 ведом.23-24 '!H83</f>
        <v>1619.1</v>
      </c>
    </row>
    <row r="83" spans="1:7" ht="31.5" x14ac:dyDescent="0.25">
      <c r="A83" s="364" t="s">
        <v>123</v>
      </c>
      <c r="B83" s="360" t="s">
        <v>116</v>
      </c>
      <c r="C83" s="365" t="s">
        <v>139</v>
      </c>
      <c r="D83" s="360" t="s">
        <v>1152</v>
      </c>
      <c r="E83" s="360" t="s">
        <v>124</v>
      </c>
      <c r="F83" s="311">
        <f>F84</f>
        <v>40.299999999999997</v>
      </c>
      <c r="G83" s="311">
        <f>G84</f>
        <v>88.2</v>
      </c>
    </row>
    <row r="84" spans="1:7" ht="31.5" x14ac:dyDescent="0.25">
      <c r="A84" s="364" t="s">
        <v>125</v>
      </c>
      <c r="B84" s="360" t="s">
        <v>116</v>
      </c>
      <c r="C84" s="365" t="s">
        <v>139</v>
      </c>
      <c r="D84" s="360" t="s">
        <v>1152</v>
      </c>
      <c r="E84" s="360" t="s">
        <v>126</v>
      </c>
      <c r="F84" s="311">
        <f>'Пр.4.1 ведом.23-24 '!G85</f>
        <v>40.299999999999997</v>
      </c>
      <c r="G84" s="311">
        <f>'Пр.4.1 ведом.23-24 '!H85</f>
        <v>88.2</v>
      </c>
    </row>
    <row r="85" spans="1:7" ht="47.25" x14ac:dyDescent="0.25">
      <c r="A85" s="315" t="s">
        <v>841</v>
      </c>
      <c r="B85" s="316" t="s">
        <v>116</v>
      </c>
      <c r="C85" s="316" t="s">
        <v>139</v>
      </c>
      <c r="D85" s="316" t="s">
        <v>143</v>
      </c>
      <c r="E85" s="316"/>
      <c r="F85" s="310">
        <f>F86+F90+F99</f>
        <v>603.5</v>
      </c>
      <c r="G85" s="310">
        <f>G86+G90+G99</f>
        <v>603.5</v>
      </c>
    </row>
    <row r="86" spans="1:7" ht="63" x14ac:dyDescent="0.25">
      <c r="A86" s="202" t="s">
        <v>842</v>
      </c>
      <c r="B86" s="316" t="s">
        <v>116</v>
      </c>
      <c r="C86" s="316" t="s">
        <v>139</v>
      </c>
      <c r="D86" s="7" t="s">
        <v>425</v>
      </c>
      <c r="E86" s="316"/>
      <c r="F86" s="310">
        <f t="shared" ref="F86:G88" si="17">F87</f>
        <v>526</v>
      </c>
      <c r="G86" s="310">
        <f t="shared" si="17"/>
        <v>526</v>
      </c>
    </row>
    <row r="87" spans="1:7" ht="47.25" x14ac:dyDescent="0.25">
      <c r="A87" s="22" t="s">
        <v>820</v>
      </c>
      <c r="B87" s="365" t="s">
        <v>116</v>
      </c>
      <c r="C87" s="365" t="s">
        <v>139</v>
      </c>
      <c r="D87" s="360" t="s">
        <v>418</v>
      </c>
      <c r="E87" s="365"/>
      <c r="F87" s="311">
        <f t="shared" si="17"/>
        <v>526</v>
      </c>
      <c r="G87" s="311">
        <f t="shared" si="17"/>
        <v>526</v>
      </c>
    </row>
    <row r="88" spans="1:7" ht="31.5" x14ac:dyDescent="0.25">
      <c r="A88" s="364" t="s">
        <v>123</v>
      </c>
      <c r="B88" s="365" t="s">
        <v>116</v>
      </c>
      <c r="C88" s="365" t="s">
        <v>139</v>
      </c>
      <c r="D88" s="360" t="s">
        <v>418</v>
      </c>
      <c r="E88" s="365" t="s">
        <v>124</v>
      </c>
      <c r="F88" s="311">
        <f t="shared" si="17"/>
        <v>526</v>
      </c>
      <c r="G88" s="311">
        <f t="shared" si="17"/>
        <v>526</v>
      </c>
    </row>
    <row r="89" spans="1:7" ht="31.5" x14ac:dyDescent="0.25">
      <c r="A89" s="364" t="s">
        <v>125</v>
      </c>
      <c r="B89" s="365" t="s">
        <v>116</v>
      </c>
      <c r="C89" s="365" t="s">
        <v>139</v>
      </c>
      <c r="D89" s="360" t="s">
        <v>418</v>
      </c>
      <c r="E89" s="365" t="s">
        <v>126</v>
      </c>
      <c r="F89" s="311">
        <f>'Пр.4.1 ведом.23-24 '!G90</f>
        <v>526</v>
      </c>
      <c r="G89" s="311">
        <f>'Пр.4.1 ведом.23-24 '!H90</f>
        <v>526</v>
      </c>
    </row>
    <row r="90" spans="1:7" ht="63" x14ac:dyDescent="0.25">
      <c r="A90" s="146" t="s">
        <v>420</v>
      </c>
      <c r="B90" s="316" t="s">
        <v>116</v>
      </c>
      <c r="C90" s="316" t="s">
        <v>139</v>
      </c>
      <c r="D90" s="7" t="s">
        <v>426</v>
      </c>
      <c r="E90" s="316"/>
      <c r="F90" s="310">
        <f>F91+F96</f>
        <v>77</v>
      </c>
      <c r="G90" s="310">
        <f>G91+G96</f>
        <v>77</v>
      </c>
    </row>
    <row r="91" spans="1:7" ht="47.25" x14ac:dyDescent="0.25">
      <c r="A91" s="103" t="s">
        <v>144</v>
      </c>
      <c r="B91" s="365" t="s">
        <v>116</v>
      </c>
      <c r="C91" s="365" t="s">
        <v>139</v>
      </c>
      <c r="D91" s="360" t="s">
        <v>419</v>
      </c>
      <c r="E91" s="365"/>
      <c r="F91" s="311">
        <f>F92+F94</f>
        <v>77</v>
      </c>
      <c r="G91" s="311">
        <f>G92+G94</f>
        <v>77</v>
      </c>
    </row>
    <row r="92" spans="1:7" ht="78.75" x14ac:dyDescent="0.25">
      <c r="A92" s="364" t="s">
        <v>119</v>
      </c>
      <c r="B92" s="365" t="s">
        <v>116</v>
      </c>
      <c r="C92" s="365" t="s">
        <v>139</v>
      </c>
      <c r="D92" s="360" t="s">
        <v>419</v>
      </c>
      <c r="E92" s="365" t="s">
        <v>120</v>
      </c>
      <c r="F92" s="311">
        <f>F93</f>
        <v>37.200000000000003</v>
      </c>
      <c r="G92" s="311">
        <f>G93</f>
        <v>37.200000000000003</v>
      </c>
    </row>
    <row r="93" spans="1:7" ht="31.5" x14ac:dyDescent="0.25">
      <c r="A93" s="364" t="s">
        <v>121</v>
      </c>
      <c r="B93" s="365" t="s">
        <v>116</v>
      </c>
      <c r="C93" s="365" t="s">
        <v>139</v>
      </c>
      <c r="D93" s="360" t="s">
        <v>419</v>
      </c>
      <c r="E93" s="365" t="s">
        <v>122</v>
      </c>
      <c r="F93" s="311">
        <f>'Пр.4.1 ведом.23-24 '!G94</f>
        <v>37.200000000000003</v>
      </c>
      <c r="G93" s="311">
        <f>'Пр.4.1 ведом.23-24 '!H94</f>
        <v>37.200000000000003</v>
      </c>
    </row>
    <row r="94" spans="1:7" ht="31.5" x14ac:dyDescent="0.25">
      <c r="A94" s="364" t="s">
        <v>123</v>
      </c>
      <c r="B94" s="365" t="s">
        <v>116</v>
      </c>
      <c r="C94" s="365" t="s">
        <v>139</v>
      </c>
      <c r="D94" s="360" t="s">
        <v>419</v>
      </c>
      <c r="E94" s="365" t="s">
        <v>124</v>
      </c>
      <c r="F94" s="311">
        <f>F95</f>
        <v>39.799999999999997</v>
      </c>
      <c r="G94" s="311">
        <f>G95</f>
        <v>39.799999999999997</v>
      </c>
    </row>
    <row r="95" spans="1:7" ht="31.5" x14ac:dyDescent="0.25">
      <c r="A95" s="364" t="s">
        <v>125</v>
      </c>
      <c r="B95" s="365" t="s">
        <v>116</v>
      </c>
      <c r="C95" s="365" t="s">
        <v>139</v>
      </c>
      <c r="D95" s="360" t="s">
        <v>419</v>
      </c>
      <c r="E95" s="365" t="s">
        <v>126</v>
      </c>
      <c r="F95" s="311">
        <f>'Пр.4.1 ведом.23-24 '!G96</f>
        <v>39.799999999999997</v>
      </c>
      <c r="G95" s="311">
        <f>'Пр.4.1 ведом.23-24 '!H96</f>
        <v>39.799999999999997</v>
      </c>
    </row>
    <row r="96" spans="1:7" ht="47.25" hidden="1" x14ac:dyDescent="0.25">
      <c r="A96" s="24" t="s">
        <v>648</v>
      </c>
      <c r="B96" s="365" t="s">
        <v>116</v>
      </c>
      <c r="C96" s="365" t="s">
        <v>139</v>
      </c>
      <c r="D96" s="360" t="s">
        <v>556</v>
      </c>
      <c r="E96" s="365"/>
      <c r="F96" s="318">
        <f>F97</f>
        <v>0</v>
      </c>
      <c r="G96" s="318">
        <f>G97</f>
        <v>0</v>
      </c>
    </row>
    <row r="97" spans="1:7" ht="31.5" hidden="1" x14ac:dyDescent="0.25">
      <c r="A97" s="364" t="s">
        <v>123</v>
      </c>
      <c r="B97" s="365" t="s">
        <v>116</v>
      </c>
      <c r="C97" s="365" t="s">
        <v>139</v>
      </c>
      <c r="D97" s="360" t="s">
        <v>556</v>
      </c>
      <c r="E97" s="365" t="s">
        <v>124</v>
      </c>
      <c r="F97" s="318">
        <f>F98</f>
        <v>0</v>
      </c>
      <c r="G97" s="318">
        <f>G98</f>
        <v>0</v>
      </c>
    </row>
    <row r="98" spans="1:7" ht="31.5" hidden="1" x14ac:dyDescent="0.25">
      <c r="A98" s="364" t="s">
        <v>125</v>
      </c>
      <c r="B98" s="365" t="s">
        <v>116</v>
      </c>
      <c r="C98" s="365" t="s">
        <v>139</v>
      </c>
      <c r="D98" s="360" t="s">
        <v>556</v>
      </c>
      <c r="E98" s="365" t="s">
        <v>126</v>
      </c>
      <c r="F98" s="318"/>
      <c r="G98" s="318"/>
    </row>
    <row r="99" spans="1:7" ht="63" x14ac:dyDescent="0.25">
      <c r="A99" s="147" t="s">
        <v>566</v>
      </c>
      <c r="B99" s="316" t="s">
        <v>116</v>
      </c>
      <c r="C99" s="316" t="s">
        <v>139</v>
      </c>
      <c r="D99" s="7" t="s">
        <v>427</v>
      </c>
      <c r="E99" s="316"/>
      <c r="F99" s="310">
        <f t="shared" ref="F99:G101" si="18">F100</f>
        <v>0.5</v>
      </c>
      <c r="G99" s="310">
        <f t="shared" si="18"/>
        <v>0.5</v>
      </c>
    </row>
    <row r="100" spans="1:7" ht="47.25" x14ac:dyDescent="0.25">
      <c r="A100" s="25" t="s">
        <v>151</v>
      </c>
      <c r="B100" s="365" t="s">
        <v>116</v>
      </c>
      <c r="C100" s="365" t="s">
        <v>139</v>
      </c>
      <c r="D100" s="360" t="s">
        <v>421</v>
      </c>
      <c r="E100" s="365"/>
      <c r="F100" s="311">
        <f t="shared" si="18"/>
        <v>0.5</v>
      </c>
      <c r="G100" s="311">
        <f t="shared" si="18"/>
        <v>0.5</v>
      </c>
    </row>
    <row r="101" spans="1:7" ht="31.5" x14ac:dyDescent="0.25">
      <c r="A101" s="364" t="s">
        <v>123</v>
      </c>
      <c r="B101" s="365" t="s">
        <v>116</v>
      </c>
      <c r="C101" s="365" t="s">
        <v>139</v>
      </c>
      <c r="D101" s="360" t="s">
        <v>421</v>
      </c>
      <c r="E101" s="365" t="s">
        <v>124</v>
      </c>
      <c r="F101" s="311">
        <f t="shared" si="18"/>
        <v>0.5</v>
      </c>
      <c r="G101" s="311">
        <f t="shared" si="18"/>
        <v>0.5</v>
      </c>
    </row>
    <row r="102" spans="1:7" ht="31.5" x14ac:dyDescent="0.25">
      <c r="A102" s="364" t="s">
        <v>125</v>
      </c>
      <c r="B102" s="365" t="s">
        <v>116</v>
      </c>
      <c r="C102" s="365" t="s">
        <v>139</v>
      </c>
      <c r="D102" s="360" t="s">
        <v>421</v>
      </c>
      <c r="E102" s="365" t="s">
        <v>126</v>
      </c>
      <c r="F102" s="311">
        <f>'Пр.4.1 ведом.23-24 '!G103</f>
        <v>0.5</v>
      </c>
      <c r="G102" s="311">
        <f>'Пр.4.1 ведом.23-24 '!H103</f>
        <v>0.5</v>
      </c>
    </row>
    <row r="103" spans="1:7" ht="47.25" x14ac:dyDescent="0.25">
      <c r="A103" s="359" t="s">
        <v>117</v>
      </c>
      <c r="B103" s="7" t="s">
        <v>116</v>
      </c>
      <c r="C103" s="7" t="s">
        <v>118</v>
      </c>
      <c r="D103" s="7"/>
      <c r="E103" s="7"/>
      <c r="F103" s="310">
        <f t="shared" ref="F103:G103" si="19">F104</f>
        <v>18932.8</v>
      </c>
      <c r="G103" s="310">
        <f t="shared" si="19"/>
        <v>18846.8</v>
      </c>
    </row>
    <row r="104" spans="1:7" ht="34.9" customHeight="1" x14ac:dyDescent="0.25">
      <c r="A104" s="315" t="s">
        <v>488</v>
      </c>
      <c r="B104" s="7" t="s">
        <v>116</v>
      </c>
      <c r="C104" s="7" t="s">
        <v>118</v>
      </c>
      <c r="D104" s="7" t="s">
        <v>434</v>
      </c>
      <c r="E104" s="7"/>
      <c r="F104" s="310">
        <f>F105+F116</f>
        <v>18932.8</v>
      </c>
      <c r="G104" s="310">
        <f>G105+G116</f>
        <v>18846.8</v>
      </c>
    </row>
    <row r="105" spans="1:7" ht="15.75" x14ac:dyDescent="0.25">
      <c r="A105" s="315" t="s">
        <v>489</v>
      </c>
      <c r="B105" s="7" t="s">
        <v>116</v>
      </c>
      <c r="C105" s="7" t="s">
        <v>118</v>
      </c>
      <c r="D105" s="7" t="s">
        <v>435</v>
      </c>
      <c r="E105" s="7"/>
      <c r="F105" s="310">
        <f>F106+F113</f>
        <v>15973.4</v>
      </c>
      <c r="G105" s="310">
        <f>G106+G113</f>
        <v>15887.4</v>
      </c>
    </row>
    <row r="106" spans="1:7" ht="37.5" customHeight="1" x14ac:dyDescent="0.25">
      <c r="A106" s="22" t="s">
        <v>468</v>
      </c>
      <c r="B106" s="360" t="s">
        <v>116</v>
      </c>
      <c r="C106" s="360" t="s">
        <v>118</v>
      </c>
      <c r="D106" s="360" t="s">
        <v>436</v>
      </c>
      <c r="E106" s="360"/>
      <c r="F106" s="311">
        <f t="shared" ref="F106:G106" si="20">F107+F109+F111</f>
        <v>15437.4</v>
      </c>
      <c r="G106" s="311">
        <f t="shared" si="20"/>
        <v>15437.4</v>
      </c>
    </row>
    <row r="107" spans="1:7" ht="78.75" x14ac:dyDescent="0.25">
      <c r="A107" s="22" t="s">
        <v>119</v>
      </c>
      <c r="B107" s="360" t="s">
        <v>116</v>
      </c>
      <c r="C107" s="360" t="s">
        <v>118</v>
      </c>
      <c r="D107" s="360" t="s">
        <v>436</v>
      </c>
      <c r="E107" s="360" t="s">
        <v>120</v>
      </c>
      <c r="F107" s="311">
        <f t="shared" ref="F107:G107" si="21">F108</f>
        <v>14439.9</v>
      </c>
      <c r="G107" s="311">
        <f t="shared" si="21"/>
        <v>14439.9</v>
      </c>
    </row>
    <row r="108" spans="1:7" ht="31.5" x14ac:dyDescent="0.25">
      <c r="A108" s="22" t="s">
        <v>121</v>
      </c>
      <c r="B108" s="360" t="s">
        <v>116</v>
      </c>
      <c r="C108" s="360" t="s">
        <v>118</v>
      </c>
      <c r="D108" s="360" t="s">
        <v>436</v>
      </c>
      <c r="E108" s="360" t="s">
        <v>122</v>
      </c>
      <c r="F108" s="255">
        <f>'Пр.4.1 ведом.23-24 '!G17+'Пр.4.1 ведом.23-24 '!G109</f>
        <v>14439.9</v>
      </c>
      <c r="G108" s="255">
        <f>'Пр.4.1 ведом.23-24 '!H17+'Пр.4.1 ведом.23-24 '!H109</f>
        <v>14439.9</v>
      </c>
    </row>
    <row r="109" spans="1:7" ht="31.5" x14ac:dyDescent="0.25">
      <c r="A109" s="22" t="s">
        <v>123</v>
      </c>
      <c r="B109" s="360" t="s">
        <v>116</v>
      </c>
      <c r="C109" s="360" t="s">
        <v>118</v>
      </c>
      <c r="D109" s="360" t="s">
        <v>436</v>
      </c>
      <c r="E109" s="360" t="s">
        <v>124</v>
      </c>
      <c r="F109" s="311">
        <f t="shared" ref="F109:G109" si="22">F110</f>
        <v>969.5</v>
      </c>
      <c r="G109" s="311">
        <f t="shared" si="22"/>
        <v>969.5</v>
      </c>
    </row>
    <row r="110" spans="1:7" ht="31.5" x14ac:dyDescent="0.25">
      <c r="A110" s="22" t="s">
        <v>125</v>
      </c>
      <c r="B110" s="360" t="s">
        <v>116</v>
      </c>
      <c r="C110" s="360" t="s">
        <v>118</v>
      </c>
      <c r="D110" s="360" t="s">
        <v>436</v>
      </c>
      <c r="E110" s="360" t="s">
        <v>126</v>
      </c>
      <c r="F110" s="311">
        <f>'Пр.4.1 ведом.23-24 '!G19</f>
        <v>969.5</v>
      </c>
      <c r="G110" s="311">
        <f>'Пр.4.1 ведом.23-24 '!H19</f>
        <v>969.5</v>
      </c>
    </row>
    <row r="111" spans="1:7" ht="15.75" x14ac:dyDescent="0.25">
      <c r="A111" s="22" t="s">
        <v>127</v>
      </c>
      <c r="B111" s="360" t="s">
        <v>116</v>
      </c>
      <c r="C111" s="360" t="s">
        <v>118</v>
      </c>
      <c r="D111" s="360" t="s">
        <v>436</v>
      </c>
      <c r="E111" s="360" t="s">
        <v>134</v>
      </c>
      <c r="F111" s="311">
        <f t="shared" ref="F111:G111" si="23">F112</f>
        <v>28</v>
      </c>
      <c r="G111" s="311">
        <f t="shared" si="23"/>
        <v>28</v>
      </c>
    </row>
    <row r="112" spans="1:7" ht="15.75" x14ac:dyDescent="0.25">
      <c r="A112" s="22" t="s">
        <v>280</v>
      </c>
      <c r="B112" s="360" t="s">
        <v>116</v>
      </c>
      <c r="C112" s="360" t="s">
        <v>118</v>
      </c>
      <c r="D112" s="360" t="s">
        <v>436</v>
      </c>
      <c r="E112" s="360" t="s">
        <v>130</v>
      </c>
      <c r="F112" s="311">
        <f>'Пр.4.1 ведом.23-24 '!G21</f>
        <v>28</v>
      </c>
      <c r="G112" s="311">
        <f>'Пр.4.1 ведом.23-24 '!H21</f>
        <v>28</v>
      </c>
    </row>
    <row r="113" spans="1:7" ht="54" customHeight="1" x14ac:dyDescent="0.25">
      <c r="A113" s="364" t="s">
        <v>416</v>
      </c>
      <c r="B113" s="365" t="s">
        <v>116</v>
      </c>
      <c r="C113" s="365" t="s">
        <v>118</v>
      </c>
      <c r="D113" s="365" t="s">
        <v>438</v>
      </c>
      <c r="E113" s="365"/>
      <c r="F113" s="311">
        <f>F114</f>
        <v>536</v>
      </c>
      <c r="G113" s="311">
        <f>G114</f>
        <v>450</v>
      </c>
    </row>
    <row r="114" spans="1:7" ht="80.45" customHeight="1" x14ac:dyDescent="0.25">
      <c r="A114" s="364" t="s">
        <v>119</v>
      </c>
      <c r="B114" s="365" t="s">
        <v>116</v>
      </c>
      <c r="C114" s="365" t="s">
        <v>118</v>
      </c>
      <c r="D114" s="365" t="s">
        <v>438</v>
      </c>
      <c r="E114" s="365" t="s">
        <v>120</v>
      </c>
      <c r="F114" s="311">
        <f>F115</f>
        <v>536</v>
      </c>
      <c r="G114" s="311">
        <f>G115</f>
        <v>450</v>
      </c>
    </row>
    <row r="115" spans="1:7" ht="36" customHeight="1" x14ac:dyDescent="0.25">
      <c r="A115" s="364" t="s">
        <v>121</v>
      </c>
      <c r="B115" s="365" t="s">
        <v>116</v>
      </c>
      <c r="C115" s="365" t="s">
        <v>118</v>
      </c>
      <c r="D115" s="365" t="s">
        <v>438</v>
      </c>
      <c r="E115" s="365" t="s">
        <v>122</v>
      </c>
      <c r="F115" s="311">
        <f>'Пр.4.1 ведом.23-24 '!G24+'Пр.4.1 ведом.23-24 '!G112</f>
        <v>536</v>
      </c>
      <c r="G115" s="311">
        <f>'Пр.4.1 ведом.23-24 '!H24+'Пр.4.1 ведом.23-24 '!H112</f>
        <v>450</v>
      </c>
    </row>
    <row r="116" spans="1:7" ht="31.5" x14ac:dyDescent="0.25">
      <c r="A116" s="315" t="s">
        <v>1097</v>
      </c>
      <c r="B116" s="7" t="s">
        <v>116</v>
      </c>
      <c r="C116" s="7" t="s">
        <v>118</v>
      </c>
      <c r="D116" s="7" t="s">
        <v>1098</v>
      </c>
      <c r="E116" s="7"/>
      <c r="F116" s="310">
        <f>F117+F122+F125</f>
        <v>2959.4</v>
      </c>
      <c r="G116" s="310">
        <f>G117+G122+G125</f>
        <v>2959.4</v>
      </c>
    </row>
    <row r="117" spans="1:7" ht="31.5" x14ac:dyDescent="0.25">
      <c r="A117" s="364" t="s">
        <v>468</v>
      </c>
      <c r="B117" s="365" t="s">
        <v>116</v>
      </c>
      <c r="C117" s="365" t="s">
        <v>118</v>
      </c>
      <c r="D117" s="365" t="s">
        <v>1101</v>
      </c>
      <c r="E117" s="365"/>
      <c r="F117" s="311">
        <f>F119+F120</f>
        <v>723.6</v>
      </c>
      <c r="G117" s="311">
        <f>G119+G120</f>
        <v>723.6</v>
      </c>
    </row>
    <row r="118" spans="1:7" ht="78.75" x14ac:dyDescent="0.25">
      <c r="A118" s="364" t="s">
        <v>119</v>
      </c>
      <c r="B118" s="365" t="s">
        <v>116</v>
      </c>
      <c r="C118" s="365" t="s">
        <v>118</v>
      </c>
      <c r="D118" s="365" t="s">
        <v>1101</v>
      </c>
      <c r="E118" s="365" t="s">
        <v>120</v>
      </c>
      <c r="F118" s="311">
        <f>F119</f>
        <v>630.6</v>
      </c>
      <c r="G118" s="311">
        <f>G119</f>
        <v>630.6</v>
      </c>
    </row>
    <row r="119" spans="1:7" ht="31.5" x14ac:dyDescent="0.25">
      <c r="A119" s="364" t="s">
        <v>121</v>
      </c>
      <c r="B119" s="365" t="s">
        <v>116</v>
      </c>
      <c r="C119" s="365" t="s">
        <v>118</v>
      </c>
      <c r="D119" s="365" t="s">
        <v>1101</v>
      </c>
      <c r="E119" s="365" t="s">
        <v>122</v>
      </c>
      <c r="F119" s="311">
        <f>'Пр.4.1 ведом.23-24 '!G548</f>
        <v>630.6</v>
      </c>
      <c r="G119" s="311">
        <f>'Пр.4.1 ведом.23-24 '!H548</f>
        <v>630.6</v>
      </c>
    </row>
    <row r="120" spans="1:7" ht="31.5" x14ac:dyDescent="0.25">
      <c r="A120" s="364" t="s">
        <v>153</v>
      </c>
      <c r="B120" s="365" t="s">
        <v>116</v>
      </c>
      <c r="C120" s="365" t="s">
        <v>118</v>
      </c>
      <c r="D120" s="365" t="s">
        <v>1101</v>
      </c>
      <c r="E120" s="365" t="s">
        <v>124</v>
      </c>
      <c r="F120" s="311">
        <f>F121</f>
        <v>93</v>
      </c>
      <c r="G120" s="311">
        <f>G121</f>
        <v>93</v>
      </c>
    </row>
    <row r="121" spans="1:7" ht="31.5" x14ac:dyDescent="0.25">
      <c r="A121" s="364" t="s">
        <v>125</v>
      </c>
      <c r="B121" s="365" t="s">
        <v>116</v>
      </c>
      <c r="C121" s="365" t="s">
        <v>118</v>
      </c>
      <c r="D121" s="365" t="s">
        <v>1101</v>
      </c>
      <c r="E121" s="365" t="s">
        <v>126</v>
      </c>
      <c r="F121" s="311">
        <f>'Пр.4.1 ведом.23-24 '!G550</f>
        <v>93</v>
      </c>
      <c r="G121" s="311">
        <f>'Пр.4.1 ведом.23-24 '!H550</f>
        <v>93</v>
      </c>
    </row>
    <row r="122" spans="1:7" ht="47.25" x14ac:dyDescent="0.25">
      <c r="A122" s="364" t="s">
        <v>1099</v>
      </c>
      <c r="B122" s="365" t="s">
        <v>116</v>
      </c>
      <c r="C122" s="365" t="s">
        <v>118</v>
      </c>
      <c r="D122" s="365" t="s">
        <v>1100</v>
      </c>
      <c r="E122" s="365"/>
      <c r="F122" s="311">
        <f>F123</f>
        <v>2235.8000000000002</v>
      </c>
      <c r="G122" s="311">
        <f>G123</f>
        <v>2235.8000000000002</v>
      </c>
    </row>
    <row r="123" spans="1:7" ht="78.75" x14ac:dyDescent="0.25">
      <c r="A123" s="364" t="s">
        <v>119</v>
      </c>
      <c r="B123" s="365" t="s">
        <v>116</v>
      </c>
      <c r="C123" s="365" t="s">
        <v>118</v>
      </c>
      <c r="D123" s="365" t="s">
        <v>1100</v>
      </c>
      <c r="E123" s="365" t="s">
        <v>120</v>
      </c>
      <c r="F123" s="311">
        <f>F124</f>
        <v>2235.8000000000002</v>
      </c>
      <c r="G123" s="311">
        <f>G124</f>
        <v>2235.8000000000002</v>
      </c>
    </row>
    <row r="124" spans="1:7" ht="31.5" x14ac:dyDescent="0.25">
      <c r="A124" s="364" t="s">
        <v>121</v>
      </c>
      <c r="B124" s="365" t="s">
        <v>116</v>
      </c>
      <c r="C124" s="365" t="s">
        <v>118</v>
      </c>
      <c r="D124" s="365" t="s">
        <v>1100</v>
      </c>
      <c r="E124" s="365" t="s">
        <v>122</v>
      </c>
      <c r="F124" s="311">
        <f>'Пр.4.1 ведом.23-24 '!G553</f>
        <v>2235.8000000000002</v>
      </c>
      <c r="G124" s="311">
        <f>'Пр.4.1 ведом.23-24 '!H553</f>
        <v>2235.8000000000002</v>
      </c>
    </row>
    <row r="125" spans="1:7" ht="47.25" hidden="1" x14ac:dyDescent="0.25">
      <c r="A125" s="364" t="s">
        <v>416</v>
      </c>
      <c r="B125" s="365" t="s">
        <v>116</v>
      </c>
      <c r="C125" s="365" t="s">
        <v>118</v>
      </c>
      <c r="D125" s="365" t="s">
        <v>1153</v>
      </c>
      <c r="E125" s="365"/>
      <c r="F125" s="311">
        <f>F126</f>
        <v>0</v>
      </c>
      <c r="G125" s="311">
        <f>G126</f>
        <v>0</v>
      </c>
    </row>
    <row r="126" spans="1:7" ht="78.75" hidden="1" x14ac:dyDescent="0.25">
      <c r="A126" s="364" t="s">
        <v>119</v>
      </c>
      <c r="B126" s="365" t="s">
        <v>116</v>
      </c>
      <c r="C126" s="365" t="s">
        <v>118</v>
      </c>
      <c r="D126" s="365" t="s">
        <v>1153</v>
      </c>
      <c r="E126" s="365" t="s">
        <v>120</v>
      </c>
      <c r="F126" s="311">
        <f>F127</f>
        <v>0</v>
      </c>
      <c r="G126" s="311">
        <f>G127</f>
        <v>0</v>
      </c>
    </row>
    <row r="127" spans="1:7" ht="36" hidden="1" customHeight="1" x14ac:dyDescent="0.25">
      <c r="A127" s="364" t="s">
        <v>121</v>
      </c>
      <c r="B127" s="365" t="s">
        <v>116</v>
      </c>
      <c r="C127" s="365" t="s">
        <v>118</v>
      </c>
      <c r="D127" s="365" t="s">
        <v>1153</v>
      </c>
      <c r="E127" s="365" t="s">
        <v>122</v>
      </c>
      <c r="F127" s="311">
        <f>'Пр.4 ведом.22'!G556</f>
        <v>0</v>
      </c>
      <c r="G127" s="311">
        <f>'Пр.4 ведом.22'!H556</f>
        <v>0</v>
      </c>
    </row>
    <row r="128" spans="1:7" ht="20.25" hidden="1" customHeight="1" x14ac:dyDescent="0.25">
      <c r="A128" s="315" t="s">
        <v>698</v>
      </c>
      <c r="B128" s="316" t="s">
        <v>116</v>
      </c>
      <c r="C128" s="316" t="s">
        <v>187</v>
      </c>
      <c r="D128" s="316"/>
      <c r="E128" s="365"/>
      <c r="F128" s="314">
        <f t="shared" ref="F128:G130" si="24">F129</f>
        <v>0</v>
      </c>
      <c r="G128" s="314">
        <f t="shared" si="24"/>
        <v>0</v>
      </c>
    </row>
    <row r="129" spans="1:10" ht="23.25" hidden="1" customHeight="1" x14ac:dyDescent="0.25">
      <c r="A129" s="315" t="s">
        <v>133</v>
      </c>
      <c r="B129" s="316" t="s">
        <v>116</v>
      </c>
      <c r="C129" s="316" t="s">
        <v>187</v>
      </c>
      <c r="D129" s="316" t="s">
        <v>442</v>
      </c>
      <c r="E129" s="365"/>
      <c r="F129" s="314">
        <f t="shared" si="24"/>
        <v>0</v>
      </c>
      <c r="G129" s="314">
        <f t="shared" si="24"/>
        <v>0</v>
      </c>
    </row>
    <row r="130" spans="1:10" ht="36" hidden="1" customHeight="1" x14ac:dyDescent="0.25">
      <c r="A130" s="315" t="s">
        <v>446</v>
      </c>
      <c r="B130" s="316" t="s">
        <v>116</v>
      </c>
      <c r="C130" s="316" t="s">
        <v>187</v>
      </c>
      <c r="D130" s="316" t="s">
        <v>441</v>
      </c>
      <c r="E130" s="365"/>
      <c r="F130" s="314">
        <f t="shared" si="24"/>
        <v>0</v>
      </c>
      <c r="G130" s="314">
        <f t="shared" si="24"/>
        <v>0</v>
      </c>
    </row>
    <row r="131" spans="1:10" ht="24" hidden="1" customHeight="1" x14ac:dyDescent="0.25">
      <c r="A131" s="31" t="s">
        <v>154</v>
      </c>
      <c r="B131" s="365" t="s">
        <v>116</v>
      </c>
      <c r="C131" s="365" t="s">
        <v>187</v>
      </c>
      <c r="D131" s="365" t="s">
        <v>697</v>
      </c>
      <c r="E131" s="365"/>
      <c r="F131" s="318">
        <f>F132+F134</f>
        <v>0</v>
      </c>
      <c r="G131" s="318">
        <f>G132+G134</f>
        <v>0</v>
      </c>
    </row>
    <row r="132" spans="1:10" ht="78.75" hidden="1" customHeight="1" x14ac:dyDescent="0.25">
      <c r="A132" s="364" t="s">
        <v>119</v>
      </c>
      <c r="B132" s="365" t="s">
        <v>116</v>
      </c>
      <c r="C132" s="365" t="s">
        <v>187</v>
      </c>
      <c r="D132" s="365" t="s">
        <v>697</v>
      </c>
      <c r="E132" s="365" t="s">
        <v>120</v>
      </c>
      <c r="F132" s="318">
        <f>F133</f>
        <v>0</v>
      </c>
      <c r="G132" s="318">
        <f>G133</f>
        <v>0</v>
      </c>
    </row>
    <row r="133" spans="1:10" ht="36" hidden="1" customHeight="1" x14ac:dyDescent="0.25">
      <c r="A133" s="364" t="s">
        <v>121</v>
      </c>
      <c r="B133" s="365" t="s">
        <v>116</v>
      </c>
      <c r="C133" s="365" t="s">
        <v>187</v>
      </c>
      <c r="D133" s="365" t="s">
        <v>697</v>
      </c>
      <c r="E133" s="365" t="s">
        <v>122</v>
      </c>
      <c r="F133" s="318">
        <f>'Пр.4 ведом.22'!G117</f>
        <v>0</v>
      </c>
      <c r="G133" s="318">
        <f>'Пр.4 ведом.22'!H117</f>
        <v>0</v>
      </c>
    </row>
    <row r="134" spans="1:10" ht="36" hidden="1" customHeight="1" x14ac:dyDescent="0.25">
      <c r="A134" s="364" t="s">
        <v>153</v>
      </c>
      <c r="B134" s="365" t="s">
        <v>116</v>
      </c>
      <c r="C134" s="365" t="s">
        <v>187</v>
      </c>
      <c r="D134" s="365" t="s">
        <v>697</v>
      </c>
      <c r="E134" s="365" t="s">
        <v>124</v>
      </c>
      <c r="F134" s="318">
        <f>F135</f>
        <v>0</v>
      </c>
      <c r="G134" s="318">
        <f>G135</f>
        <v>0</v>
      </c>
    </row>
    <row r="135" spans="1:10" ht="36" hidden="1" customHeight="1" x14ac:dyDescent="0.25">
      <c r="A135" s="364" t="s">
        <v>125</v>
      </c>
      <c r="B135" s="365" t="s">
        <v>116</v>
      </c>
      <c r="C135" s="365" t="s">
        <v>187</v>
      </c>
      <c r="D135" s="365" t="s">
        <v>697</v>
      </c>
      <c r="E135" s="365" t="s">
        <v>126</v>
      </c>
      <c r="F135" s="318">
        <f>'Пр.4 ведом.22'!G119</f>
        <v>0</v>
      </c>
      <c r="G135" s="318">
        <f>'Пр.4 ведом.22'!H119</f>
        <v>0</v>
      </c>
    </row>
    <row r="136" spans="1:10" ht="22.7" customHeight="1" x14ac:dyDescent="0.25">
      <c r="A136" s="315" t="s">
        <v>894</v>
      </c>
      <c r="B136" s="316" t="s">
        <v>116</v>
      </c>
      <c r="C136" s="316" t="s">
        <v>251</v>
      </c>
      <c r="D136" s="316"/>
      <c r="E136" s="316"/>
      <c r="F136" s="314">
        <f>F137</f>
        <v>50</v>
      </c>
      <c r="G136" s="314">
        <f>G137</f>
        <v>50</v>
      </c>
    </row>
    <row r="137" spans="1:10" ht="18.399999999999999" customHeight="1" x14ac:dyDescent="0.25">
      <c r="A137" s="315" t="s">
        <v>133</v>
      </c>
      <c r="B137" s="316" t="s">
        <v>116</v>
      </c>
      <c r="C137" s="316" t="s">
        <v>251</v>
      </c>
      <c r="D137" s="316" t="s">
        <v>442</v>
      </c>
      <c r="E137" s="316"/>
      <c r="F137" s="314">
        <f t="shared" ref="F137:G139" si="25">F138</f>
        <v>50</v>
      </c>
      <c r="G137" s="314">
        <f t="shared" si="25"/>
        <v>50</v>
      </c>
    </row>
    <row r="138" spans="1:10" ht="36" customHeight="1" x14ac:dyDescent="0.25">
      <c r="A138" s="315" t="s">
        <v>446</v>
      </c>
      <c r="B138" s="316" t="s">
        <v>116</v>
      </c>
      <c r="C138" s="316" t="s">
        <v>251</v>
      </c>
      <c r="D138" s="316" t="s">
        <v>441</v>
      </c>
      <c r="E138" s="316"/>
      <c r="F138" s="314">
        <f t="shared" si="25"/>
        <v>50</v>
      </c>
      <c r="G138" s="314">
        <f t="shared" si="25"/>
        <v>50</v>
      </c>
    </row>
    <row r="139" spans="1:10" ht="16.350000000000001" customHeight="1" x14ac:dyDescent="0.25">
      <c r="A139" s="364" t="s">
        <v>688</v>
      </c>
      <c r="B139" s="365" t="s">
        <v>116</v>
      </c>
      <c r="C139" s="365" t="s">
        <v>251</v>
      </c>
      <c r="D139" s="365" t="s">
        <v>689</v>
      </c>
      <c r="E139" s="365"/>
      <c r="F139" s="318">
        <f t="shared" si="25"/>
        <v>50</v>
      </c>
      <c r="G139" s="318">
        <f t="shared" si="25"/>
        <v>50</v>
      </c>
    </row>
    <row r="140" spans="1:10" ht="23.85" customHeight="1" x14ac:dyDescent="0.25">
      <c r="A140" s="364" t="s">
        <v>127</v>
      </c>
      <c r="B140" s="365" t="s">
        <v>116</v>
      </c>
      <c r="C140" s="365" t="s">
        <v>251</v>
      </c>
      <c r="D140" s="365" t="s">
        <v>689</v>
      </c>
      <c r="E140" s="365" t="s">
        <v>134</v>
      </c>
      <c r="F140" s="318">
        <f>F141</f>
        <v>50</v>
      </c>
      <c r="G140" s="318">
        <f>G141</f>
        <v>50</v>
      </c>
    </row>
    <row r="141" spans="1:10" ht="19.7" customHeight="1" x14ac:dyDescent="0.25">
      <c r="A141" s="364" t="s">
        <v>688</v>
      </c>
      <c r="B141" s="365" t="s">
        <v>116</v>
      </c>
      <c r="C141" s="365" t="s">
        <v>251</v>
      </c>
      <c r="D141" s="365" t="s">
        <v>689</v>
      </c>
      <c r="E141" s="365" t="s">
        <v>690</v>
      </c>
      <c r="F141" s="318">
        <f>'Пр.4.1 ведом.23-24 '!G30</f>
        <v>50</v>
      </c>
      <c r="G141" s="318">
        <f>'Пр.4.1 ведом.23-24 '!H30</f>
        <v>50</v>
      </c>
    </row>
    <row r="142" spans="1:10" ht="15.75" x14ac:dyDescent="0.25">
      <c r="A142" s="359" t="s">
        <v>131</v>
      </c>
      <c r="B142" s="7" t="s">
        <v>116</v>
      </c>
      <c r="C142" s="7" t="s">
        <v>132</v>
      </c>
      <c r="D142" s="7"/>
      <c r="E142" s="7"/>
      <c r="F142" s="310">
        <f>F143+F173+F189+F206+F215+F220+F230+F185+F225</f>
        <v>61313.799999999996</v>
      </c>
      <c r="G142" s="310">
        <f>G143+G173+G189+G206+G215+G220+G230+G185+G225</f>
        <v>61136.299999999996</v>
      </c>
      <c r="H142" s="74"/>
      <c r="J142" s="74"/>
    </row>
    <row r="143" spans="1:10" ht="15.75" x14ac:dyDescent="0.25">
      <c r="A143" s="315" t="s">
        <v>133</v>
      </c>
      <c r="B143" s="316" t="s">
        <v>116</v>
      </c>
      <c r="C143" s="316" t="s">
        <v>132</v>
      </c>
      <c r="D143" s="316" t="s">
        <v>442</v>
      </c>
      <c r="E143" s="316"/>
      <c r="F143" s="310">
        <f>F144+F155+F164</f>
        <v>60312.899999999994</v>
      </c>
      <c r="G143" s="310">
        <f>G144+G155+G164</f>
        <v>60135.399999999994</v>
      </c>
      <c r="H143" s="74"/>
      <c r="J143" s="74"/>
    </row>
    <row r="144" spans="1:10" ht="15.75" x14ac:dyDescent="0.25">
      <c r="A144" s="315" t="s">
        <v>519</v>
      </c>
      <c r="B144" s="316" t="s">
        <v>116</v>
      </c>
      <c r="C144" s="316" t="s">
        <v>132</v>
      </c>
      <c r="D144" s="316" t="s">
        <v>518</v>
      </c>
      <c r="E144" s="316"/>
      <c r="F144" s="257">
        <f>F148+F145</f>
        <v>48202.6</v>
      </c>
      <c r="G144" s="257">
        <f>G148+G145</f>
        <v>48025.1</v>
      </c>
      <c r="H144" s="74"/>
      <c r="J144" s="74"/>
    </row>
    <row r="145" spans="1:10" ht="47.25" x14ac:dyDescent="0.25">
      <c r="A145" s="364" t="s">
        <v>416</v>
      </c>
      <c r="B145" s="365" t="s">
        <v>116</v>
      </c>
      <c r="C145" s="365" t="s">
        <v>132</v>
      </c>
      <c r="D145" s="365" t="s">
        <v>521</v>
      </c>
      <c r="E145" s="365"/>
      <c r="F145" s="311">
        <f>F146</f>
        <v>1118</v>
      </c>
      <c r="G145" s="311">
        <f>G146</f>
        <v>1118</v>
      </c>
      <c r="H145" s="74"/>
      <c r="J145" s="74"/>
    </row>
    <row r="146" spans="1:10" ht="78.75" x14ac:dyDescent="0.25">
      <c r="A146" s="364" t="s">
        <v>119</v>
      </c>
      <c r="B146" s="365" t="s">
        <v>116</v>
      </c>
      <c r="C146" s="365" t="s">
        <v>132</v>
      </c>
      <c r="D146" s="365" t="s">
        <v>521</v>
      </c>
      <c r="E146" s="365" t="s">
        <v>120</v>
      </c>
      <c r="F146" s="311">
        <f>F147</f>
        <v>1118</v>
      </c>
      <c r="G146" s="311">
        <f>G147</f>
        <v>1118</v>
      </c>
      <c r="H146" s="74"/>
      <c r="J146" s="74"/>
    </row>
    <row r="147" spans="1:10" ht="31.5" x14ac:dyDescent="0.25">
      <c r="A147" s="364" t="s">
        <v>121</v>
      </c>
      <c r="B147" s="365" t="s">
        <v>116</v>
      </c>
      <c r="C147" s="365" t="s">
        <v>132</v>
      </c>
      <c r="D147" s="365" t="s">
        <v>521</v>
      </c>
      <c r="E147" s="365" t="s">
        <v>156</v>
      </c>
      <c r="F147" s="311">
        <f>'Пр.4.1 ведом.23-24 '!G941</f>
        <v>1118</v>
      </c>
      <c r="G147" s="311">
        <f>'Пр.4.1 ведом.23-24 '!H941</f>
        <v>1118</v>
      </c>
      <c r="H147" s="74"/>
      <c r="J147" s="74"/>
    </row>
    <row r="148" spans="1:10" ht="15.75" x14ac:dyDescent="0.25">
      <c r="A148" s="364" t="s">
        <v>379</v>
      </c>
      <c r="B148" s="365" t="s">
        <v>116</v>
      </c>
      <c r="C148" s="365" t="s">
        <v>132</v>
      </c>
      <c r="D148" s="365" t="s">
        <v>520</v>
      </c>
      <c r="E148" s="365"/>
      <c r="F148" s="255">
        <f t="shared" ref="F148:G148" si="26">F149+F151+F153</f>
        <v>47084.6</v>
      </c>
      <c r="G148" s="255">
        <f t="shared" si="26"/>
        <v>46907.1</v>
      </c>
      <c r="H148" s="74"/>
      <c r="J148" s="74"/>
    </row>
    <row r="149" spans="1:10" ht="78.75" x14ac:dyDescent="0.25">
      <c r="A149" s="364" t="s">
        <v>119</v>
      </c>
      <c r="B149" s="365" t="s">
        <v>116</v>
      </c>
      <c r="C149" s="365" t="s">
        <v>132</v>
      </c>
      <c r="D149" s="365" t="s">
        <v>520</v>
      </c>
      <c r="E149" s="365" t="s">
        <v>120</v>
      </c>
      <c r="F149" s="255">
        <f t="shared" ref="F149:G149" si="27">F150</f>
        <v>37603.599999999999</v>
      </c>
      <c r="G149" s="255">
        <f t="shared" si="27"/>
        <v>37603.599999999999</v>
      </c>
      <c r="H149" s="74"/>
      <c r="J149" s="74"/>
    </row>
    <row r="150" spans="1:10" ht="20.25" customHeight="1" x14ac:dyDescent="0.25">
      <c r="A150" s="32" t="s">
        <v>212</v>
      </c>
      <c r="B150" s="365" t="s">
        <v>116</v>
      </c>
      <c r="C150" s="365" t="s">
        <v>132</v>
      </c>
      <c r="D150" s="365" t="s">
        <v>520</v>
      </c>
      <c r="E150" s="365" t="s">
        <v>156</v>
      </c>
      <c r="F150" s="255">
        <f>'Пр.4.1 ведом.23-24 '!G944</f>
        <v>37603.599999999999</v>
      </c>
      <c r="G150" s="255">
        <f>'Пр.4.1 ведом.23-24 '!H944</f>
        <v>37603.599999999999</v>
      </c>
      <c r="H150" s="74"/>
      <c r="J150" s="74"/>
    </row>
    <row r="151" spans="1:10" ht="31.5" x14ac:dyDescent="0.25">
      <c r="A151" s="364" t="s">
        <v>123</v>
      </c>
      <c r="B151" s="365" t="s">
        <v>116</v>
      </c>
      <c r="C151" s="365" t="s">
        <v>132</v>
      </c>
      <c r="D151" s="365" t="s">
        <v>520</v>
      </c>
      <c r="E151" s="365" t="s">
        <v>124</v>
      </c>
      <c r="F151" s="255">
        <f t="shared" ref="F151:G151" si="28">F152</f>
        <v>9059.9999999999982</v>
      </c>
      <c r="G151" s="255">
        <f t="shared" si="28"/>
        <v>8882.4999999999982</v>
      </c>
      <c r="H151" s="74"/>
      <c r="J151" s="74"/>
    </row>
    <row r="152" spans="1:10" ht="31.5" x14ac:dyDescent="0.25">
      <c r="A152" s="364" t="s">
        <v>125</v>
      </c>
      <c r="B152" s="365" t="s">
        <v>116</v>
      </c>
      <c r="C152" s="365" t="s">
        <v>132</v>
      </c>
      <c r="D152" s="365" t="s">
        <v>520</v>
      </c>
      <c r="E152" s="365" t="s">
        <v>126</v>
      </c>
      <c r="F152" s="255">
        <f>'Пр.4.1 ведом.23-24 '!G946</f>
        <v>9059.9999999999982</v>
      </c>
      <c r="G152" s="255">
        <f>'Пр.4.1 ведом.23-24 '!H946</f>
        <v>8882.4999999999982</v>
      </c>
      <c r="H152" s="74"/>
      <c r="J152" s="74"/>
    </row>
    <row r="153" spans="1:10" ht="15.75" x14ac:dyDescent="0.25">
      <c r="A153" s="364" t="s">
        <v>127</v>
      </c>
      <c r="B153" s="365" t="s">
        <v>116</v>
      </c>
      <c r="C153" s="365" t="s">
        <v>132</v>
      </c>
      <c r="D153" s="365" t="s">
        <v>520</v>
      </c>
      <c r="E153" s="365" t="s">
        <v>134</v>
      </c>
      <c r="F153" s="255">
        <f t="shared" ref="F153:G153" si="29">F154</f>
        <v>421</v>
      </c>
      <c r="G153" s="255">
        <f t="shared" si="29"/>
        <v>421</v>
      </c>
      <c r="H153" s="74"/>
      <c r="J153" s="74"/>
    </row>
    <row r="154" spans="1:10" ht="15.75" x14ac:dyDescent="0.25">
      <c r="A154" s="364" t="s">
        <v>338</v>
      </c>
      <c r="B154" s="365" t="s">
        <v>116</v>
      </c>
      <c r="C154" s="365" t="s">
        <v>132</v>
      </c>
      <c r="D154" s="365" t="s">
        <v>520</v>
      </c>
      <c r="E154" s="365" t="s">
        <v>130</v>
      </c>
      <c r="F154" s="255">
        <f>'Пр.4.1 ведом.23-24 '!G948</f>
        <v>421</v>
      </c>
      <c r="G154" s="255">
        <f>'Пр.4.1 ведом.23-24 '!H948</f>
        <v>421</v>
      </c>
      <c r="H154" s="74"/>
      <c r="J154" s="74"/>
    </row>
    <row r="155" spans="1:10" ht="31.5" x14ac:dyDescent="0.25">
      <c r="A155" s="315" t="s">
        <v>446</v>
      </c>
      <c r="B155" s="316" t="s">
        <v>116</v>
      </c>
      <c r="C155" s="316" t="s">
        <v>132</v>
      </c>
      <c r="D155" s="316" t="s">
        <v>441</v>
      </c>
      <c r="E155" s="316"/>
      <c r="F155" s="310">
        <f>F156+F161</f>
        <v>5928.7</v>
      </c>
      <c r="G155" s="310">
        <f>G156+G161</f>
        <v>5928.7</v>
      </c>
      <c r="H155" s="74"/>
      <c r="J155" s="74"/>
    </row>
    <row r="156" spans="1:10" ht="47.25" x14ac:dyDescent="0.25">
      <c r="A156" s="364" t="s">
        <v>230</v>
      </c>
      <c r="B156" s="365" t="s">
        <v>116</v>
      </c>
      <c r="C156" s="365" t="s">
        <v>132</v>
      </c>
      <c r="D156" s="365" t="s">
        <v>574</v>
      </c>
      <c r="E156" s="365"/>
      <c r="F156" s="311">
        <f>F157+F159</f>
        <v>5928.7</v>
      </c>
      <c r="G156" s="311">
        <f>G157+G159</f>
        <v>5928.7</v>
      </c>
      <c r="H156" s="74"/>
      <c r="J156" s="74"/>
    </row>
    <row r="157" spans="1:10" ht="31.5" x14ac:dyDescent="0.25">
      <c r="A157" s="364" t="s">
        <v>123</v>
      </c>
      <c r="B157" s="365" t="s">
        <v>116</v>
      </c>
      <c r="C157" s="365" t="s">
        <v>132</v>
      </c>
      <c r="D157" s="365" t="s">
        <v>574</v>
      </c>
      <c r="E157" s="365" t="s">
        <v>124</v>
      </c>
      <c r="F157" s="311">
        <f>F158</f>
        <v>5928.7</v>
      </c>
      <c r="G157" s="311">
        <f>G158</f>
        <v>5928.7</v>
      </c>
      <c r="H157" s="74"/>
      <c r="J157" s="74"/>
    </row>
    <row r="158" spans="1:10" ht="31.5" x14ac:dyDescent="0.25">
      <c r="A158" s="364" t="s">
        <v>125</v>
      </c>
      <c r="B158" s="365" t="s">
        <v>116</v>
      </c>
      <c r="C158" s="365" t="s">
        <v>132</v>
      </c>
      <c r="D158" s="365" t="s">
        <v>574</v>
      </c>
      <c r="E158" s="365" t="s">
        <v>126</v>
      </c>
      <c r="F158" s="311">
        <f>'Пр.4.1 ведом.23-24 '!G581</f>
        <v>5928.7</v>
      </c>
      <c r="G158" s="311">
        <f>'Пр.4.1 ведом.23-24 '!H581</f>
        <v>5928.7</v>
      </c>
      <c r="H158" s="74"/>
      <c r="J158" s="74"/>
    </row>
    <row r="159" spans="1:10" ht="15.75" hidden="1" x14ac:dyDescent="0.25">
      <c r="A159" s="364" t="s">
        <v>127</v>
      </c>
      <c r="B159" s="365" t="s">
        <v>116</v>
      </c>
      <c r="C159" s="365" t="s">
        <v>132</v>
      </c>
      <c r="D159" s="365" t="s">
        <v>574</v>
      </c>
      <c r="E159" s="365" t="s">
        <v>134</v>
      </c>
      <c r="F159" s="311">
        <f>F160</f>
        <v>0</v>
      </c>
      <c r="G159" s="311">
        <f>G160</f>
        <v>0</v>
      </c>
      <c r="H159" s="74"/>
      <c r="J159" s="74"/>
    </row>
    <row r="160" spans="1:10" ht="47.25" hidden="1" x14ac:dyDescent="0.25">
      <c r="A160" s="364" t="s">
        <v>413</v>
      </c>
      <c r="B160" s="365" t="s">
        <v>116</v>
      </c>
      <c r="C160" s="365" t="s">
        <v>132</v>
      </c>
      <c r="D160" s="365" t="s">
        <v>574</v>
      </c>
      <c r="E160" s="365" t="s">
        <v>136</v>
      </c>
      <c r="F160" s="311"/>
      <c r="G160" s="311"/>
      <c r="H160" s="74"/>
      <c r="J160" s="74"/>
    </row>
    <row r="161" spans="1:10" ht="31.5" hidden="1" x14ac:dyDescent="0.25">
      <c r="A161" s="364" t="s">
        <v>502</v>
      </c>
      <c r="B161" s="365" t="s">
        <v>116</v>
      </c>
      <c r="C161" s="365" t="s">
        <v>132</v>
      </c>
      <c r="D161" s="365" t="s">
        <v>575</v>
      </c>
      <c r="E161" s="365"/>
      <c r="F161" s="311">
        <f>F162</f>
        <v>0</v>
      </c>
      <c r="G161" s="311">
        <f>G162</f>
        <v>0</v>
      </c>
      <c r="H161" s="74"/>
      <c r="J161" s="74"/>
    </row>
    <row r="162" spans="1:10" ht="31.5" hidden="1" x14ac:dyDescent="0.25">
      <c r="A162" s="364" t="s">
        <v>123</v>
      </c>
      <c r="B162" s="365" t="s">
        <v>116</v>
      </c>
      <c r="C162" s="365" t="s">
        <v>132</v>
      </c>
      <c r="D162" s="365" t="s">
        <v>575</v>
      </c>
      <c r="E162" s="365" t="s">
        <v>124</v>
      </c>
      <c r="F162" s="311">
        <f>F163</f>
        <v>0</v>
      </c>
      <c r="G162" s="311">
        <f>G163</f>
        <v>0</v>
      </c>
      <c r="H162" s="74"/>
      <c r="J162" s="74"/>
    </row>
    <row r="163" spans="1:10" ht="31.5" hidden="1" x14ac:dyDescent="0.25">
      <c r="A163" s="364" t="s">
        <v>125</v>
      </c>
      <c r="B163" s="365" t="s">
        <v>116</v>
      </c>
      <c r="C163" s="365" t="s">
        <v>132</v>
      </c>
      <c r="D163" s="365" t="s">
        <v>575</v>
      </c>
      <c r="E163" s="365" t="s">
        <v>126</v>
      </c>
      <c r="F163" s="311">
        <f>'Пр.4 ведом.22'!G586</f>
        <v>0</v>
      </c>
      <c r="G163" s="311">
        <f>'Пр.4 ведом.22'!H586</f>
        <v>0</v>
      </c>
      <c r="H163" s="74"/>
      <c r="J163" s="74"/>
    </row>
    <row r="164" spans="1:10" ht="31.5" x14ac:dyDescent="0.25">
      <c r="A164" s="315" t="s">
        <v>493</v>
      </c>
      <c r="B164" s="316" t="s">
        <v>116</v>
      </c>
      <c r="C164" s="316" t="s">
        <v>132</v>
      </c>
      <c r="D164" s="316" t="s">
        <v>443</v>
      </c>
      <c r="E164" s="316"/>
      <c r="F164" s="310">
        <f>F165+F170</f>
        <v>6181.6</v>
      </c>
      <c r="G164" s="310">
        <f>G165+G170</f>
        <v>6181.6</v>
      </c>
      <c r="H164" s="74"/>
      <c r="J164" s="74"/>
    </row>
    <row r="165" spans="1:10" ht="31.5" x14ac:dyDescent="0.25">
      <c r="A165" s="364" t="s">
        <v>499</v>
      </c>
      <c r="B165" s="365" t="s">
        <v>116</v>
      </c>
      <c r="C165" s="365" t="s">
        <v>132</v>
      </c>
      <c r="D165" s="365" t="s">
        <v>444</v>
      </c>
      <c r="E165" s="365"/>
      <c r="F165" s="311">
        <f>F166+F168</f>
        <v>6052.6</v>
      </c>
      <c r="G165" s="311">
        <f>G166+G168</f>
        <v>6052.6</v>
      </c>
      <c r="H165" s="74"/>
      <c r="J165" s="74"/>
    </row>
    <row r="166" spans="1:10" ht="78.75" x14ac:dyDescent="0.25">
      <c r="A166" s="364" t="s">
        <v>119</v>
      </c>
      <c r="B166" s="365" t="s">
        <v>116</v>
      </c>
      <c r="C166" s="365" t="s">
        <v>132</v>
      </c>
      <c r="D166" s="365" t="s">
        <v>444</v>
      </c>
      <c r="E166" s="365" t="s">
        <v>120</v>
      </c>
      <c r="F166" s="311">
        <f>F167</f>
        <v>4703.3</v>
      </c>
      <c r="G166" s="311">
        <f>G167</f>
        <v>4703.3</v>
      </c>
      <c r="H166" s="74"/>
      <c r="J166" s="74"/>
    </row>
    <row r="167" spans="1:10" ht="31.5" x14ac:dyDescent="0.25">
      <c r="A167" s="364" t="s">
        <v>121</v>
      </c>
      <c r="B167" s="365" t="s">
        <v>116</v>
      </c>
      <c r="C167" s="365" t="s">
        <v>132</v>
      </c>
      <c r="D167" s="365" t="s">
        <v>444</v>
      </c>
      <c r="E167" s="365" t="s">
        <v>122</v>
      </c>
      <c r="F167" s="311">
        <f>'Пр.4.1 ведом.23-24 '!G130</f>
        <v>4703.3</v>
      </c>
      <c r="G167" s="311">
        <f>'Пр.4.1 ведом.23-24 '!H130</f>
        <v>4703.3</v>
      </c>
      <c r="H167" s="74"/>
      <c r="J167" s="74"/>
    </row>
    <row r="168" spans="1:10" ht="31.5" x14ac:dyDescent="0.25">
      <c r="A168" s="364" t="s">
        <v>153</v>
      </c>
      <c r="B168" s="365" t="s">
        <v>116</v>
      </c>
      <c r="C168" s="365" t="s">
        <v>132</v>
      </c>
      <c r="D168" s="365" t="s">
        <v>444</v>
      </c>
      <c r="E168" s="365" t="s">
        <v>124</v>
      </c>
      <c r="F168" s="311">
        <f>F169</f>
        <v>1349.3</v>
      </c>
      <c r="G168" s="311">
        <f>G169</f>
        <v>1349.3</v>
      </c>
      <c r="H168" s="74"/>
      <c r="J168" s="74"/>
    </row>
    <row r="169" spans="1:10" ht="31.5" x14ac:dyDescent="0.25">
      <c r="A169" s="364" t="s">
        <v>125</v>
      </c>
      <c r="B169" s="365" t="s">
        <v>116</v>
      </c>
      <c r="C169" s="365" t="s">
        <v>132</v>
      </c>
      <c r="D169" s="365" t="s">
        <v>444</v>
      </c>
      <c r="E169" s="365" t="s">
        <v>126</v>
      </c>
      <c r="F169" s="311">
        <f>'Пр.4.1 ведом.23-24 '!G132</f>
        <v>1349.3</v>
      </c>
      <c r="G169" s="311">
        <f>'Пр.4.1 ведом.23-24 '!H132</f>
        <v>1349.3</v>
      </c>
      <c r="H169" s="74"/>
      <c r="J169" s="74"/>
    </row>
    <row r="170" spans="1:10" ht="47.25" x14ac:dyDescent="0.25">
      <c r="A170" s="364" t="s">
        <v>416</v>
      </c>
      <c r="B170" s="365" t="s">
        <v>116</v>
      </c>
      <c r="C170" s="365" t="s">
        <v>132</v>
      </c>
      <c r="D170" s="365" t="s">
        <v>445</v>
      </c>
      <c r="E170" s="365"/>
      <c r="F170" s="311">
        <f>F171</f>
        <v>129</v>
      </c>
      <c r="G170" s="311">
        <f>G171</f>
        <v>129</v>
      </c>
      <c r="H170" s="74"/>
      <c r="J170" s="74"/>
    </row>
    <row r="171" spans="1:10" ht="78.75" x14ac:dyDescent="0.25">
      <c r="A171" s="364" t="s">
        <v>119</v>
      </c>
      <c r="B171" s="365" t="s">
        <v>116</v>
      </c>
      <c r="C171" s="365" t="s">
        <v>132</v>
      </c>
      <c r="D171" s="365" t="s">
        <v>445</v>
      </c>
      <c r="E171" s="365" t="s">
        <v>120</v>
      </c>
      <c r="F171" s="311">
        <f>F172</f>
        <v>129</v>
      </c>
      <c r="G171" s="311">
        <f>G172</f>
        <v>129</v>
      </c>
      <c r="H171" s="74"/>
      <c r="J171" s="74"/>
    </row>
    <row r="172" spans="1:10" ht="31.5" x14ac:dyDescent="0.25">
      <c r="A172" s="364" t="s">
        <v>121</v>
      </c>
      <c r="B172" s="365" t="s">
        <v>116</v>
      </c>
      <c r="C172" s="365" t="s">
        <v>132</v>
      </c>
      <c r="D172" s="365" t="s">
        <v>445</v>
      </c>
      <c r="E172" s="365" t="s">
        <v>122</v>
      </c>
      <c r="F172" s="311">
        <f>'Пр.4.1 ведом.23-24 '!G135</f>
        <v>129</v>
      </c>
      <c r="G172" s="311">
        <f>'Пр.4.1 ведом.23-24 '!H135</f>
        <v>129</v>
      </c>
      <c r="H172" s="74"/>
      <c r="J172" s="74"/>
    </row>
    <row r="173" spans="1:10" ht="47.25" x14ac:dyDescent="0.25">
      <c r="A173" s="315" t="s">
        <v>871</v>
      </c>
      <c r="B173" s="7" t="s">
        <v>116</v>
      </c>
      <c r="C173" s="7" t="s">
        <v>132</v>
      </c>
      <c r="D173" s="7" t="s">
        <v>213</v>
      </c>
      <c r="E173" s="7"/>
      <c r="F173" s="310">
        <f>F174</f>
        <v>655.9</v>
      </c>
      <c r="G173" s="310">
        <f>G174</f>
        <v>655.9</v>
      </c>
    </row>
    <row r="174" spans="1:10" ht="78.75" x14ac:dyDescent="0.25">
      <c r="A174" s="359" t="s">
        <v>851</v>
      </c>
      <c r="B174" s="7" t="s">
        <v>116</v>
      </c>
      <c r="C174" s="7" t="s">
        <v>132</v>
      </c>
      <c r="D174" s="7" t="s">
        <v>222</v>
      </c>
      <c r="E174" s="7"/>
      <c r="F174" s="310">
        <f>F175</f>
        <v>655.9</v>
      </c>
      <c r="G174" s="310">
        <f>G175</f>
        <v>655.9</v>
      </c>
    </row>
    <row r="175" spans="1:10" ht="63" x14ac:dyDescent="0.25">
      <c r="A175" s="170" t="s">
        <v>606</v>
      </c>
      <c r="B175" s="7" t="s">
        <v>116</v>
      </c>
      <c r="C175" s="7" t="s">
        <v>132</v>
      </c>
      <c r="D175" s="7" t="s">
        <v>480</v>
      </c>
      <c r="E175" s="7"/>
      <c r="F175" s="310">
        <f>F176+F179+F182</f>
        <v>655.9</v>
      </c>
      <c r="G175" s="310">
        <f>G176+G179+G182</f>
        <v>655.9</v>
      </c>
    </row>
    <row r="176" spans="1:10" ht="31.5" x14ac:dyDescent="0.25">
      <c r="A176" s="70" t="s">
        <v>649</v>
      </c>
      <c r="B176" s="360" t="s">
        <v>116</v>
      </c>
      <c r="C176" s="360" t="s">
        <v>132</v>
      </c>
      <c r="D176" s="360" t="s">
        <v>738</v>
      </c>
      <c r="E176" s="360"/>
      <c r="F176" s="311">
        <f t="shared" ref="F176:G177" si="30">F177</f>
        <v>440.8</v>
      </c>
      <c r="G176" s="311">
        <f t="shared" si="30"/>
        <v>440.8</v>
      </c>
    </row>
    <row r="177" spans="1:7" ht="31.5" x14ac:dyDescent="0.25">
      <c r="A177" s="22" t="s">
        <v>123</v>
      </c>
      <c r="B177" s="360" t="s">
        <v>116</v>
      </c>
      <c r="C177" s="360" t="s">
        <v>132</v>
      </c>
      <c r="D177" s="360" t="s">
        <v>738</v>
      </c>
      <c r="E177" s="360" t="s">
        <v>124</v>
      </c>
      <c r="F177" s="311">
        <f t="shared" si="30"/>
        <v>440.8</v>
      </c>
      <c r="G177" s="311">
        <f t="shared" si="30"/>
        <v>440.8</v>
      </c>
    </row>
    <row r="178" spans="1:7" ht="31.5" x14ac:dyDescent="0.25">
      <c r="A178" s="22" t="s">
        <v>125</v>
      </c>
      <c r="B178" s="360" t="s">
        <v>116</v>
      </c>
      <c r="C178" s="360" t="s">
        <v>132</v>
      </c>
      <c r="D178" s="360" t="s">
        <v>738</v>
      </c>
      <c r="E178" s="360" t="s">
        <v>126</v>
      </c>
      <c r="F178" s="311">
        <f>'Пр.4.1 ведом.23-24 '!G254</f>
        <v>440.8</v>
      </c>
      <c r="G178" s="311">
        <f>'Пр.4.1 ведом.23-24 '!H254</f>
        <v>440.8</v>
      </c>
    </row>
    <row r="179" spans="1:7" ht="31.5" x14ac:dyDescent="0.25">
      <c r="A179" s="31" t="s">
        <v>1016</v>
      </c>
      <c r="B179" s="360" t="s">
        <v>116</v>
      </c>
      <c r="C179" s="360" t="s">
        <v>132</v>
      </c>
      <c r="D179" s="360" t="s">
        <v>1049</v>
      </c>
      <c r="E179" s="360"/>
      <c r="F179" s="311">
        <f>F180</f>
        <v>215.1</v>
      </c>
      <c r="G179" s="311">
        <f>G180</f>
        <v>215.1</v>
      </c>
    </row>
    <row r="180" spans="1:7" ht="31.5" x14ac:dyDescent="0.25">
      <c r="A180" s="22" t="s">
        <v>123</v>
      </c>
      <c r="B180" s="360" t="s">
        <v>116</v>
      </c>
      <c r="C180" s="360" t="s">
        <v>132</v>
      </c>
      <c r="D180" s="360" t="s">
        <v>1049</v>
      </c>
      <c r="E180" s="360" t="s">
        <v>124</v>
      </c>
      <c r="F180" s="311">
        <f>F181</f>
        <v>215.1</v>
      </c>
      <c r="G180" s="311">
        <f>G181</f>
        <v>215.1</v>
      </c>
    </row>
    <row r="181" spans="1:7" ht="31.5" x14ac:dyDescent="0.25">
      <c r="A181" s="22" t="s">
        <v>125</v>
      </c>
      <c r="B181" s="360" t="s">
        <v>116</v>
      </c>
      <c r="C181" s="360" t="s">
        <v>132</v>
      </c>
      <c r="D181" s="360" t="s">
        <v>1049</v>
      </c>
      <c r="E181" s="360" t="s">
        <v>126</v>
      </c>
      <c r="F181" s="311">
        <f>'Пр.4.1 ведом.23-24 '!G257</f>
        <v>215.1</v>
      </c>
      <c r="G181" s="311">
        <f>'Пр.4.1 ведом.23-24 '!H257</f>
        <v>215.1</v>
      </c>
    </row>
    <row r="182" spans="1:7" ht="31.5" hidden="1" x14ac:dyDescent="0.25">
      <c r="A182" s="22" t="s">
        <v>1131</v>
      </c>
      <c r="B182" s="360" t="s">
        <v>116</v>
      </c>
      <c r="C182" s="360" t="s">
        <v>132</v>
      </c>
      <c r="D182" s="9" t="s">
        <v>1132</v>
      </c>
      <c r="E182" s="360"/>
      <c r="F182" s="311">
        <f>F183</f>
        <v>0</v>
      </c>
      <c r="G182" s="311">
        <f>G183</f>
        <v>0</v>
      </c>
    </row>
    <row r="183" spans="1:7" ht="31.5" hidden="1" x14ac:dyDescent="0.25">
      <c r="A183" s="22" t="s">
        <v>123</v>
      </c>
      <c r="B183" s="360" t="s">
        <v>116</v>
      </c>
      <c r="C183" s="360" t="s">
        <v>132</v>
      </c>
      <c r="D183" s="9" t="s">
        <v>1132</v>
      </c>
      <c r="E183" s="360" t="s">
        <v>124</v>
      </c>
      <c r="F183" s="311">
        <f>F184</f>
        <v>0</v>
      </c>
      <c r="G183" s="311">
        <f>G184</f>
        <v>0</v>
      </c>
    </row>
    <row r="184" spans="1:7" ht="31.5" hidden="1" x14ac:dyDescent="0.25">
      <c r="A184" s="22" t="s">
        <v>125</v>
      </c>
      <c r="B184" s="360" t="s">
        <v>116</v>
      </c>
      <c r="C184" s="360" t="s">
        <v>132</v>
      </c>
      <c r="D184" s="9" t="s">
        <v>1132</v>
      </c>
      <c r="E184" s="360" t="s">
        <v>126</v>
      </c>
      <c r="F184" s="311">
        <v>0</v>
      </c>
      <c r="G184" s="311">
        <v>0</v>
      </c>
    </row>
    <row r="185" spans="1:7" ht="47.25" x14ac:dyDescent="0.25">
      <c r="A185" s="315" t="s">
        <v>859</v>
      </c>
      <c r="B185" s="316" t="s">
        <v>116</v>
      </c>
      <c r="C185" s="316" t="s">
        <v>132</v>
      </c>
      <c r="D185" s="316" t="s">
        <v>206</v>
      </c>
      <c r="E185" s="316"/>
      <c r="F185" s="310">
        <f t="shared" ref="F185:G187" si="31">F186</f>
        <v>12</v>
      </c>
      <c r="G185" s="310">
        <f t="shared" si="31"/>
        <v>12</v>
      </c>
    </row>
    <row r="186" spans="1:7" ht="47.25" x14ac:dyDescent="0.25">
      <c r="A186" s="364" t="s">
        <v>634</v>
      </c>
      <c r="B186" s="365" t="s">
        <v>116</v>
      </c>
      <c r="C186" s="365" t="s">
        <v>132</v>
      </c>
      <c r="D186" s="365" t="s">
        <v>589</v>
      </c>
      <c r="E186" s="365"/>
      <c r="F186" s="311">
        <f t="shared" si="31"/>
        <v>12</v>
      </c>
      <c r="G186" s="311">
        <f t="shared" si="31"/>
        <v>12</v>
      </c>
    </row>
    <row r="187" spans="1:7" ht="31.5" x14ac:dyDescent="0.25">
      <c r="A187" s="364" t="s">
        <v>153</v>
      </c>
      <c r="B187" s="365" t="s">
        <v>116</v>
      </c>
      <c r="C187" s="365" t="s">
        <v>132</v>
      </c>
      <c r="D187" s="365" t="s">
        <v>589</v>
      </c>
      <c r="E187" s="365" t="s">
        <v>124</v>
      </c>
      <c r="F187" s="311">
        <f t="shared" si="31"/>
        <v>12</v>
      </c>
      <c r="G187" s="311">
        <f t="shared" si="31"/>
        <v>12</v>
      </c>
    </row>
    <row r="188" spans="1:7" ht="31.5" x14ac:dyDescent="0.25">
      <c r="A188" s="364" t="s">
        <v>125</v>
      </c>
      <c r="B188" s="365" t="s">
        <v>116</v>
      </c>
      <c r="C188" s="365" t="s">
        <v>132</v>
      </c>
      <c r="D188" s="365" t="s">
        <v>589</v>
      </c>
      <c r="E188" s="365" t="s">
        <v>126</v>
      </c>
      <c r="F188" s="311">
        <f>'Пр.4.1 ведом.23-24 '!G139</f>
        <v>12</v>
      </c>
      <c r="G188" s="311">
        <f>'Пр.4.1 ведом.23-24 '!H139</f>
        <v>12</v>
      </c>
    </row>
    <row r="189" spans="1:7" ht="47.25" x14ac:dyDescent="0.25">
      <c r="A189" s="315" t="s">
        <v>852</v>
      </c>
      <c r="B189" s="316" t="s">
        <v>116</v>
      </c>
      <c r="C189" s="316" t="s">
        <v>132</v>
      </c>
      <c r="D189" s="316" t="s">
        <v>209</v>
      </c>
      <c r="E189" s="316"/>
      <c r="F189" s="38">
        <f>F190</f>
        <v>120</v>
      </c>
      <c r="G189" s="38">
        <f>G190</f>
        <v>120</v>
      </c>
    </row>
    <row r="190" spans="1:7" ht="31.5" x14ac:dyDescent="0.25">
      <c r="A190" s="315" t="s">
        <v>610</v>
      </c>
      <c r="B190" s="316" t="s">
        <v>116</v>
      </c>
      <c r="C190" s="316" t="s">
        <v>132</v>
      </c>
      <c r="D190" s="316" t="s">
        <v>611</v>
      </c>
      <c r="E190" s="316"/>
      <c r="F190" s="38">
        <f>F191+F194+F197+F200+F203</f>
        <v>120</v>
      </c>
      <c r="G190" s="38">
        <f>G191+G194+G197+G200+G203</f>
        <v>120</v>
      </c>
    </row>
    <row r="191" spans="1:7" ht="31.5" x14ac:dyDescent="0.25">
      <c r="A191" s="69" t="s">
        <v>210</v>
      </c>
      <c r="B191" s="365" t="s">
        <v>116</v>
      </c>
      <c r="C191" s="365" t="s">
        <v>132</v>
      </c>
      <c r="D191" s="365" t="s">
        <v>612</v>
      </c>
      <c r="E191" s="365"/>
      <c r="F191" s="10">
        <f t="shared" ref="F191:G191" si="32">F192</f>
        <v>100</v>
      </c>
      <c r="G191" s="10">
        <f t="shared" si="32"/>
        <v>100</v>
      </c>
    </row>
    <row r="192" spans="1:7" ht="31.5" x14ac:dyDescent="0.25">
      <c r="A192" s="364" t="s">
        <v>123</v>
      </c>
      <c r="B192" s="365" t="s">
        <v>116</v>
      </c>
      <c r="C192" s="365" t="s">
        <v>132</v>
      </c>
      <c r="D192" s="365" t="s">
        <v>612</v>
      </c>
      <c r="E192" s="365" t="s">
        <v>124</v>
      </c>
      <c r="F192" s="10">
        <f>F193</f>
        <v>100</v>
      </c>
      <c r="G192" s="10">
        <f>G193</f>
        <v>100</v>
      </c>
    </row>
    <row r="193" spans="1:7" ht="31.5" x14ac:dyDescent="0.25">
      <c r="A193" s="364" t="s">
        <v>125</v>
      </c>
      <c r="B193" s="365" t="s">
        <v>116</v>
      </c>
      <c r="C193" s="365" t="s">
        <v>132</v>
      </c>
      <c r="D193" s="365" t="s">
        <v>612</v>
      </c>
      <c r="E193" s="365" t="s">
        <v>126</v>
      </c>
      <c r="F193" s="10">
        <f>'Пр.4.1 ведом.23-24 '!G615+'Пр.4.1 ведом.23-24 '!G850+'Пр.4.1 ведом.23-24 '!G265</f>
        <v>100</v>
      </c>
      <c r="G193" s="10">
        <f>'Пр.4.1 ведом.23-24 '!H615+'Пр.4.1 ведом.23-24 '!H850</f>
        <v>100</v>
      </c>
    </row>
    <row r="194" spans="1:7" ht="31.5" x14ac:dyDescent="0.25">
      <c r="A194" s="364" t="s">
        <v>211</v>
      </c>
      <c r="B194" s="365" t="s">
        <v>116</v>
      </c>
      <c r="C194" s="365" t="s">
        <v>132</v>
      </c>
      <c r="D194" s="365" t="s">
        <v>613</v>
      </c>
      <c r="E194" s="365"/>
      <c r="F194" s="10">
        <f>F195</f>
        <v>20</v>
      </c>
      <c r="G194" s="10">
        <f>G195</f>
        <v>20</v>
      </c>
    </row>
    <row r="195" spans="1:7" ht="31.5" x14ac:dyDescent="0.25">
      <c r="A195" s="364" t="s">
        <v>123</v>
      </c>
      <c r="B195" s="365" t="s">
        <v>116</v>
      </c>
      <c r="C195" s="365" t="s">
        <v>132</v>
      </c>
      <c r="D195" s="365" t="s">
        <v>613</v>
      </c>
      <c r="E195" s="365" t="s">
        <v>124</v>
      </c>
      <c r="F195" s="10">
        <f>F196</f>
        <v>20</v>
      </c>
      <c r="G195" s="10">
        <f>G196</f>
        <v>20</v>
      </c>
    </row>
    <row r="196" spans="1:7" ht="39.200000000000003" customHeight="1" x14ac:dyDescent="0.25">
      <c r="A196" s="364" t="s">
        <v>125</v>
      </c>
      <c r="B196" s="365" t="s">
        <v>116</v>
      </c>
      <c r="C196" s="365" t="s">
        <v>132</v>
      </c>
      <c r="D196" s="365" t="s">
        <v>613</v>
      </c>
      <c r="E196" s="365" t="s">
        <v>126</v>
      </c>
      <c r="F196" s="10">
        <f>'Пр.4.1 ведом.23-24 '!G268</f>
        <v>20</v>
      </c>
      <c r="G196" s="10">
        <f>'Пр.4.1 ведом.23-24 '!H268</f>
        <v>20</v>
      </c>
    </row>
    <row r="197" spans="1:7" ht="47.25" hidden="1" x14ac:dyDescent="0.25">
      <c r="A197" s="24" t="s">
        <v>351</v>
      </c>
      <c r="B197" s="365" t="s">
        <v>116</v>
      </c>
      <c r="C197" s="365" t="s">
        <v>132</v>
      </c>
      <c r="D197" s="365" t="s">
        <v>614</v>
      </c>
      <c r="E197" s="365"/>
      <c r="F197" s="10">
        <f t="shared" ref="F197:G197" si="33">F198</f>
        <v>0</v>
      </c>
      <c r="G197" s="10">
        <f t="shared" si="33"/>
        <v>0</v>
      </c>
    </row>
    <row r="198" spans="1:7" ht="31.5" hidden="1" x14ac:dyDescent="0.25">
      <c r="A198" s="364" t="s">
        <v>123</v>
      </c>
      <c r="B198" s="365" t="s">
        <v>116</v>
      </c>
      <c r="C198" s="365" t="s">
        <v>132</v>
      </c>
      <c r="D198" s="365" t="s">
        <v>614</v>
      </c>
      <c r="E198" s="365" t="s">
        <v>124</v>
      </c>
      <c r="F198" s="10">
        <f>F199</f>
        <v>0</v>
      </c>
      <c r="G198" s="10">
        <f>G199</f>
        <v>0</v>
      </c>
    </row>
    <row r="199" spans="1:7" ht="31.5" hidden="1" x14ac:dyDescent="0.25">
      <c r="A199" s="364" t="s">
        <v>125</v>
      </c>
      <c r="B199" s="365" t="s">
        <v>116</v>
      </c>
      <c r="C199" s="365" t="s">
        <v>132</v>
      </c>
      <c r="D199" s="365" t="s">
        <v>614</v>
      </c>
      <c r="E199" s="365" t="s">
        <v>126</v>
      </c>
      <c r="F199" s="10">
        <f>'Пр.4 ведом.22'!G270</f>
        <v>0</v>
      </c>
      <c r="G199" s="10">
        <f>'Пр.4 ведом.22'!H270</f>
        <v>0</v>
      </c>
    </row>
    <row r="200" spans="1:7" ht="15.75" hidden="1" x14ac:dyDescent="0.25">
      <c r="A200" s="364" t="s">
        <v>557</v>
      </c>
      <c r="B200" s="365" t="s">
        <v>116</v>
      </c>
      <c r="C200" s="365" t="s">
        <v>132</v>
      </c>
      <c r="D200" s="365" t="s">
        <v>615</v>
      </c>
      <c r="E200" s="365"/>
      <c r="F200" s="10">
        <f t="shared" ref="F200:G200" si="34">F201</f>
        <v>0</v>
      </c>
      <c r="G200" s="10">
        <f t="shared" si="34"/>
        <v>0</v>
      </c>
    </row>
    <row r="201" spans="1:7" ht="31.5" hidden="1" x14ac:dyDescent="0.25">
      <c r="A201" s="364" t="s">
        <v>123</v>
      </c>
      <c r="B201" s="365" t="s">
        <v>116</v>
      </c>
      <c r="C201" s="365" t="s">
        <v>132</v>
      </c>
      <c r="D201" s="365" t="s">
        <v>615</v>
      </c>
      <c r="E201" s="365" t="s">
        <v>124</v>
      </c>
      <c r="F201" s="10">
        <f>F202</f>
        <v>0</v>
      </c>
      <c r="G201" s="10">
        <f>G202</f>
        <v>0</v>
      </c>
    </row>
    <row r="202" spans="1:7" ht="31.5" hidden="1" x14ac:dyDescent="0.25">
      <c r="A202" s="364" t="s">
        <v>125</v>
      </c>
      <c r="B202" s="365" t="s">
        <v>116</v>
      </c>
      <c r="C202" s="365" t="s">
        <v>132</v>
      </c>
      <c r="D202" s="365" t="s">
        <v>615</v>
      </c>
      <c r="E202" s="365" t="s">
        <v>126</v>
      </c>
      <c r="F202" s="10">
        <f>'Пр.4 ведом.22'!G273</f>
        <v>0</v>
      </c>
      <c r="G202" s="10">
        <f>'Пр.4 ведом.22'!H273</f>
        <v>0</v>
      </c>
    </row>
    <row r="203" spans="1:7" ht="31.5" hidden="1" x14ac:dyDescent="0.25">
      <c r="A203" s="24" t="s">
        <v>352</v>
      </c>
      <c r="B203" s="365" t="s">
        <v>116</v>
      </c>
      <c r="C203" s="365" t="s">
        <v>132</v>
      </c>
      <c r="D203" s="365" t="s">
        <v>616</v>
      </c>
      <c r="E203" s="365"/>
      <c r="F203" s="10">
        <f>F204</f>
        <v>0</v>
      </c>
      <c r="G203" s="10">
        <f>G204</f>
        <v>0</v>
      </c>
    </row>
    <row r="204" spans="1:7" ht="31.5" hidden="1" x14ac:dyDescent="0.25">
      <c r="A204" s="364" t="s">
        <v>123</v>
      </c>
      <c r="B204" s="365" t="s">
        <v>116</v>
      </c>
      <c r="C204" s="365" t="s">
        <v>132</v>
      </c>
      <c r="D204" s="365" t="s">
        <v>616</v>
      </c>
      <c r="E204" s="365" t="s">
        <v>124</v>
      </c>
      <c r="F204" s="10">
        <f>F205</f>
        <v>0</v>
      </c>
      <c r="G204" s="10">
        <f>G205</f>
        <v>0</v>
      </c>
    </row>
    <row r="205" spans="1:7" ht="31.5" hidden="1" x14ac:dyDescent="0.25">
      <c r="A205" s="364" t="s">
        <v>125</v>
      </c>
      <c r="B205" s="365" t="s">
        <v>116</v>
      </c>
      <c r="C205" s="365" t="s">
        <v>132</v>
      </c>
      <c r="D205" s="365" t="s">
        <v>616</v>
      </c>
      <c r="E205" s="365" t="s">
        <v>126</v>
      </c>
      <c r="F205" s="10">
        <f>'Пр.4 ведом.22'!G276</f>
        <v>0</v>
      </c>
      <c r="G205" s="10">
        <f>'Пр.4 ведом.22'!H276</f>
        <v>0</v>
      </c>
    </row>
    <row r="206" spans="1:7" ht="47.25" x14ac:dyDescent="0.25">
      <c r="A206" s="359" t="s">
        <v>855</v>
      </c>
      <c r="B206" s="8" t="s">
        <v>116</v>
      </c>
      <c r="C206" s="8" t="s">
        <v>132</v>
      </c>
      <c r="D206" s="316" t="s">
        <v>339</v>
      </c>
      <c r="E206" s="323"/>
      <c r="F206" s="38">
        <f>F207+F211</f>
        <v>58</v>
      </c>
      <c r="G206" s="38">
        <f>G207+G211</f>
        <v>58</v>
      </c>
    </row>
    <row r="207" spans="1:7" ht="47.25" x14ac:dyDescent="0.25">
      <c r="A207" s="358" t="s">
        <v>422</v>
      </c>
      <c r="B207" s="316" t="s">
        <v>116</v>
      </c>
      <c r="C207" s="316" t="s">
        <v>132</v>
      </c>
      <c r="D207" s="316" t="s">
        <v>428</v>
      </c>
      <c r="E207" s="316"/>
      <c r="F207" s="38">
        <f>F208</f>
        <v>43</v>
      </c>
      <c r="G207" s="38">
        <f>G208</f>
        <v>43</v>
      </c>
    </row>
    <row r="208" spans="1:7" ht="39.75" customHeight="1" x14ac:dyDescent="0.25">
      <c r="A208" s="70" t="s">
        <v>355</v>
      </c>
      <c r="B208" s="365" t="s">
        <v>116</v>
      </c>
      <c r="C208" s="365" t="s">
        <v>132</v>
      </c>
      <c r="D208" s="365" t="s">
        <v>423</v>
      </c>
      <c r="E208" s="365"/>
      <c r="F208" s="10">
        <f t="shared" ref="F208:G209" si="35">F209</f>
        <v>43</v>
      </c>
      <c r="G208" s="10">
        <f t="shared" si="35"/>
        <v>43</v>
      </c>
    </row>
    <row r="209" spans="1:7" ht="31.5" x14ac:dyDescent="0.25">
      <c r="A209" s="364" t="s">
        <v>123</v>
      </c>
      <c r="B209" s="365" t="s">
        <v>116</v>
      </c>
      <c r="C209" s="365" t="s">
        <v>132</v>
      </c>
      <c r="D209" s="365" t="s">
        <v>423</v>
      </c>
      <c r="E209" s="365" t="s">
        <v>124</v>
      </c>
      <c r="F209" s="10">
        <f t="shared" si="35"/>
        <v>43</v>
      </c>
      <c r="G209" s="10">
        <f t="shared" si="35"/>
        <v>43</v>
      </c>
    </row>
    <row r="210" spans="1:7" ht="31.5" x14ac:dyDescent="0.25">
      <c r="A210" s="364" t="s">
        <v>125</v>
      </c>
      <c r="B210" s="365" t="s">
        <v>116</v>
      </c>
      <c r="C210" s="365" t="s">
        <v>132</v>
      </c>
      <c r="D210" s="365" t="s">
        <v>423</v>
      </c>
      <c r="E210" s="365" t="s">
        <v>126</v>
      </c>
      <c r="F210" s="10">
        <f>'Пр.4.1 ведом.23-24 '!G282+'Пр.4.1 ведом.23-24 '!G144</f>
        <v>43</v>
      </c>
      <c r="G210" s="10">
        <f>'Пр.4.1 ведом.23-24 '!H282+'Пр.4.1 ведом.23-24 '!H144</f>
        <v>43</v>
      </c>
    </row>
    <row r="211" spans="1:7" ht="31.5" x14ac:dyDescent="0.25">
      <c r="A211" s="322" t="s">
        <v>586</v>
      </c>
      <c r="B211" s="316" t="s">
        <v>116</v>
      </c>
      <c r="C211" s="316" t="s">
        <v>132</v>
      </c>
      <c r="D211" s="316" t="s">
        <v>429</v>
      </c>
      <c r="E211" s="323"/>
      <c r="F211" s="38">
        <f>F212</f>
        <v>15</v>
      </c>
      <c r="G211" s="38">
        <f>G212</f>
        <v>15</v>
      </c>
    </row>
    <row r="212" spans="1:7" ht="33" customHeight="1" x14ac:dyDescent="0.25">
      <c r="A212" s="70" t="s">
        <v>356</v>
      </c>
      <c r="B212" s="365" t="s">
        <v>116</v>
      </c>
      <c r="C212" s="365" t="s">
        <v>132</v>
      </c>
      <c r="D212" s="365" t="s">
        <v>424</v>
      </c>
      <c r="E212" s="319"/>
      <c r="F212" s="10">
        <f t="shared" ref="F212:G213" si="36">F213</f>
        <v>15</v>
      </c>
      <c r="G212" s="10">
        <f t="shared" si="36"/>
        <v>15</v>
      </c>
    </row>
    <row r="213" spans="1:7" ht="31.7" customHeight="1" x14ac:dyDescent="0.25">
      <c r="A213" s="364" t="s">
        <v>123</v>
      </c>
      <c r="B213" s="365" t="s">
        <v>116</v>
      </c>
      <c r="C213" s="365" t="s">
        <v>132</v>
      </c>
      <c r="D213" s="365" t="s">
        <v>424</v>
      </c>
      <c r="E213" s="319" t="s">
        <v>124</v>
      </c>
      <c r="F213" s="10">
        <f t="shared" si="36"/>
        <v>15</v>
      </c>
      <c r="G213" s="10">
        <f t="shared" si="36"/>
        <v>15</v>
      </c>
    </row>
    <row r="214" spans="1:7" ht="40.700000000000003" customHeight="1" x14ac:dyDescent="0.25">
      <c r="A214" s="364" t="s">
        <v>125</v>
      </c>
      <c r="B214" s="365" t="s">
        <v>116</v>
      </c>
      <c r="C214" s="365" t="s">
        <v>132</v>
      </c>
      <c r="D214" s="365" t="s">
        <v>424</v>
      </c>
      <c r="E214" s="319" t="s">
        <v>126</v>
      </c>
      <c r="F214" s="10">
        <f>'Пр.4.1 ведом.23-24 '!G148</f>
        <v>15</v>
      </c>
      <c r="G214" s="10">
        <f>'Пр.4.1 ведом.23-24 '!H148</f>
        <v>15</v>
      </c>
    </row>
    <row r="215" spans="1:7" ht="63" hidden="1" x14ac:dyDescent="0.25">
      <c r="A215" s="143" t="s">
        <v>977</v>
      </c>
      <c r="B215" s="316" t="s">
        <v>116</v>
      </c>
      <c r="C215" s="316" t="s">
        <v>132</v>
      </c>
      <c r="D215" s="316" t="s">
        <v>360</v>
      </c>
      <c r="E215" s="323"/>
      <c r="F215" s="38">
        <f>F217</f>
        <v>0</v>
      </c>
      <c r="G215" s="38">
        <f>G217</f>
        <v>0</v>
      </c>
    </row>
    <row r="216" spans="1:7" ht="31.5" hidden="1" x14ac:dyDescent="0.25">
      <c r="A216" s="315" t="s">
        <v>501</v>
      </c>
      <c r="B216" s="316" t="s">
        <v>116</v>
      </c>
      <c r="C216" s="316" t="s">
        <v>132</v>
      </c>
      <c r="D216" s="316" t="s">
        <v>583</v>
      </c>
      <c r="E216" s="323"/>
      <c r="F216" s="38">
        <f t="shared" ref="F216:G218" si="37">F217</f>
        <v>0</v>
      </c>
      <c r="G216" s="38">
        <f t="shared" si="37"/>
        <v>0</v>
      </c>
    </row>
    <row r="217" spans="1:7" ht="31.5" hidden="1" x14ac:dyDescent="0.25">
      <c r="A217" s="111" t="s">
        <v>368</v>
      </c>
      <c r="B217" s="365" t="s">
        <v>116</v>
      </c>
      <c r="C217" s="365" t="s">
        <v>132</v>
      </c>
      <c r="D217" s="365" t="s">
        <v>584</v>
      </c>
      <c r="E217" s="319"/>
      <c r="F217" s="10">
        <f t="shared" si="37"/>
        <v>0</v>
      </c>
      <c r="G217" s="10">
        <f t="shared" si="37"/>
        <v>0</v>
      </c>
    </row>
    <row r="218" spans="1:7" ht="31.5" hidden="1" x14ac:dyDescent="0.25">
      <c r="A218" s="111" t="s">
        <v>123</v>
      </c>
      <c r="B218" s="365" t="s">
        <v>116</v>
      </c>
      <c r="C218" s="365" t="s">
        <v>132</v>
      </c>
      <c r="D218" s="365" t="s">
        <v>584</v>
      </c>
      <c r="E218" s="319" t="s">
        <v>124</v>
      </c>
      <c r="F218" s="10">
        <f t="shared" si="37"/>
        <v>0</v>
      </c>
      <c r="G218" s="10">
        <f t="shared" si="37"/>
        <v>0</v>
      </c>
    </row>
    <row r="219" spans="1:7" ht="31.5" hidden="1" x14ac:dyDescent="0.25">
      <c r="A219" s="111" t="s">
        <v>125</v>
      </c>
      <c r="B219" s="365" t="s">
        <v>116</v>
      </c>
      <c r="C219" s="365" t="s">
        <v>132</v>
      </c>
      <c r="D219" s="365" t="s">
        <v>584</v>
      </c>
      <c r="E219" s="319" t="s">
        <v>126</v>
      </c>
      <c r="F219" s="10">
        <f>'Пр.4 ведом.22'!G591</f>
        <v>0</v>
      </c>
      <c r="G219" s="10">
        <f>'Пр.4 ведом.22'!H591</f>
        <v>0</v>
      </c>
    </row>
    <row r="220" spans="1:7" ht="78.75" x14ac:dyDescent="0.25">
      <c r="A220" s="359" t="s">
        <v>872</v>
      </c>
      <c r="B220" s="8" t="s">
        <v>116</v>
      </c>
      <c r="C220" s="8" t="s">
        <v>132</v>
      </c>
      <c r="D220" s="395" t="s">
        <v>395</v>
      </c>
      <c r="E220" s="8"/>
      <c r="F220" s="38">
        <f t="shared" ref="F220:G223" si="38">F221</f>
        <v>45</v>
      </c>
      <c r="G220" s="38">
        <f t="shared" si="38"/>
        <v>45</v>
      </c>
    </row>
    <row r="221" spans="1:7" ht="47.25" x14ac:dyDescent="0.25">
      <c r="A221" s="139" t="s">
        <v>430</v>
      </c>
      <c r="B221" s="8" t="s">
        <v>116</v>
      </c>
      <c r="C221" s="8" t="s">
        <v>132</v>
      </c>
      <c r="D221" s="122" t="s">
        <v>630</v>
      </c>
      <c r="E221" s="8"/>
      <c r="F221" s="38">
        <f t="shared" si="38"/>
        <v>45</v>
      </c>
      <c r="G221" s="38">
        <f t="shared" si="38"/>
        <v>45</v>
      </c>
    </row>
    <row r="222" spans="1:7" ht="31.5" x14ac:dyDescent="0.25">
      <c r="A222" s="69" t="s">
        <v>145</v>
      </c>
      <c r="B222" s="9" t="s">
        <v>116</v>
      </c>
      <c r="C222" s="9" t="s">
        <v>132</v>
      </c>
      <c r="D222" s="5" t="s">
        <v>431</v>
      </c>
      <c r="E222" s="9"/>
      <c r="F222" s="10">
        <f t="shared" si="38"/>
        <v>45</v>
      </c>
      <c r="G222" s="10">
        <f t="shared" si="38"/>
        <v>45</v>
      </c>
    </row>
    <row r="223" spans="1:7" ht="31.5" x14ac:dyDescent="0.25">
      <c r="A223" s="364" t="s">
        <v>123</v>
      </c>
      <c r="B223" s="9" t="s">
        <v>116</v>
      </c>
      <c r="C223" s="9" t="s">
        <v>132</v>
      </c>
      <c r="D223" s="5" t="s">
        <v>431</v>
      </c>
      <c r="E223" s="9" t="s">
        <v>124</v>
      </c>
      <c r="F223" s="10">
        <f t="shared" si="38"/>
        <v>45</v>
      </c>
      <c r="G223" s="10">
        <f t="shared" si="38"/>
        <v>45</v>
      </c>
    </row>
    <row r="224" spans="1:7" ht="31.5" x14ac:dyDescent="0.25">
      <c r="A224" s="364" t="s">
        <v>125</v>
      </c>
      <c r="B224" s="9" t="s">
        <v>116</v>
      </c>
      <c r="C224" s="9" t="s">
        <v>132</v>
      </c>
      <c r="D224" s="5" t="s">
        <v>431</v>
      </c>
      <c r="E224" s="9" t="s">
        <v>126</v>
      </c>
      <c r="F224" s="10">
        <f>'Пр.4.1 ведом.23-24 '!G153</f>
        <v>45</v>
      </c>
      <c r="G224" s="10">
        <f>'Пр.4.1 ведом.23-24 '!H153</f>
        <v>45</v>
      </c>
    </row>
    <row r="225" spans="1:7" ht="63" x14ac:dyDescent="0.25">
      <c r="A225" s="359" t="s">
        <v>1317</v>
      </c>
      <c r="B225" s="8" t="s">
        <v>116</v>
      </c>
      <c r="C225" s="8" t="s">
        <v>132</v>
      </c>
      <c r="D225" s="122" t="s">
        <v>1307</v>
      </c>
      <c r="E225" s="8"/>
      <c r="F225" s="38">
        <f t="shared" ref="F225:G228" si="39">F226</f>
        <v>30</v>
      </c>
      <c r="G225" s="38">
        <f t="shared" si="39"/>
        <v>30</v>
      </c>
    </row>
    <row r="226" spans="1:7" ht="47.25" x14ac:dyDescent="0.25">
      <c r="A226" s="359" t="s">
        <v>1318</v>
      </c>
      <c r="B226" s="8" t="s">
        <v>116</v>
      </c>
      <c r="C226" s="8" t="s">
        <v>132</v>
      </c>
      <c r="D226" s="122" t="s">
        <v>1308</v>
      </c>
      <c r="E226" s="8"/>
      <c r="F226" s="38">
        <f t="shared" si="39"/>
        <v>30</v>
      </c>
      <c r="G226" s="38">
        <f t="shared" si="39"/>
        <v>30</v>
      </c>
    </row>
    <row r="227" spans="1:7" ht="31.5" x14ac:dyDescent="0.25">
      <c r="A227" s="364" t="s">
        <v>1319</v>
      </c>
      <c r="B227" s="9" t="s">
        <v>116</v>
      </c>
      <c r="C227" s="9" t="s">
        <v>132</v>
      </c>
      <c r="D227" s="5" t="s">
        <v>1312</v>
      </c>
      <c r="E227" s="9"/>
      <c r="F227" s="10">
        <f t="shared" si="39"/>
        <v>30</v>
      </c>
      <c r="G227" s="10">
        <f t="shared" si="39"/>
        <v>30</v>
      </c>
    </row>
    <row r="228" spans="1:7" ht="31.5" x14ac:dyDescent="0.25">
      <c r="A228" s="560" t="s">
        <v>177</v>
      </c>
      <c r="B228" s="9" t="s">
        <v>116</v>
      </c>
      <c r="C228" s="9" t="s">
        <v>132</v>
      </c>
      <c r="D228" s="5" t="s">
        <v>1312</v>
      </c>
      <c r="E228" s="9" t="s">
        <v>178</v>
      </c>
      <c r="F228" s="10">
        <f t="shared" si="39"/>
        <v>30</v>
      </c>
      <c r="G228" s="10">
        <f t="shared" si="39"/>
        <v>30</v>
      </c>
    </row>
    <row r="229" spans="1:7" ht="15.75" x14ac:dyDescent="0.25">
      <c r="A229" s="364" t="s">
        <v>1320</v>
      </c>
      <c r="B229" s="9" t="s">
        <v>116</v>
      </c>
      <c r="C229" s="9" t="s">
        <v>132</v>
      </c>
      <c r="D229" s="5" t="s">
        <v>1312</v>
      </c>
      <c r="E229" s="9" t="s">
        <v>1310</v>
      </c>
      <c r="F229" s="10">
        <f>'Пр.4.1 ведом.23-24 '!G158</f>
        <v>30</v>
      </c>
      <c r="G229" s="10">
        <f>'Пр.4.1 ведом.23-24 '!H158</f>
        <v>30</v>
      </c>
    </row>
    <row r="230" spans="1:7" ht="63" x14ac:dyDescent="0.25">
      <c r="A230" s="359" t="s">
        <v>873</v>
      </c>
      <c r="B230" s="8" t="s">
        <v>116</v>
      </c>
      <c r="C230" s="8" t="s">
        <v>132</v>
      </c>
      <c r="D230" s="122" t="s">
        <v>396</v>
      </c>
      <c r="E230" s="8"/>
      <c r="F230" s="310">
        <f>F231</f>
        <v>80</v>
      </c>
      <c r="G230" s="310">
        <f>G231</f>
        <v>80</v>
      </c>
    </row>
    <row r="231" spans="1:7" ht="31.5" x14ac:dyDescent="0.25">
      <c r="A231" s="37" t="s">
        <v>432</v>
      </c>
      <c r="B231" s="8" t="s">
        <v>116</v>
      </c>
      <c r="C231" s="8" t="s">
        <v>132</v>
      </c>
      <c r="D231" s="122" t="s">
        <v>440</v>
      </c>
      <c r="E231" s="8"/>
      <c r="F231" s="310">
        <f t="shared" ref="F231:G232" si="40">F232</f>
        <v>80</v>
      </c>
      <c r="G231" s="310">
        <f t="shared" si="40"/>
        <v>80</v>
      </c>
    </row>
    <row r="232" spans="1:7" ht="15.75" x14ac:dyDescent="0.25">
      <c r="A232" s="31" t="s">
        <v>400</v>
      </c>
      <c r="B232" s="9" t="s">
        <v>116</v>
      </c>
      <c r="C232" s="9" t="s">
        <v>132</v>
      </c>
      <c r="D232" s="5" t="s">
        <v>433</v>
      </c>
      <c r="E232" s="9"/>
      <c r="F232" s="255">
        <f t="shared" si="40"/>
        <v>80</v>
      </c>
      <c r="G232" s="255">
        <f t="shared" si="40"/>
        <v>80</v>
      </c>
    </row>
    <row r="233" spans="1:7" ht="39.75" customHeight="1" x14ac:dyDescent="0.25">
      <c r="A233" s="364" t="s">
        <v>123</v>
      </c>
      <c r="B233" s="9" t="s">
        <v>116</v>
      </c>
      <c r="C233" s="9" t="s">
        <v>132</v>
      </c>
      <c r="D233" s="5" t="s">
        <v>433</v>
      </c>
      <c r="E233" s="9" t="s">
        <v>124</v>
      </c>
      <c r="F233" s="255">
        <f>F234</f>
        <v>80</v>
      </c>
      <c r="G233" s="255">
        <f>G234</f>
        <v>80</v>
      </c>
    </row>
    <row r="234" spans="1:7" ht="31.5" x14ac:dyDescent="0.25">
      <c r="A234" s="364" t="s">
        <v>125</v>
      </c>
      <c r="B234" s="9" t="s">
        <v>116</v>
      </c>
      <c r="C234" s="9" t="s">
        <v>132</v>
      </c>
      <c r="D234" s="5" t="s">
        <v>433</v>
      </c>
      <c r="E234" s="9" t="s">
        <v>126</v>
      </c>
      <c r="F234" s="311">
        <f>'Пр.4.1 ведом.23-24 '!G163</f>
        <v>80</v>
      </c>
      <c r="G234" s="311">
        <f>'Пр.4.1 ведом.23-24 '!H163</f>
        <v>80</v>
      </c>
    </row>
    <row r="235" spans="1:7" ht="15.75" hidden="1" x14ac:dyDescent="0.25">
      <c r="A235" s="315" t="s">
        <v>157</v>
      </c>
      <c r="B235" s="316" t="s">
        <v>158</v>
      </c>
      <c r="C235" s="316"/>
      <c r="D235" s="316"/>
      <c r="E235" s="316"/>
      <c r="F235" s="310">
        <f t="shared" ref="F235:G240" si="41">F236</f>
        <v>0</v>
      </c>
      <c r="G235" s="310">
        <f t="shared" si="41"/>
        <v>0</v>
      </c>
    </row>
    <row r="236" spans="1:7" ht="19.5" hidden="1" customHeight="1" x14ac:dyDescent="0.25">
      <c r="A236" s="315" t="s">
        <v>160</v>
      </c>
      <c r="B236" s="316" t="s">
        <v>158</v>
      </c>
      <c r="C236" s="316" t="s">
        <v>161</v>
      </c>
      <c r="D236" s="316"/>
      <c r="E236" s="316"/>
      <c r="F236" s="310">
        <f t="shared" si="41"/>
        <v>0</v>
      </c>
      <c r="G236" s="310">
        <f t="shared" si="41"/>
        <v>0</v>
      </c>
    </row>
    <row r="237" spans="1:7" ht="15.75" hidden="1" x14ac:dyDescent="0.25">
      <c r="A237" s="315" t="s">
        <v>133</v>
      </c>
      <c r="B237" s="316" t="s">
        <v>158</v>
      </c>
      <c r="C237" s="316" t="s">
        <v>161</v>
      </c>
      <c r="D237" s="316" t="s">
        <v>442</v>
      </c>
      <c r="E237" s="316"/>
      <c r="F237" s="310">
        <f t="shared" si="41"/>
        <v>0</v>
      </c>
      <c r="G237" s="310">
        <f t="shared" si="41"/>
        <v>0</v>
      </c>
    </row>
    <row r="238" spans="1:7" ht="31.5" hidden="1" x14ac:dyDescent="0.25">
      <c r="A238" s="315" t="s">
        <v>446</v>
      </c>
      <c r="B238" s="316" t="s">
        <v>158</v>
      </c>
      <c r="C238" s="316" t="s">
        <v>161</v>
      </c>
      <c r="D238" s="316" t="s">
        <v>441</v>
      </c>
      <c r="E238" s="316"/>
      <c r="F238" s="310">
        <f t="shared" si="41"/>
        <v>0</v>
      </c>
      <c r="G238" s="310">
        <f t="shared" si="41"/>
        <v>0</v>
      </c>
    </row>
    <row r="239" spans="1:7" ht="15.75" hidden="1" x14ac:dyDescent="0.25">
      <c r="A239" s="364" t="s">
        <v>162</v>
      </c>
      <c r="B239" s="365" t="s">
        <v>158</v>
      </c>
      <c r="C239" s="365" t="s">
        <v>161</v>
      </c>
      <c r="D239" s="365" t="s">
        <v>447</v>
      </c>
      <c r="E239" s="365"/>
      <c r="F239" s="311">
        <f t="shared" si="41"/>
        <v>0</v>
      </c>
      <c r="G239" s="311">
        <f t="shared" si="41"/>
        <v>0</v>
      </c>
    </row>
    <row r="240" spans="1:7" ht="31.5" hidden="1" x14ac:dyDescent="0.25">
      <c r="A240" s="364" t="s">
        <v>153</v>
      </c>
      <c r="B240" s="365" t="s">
        <v>158</v>
      </c>
      <c r="C240" s="365" t="s">
        <v>161</v>
      </c>
      <c r="D240" s="365" t="s">
        <v>447</v>
      </c>
      <c r="E240" s="365" t="s">
        <v>124</v>
      </c>
      <c r="F240" s="311">
        <f t="shared" si="41"/>
        <v>0</v>
      </c>
      <c r="G240" s="311">
        <f t="shared" si="41"/>
        <v>0</v>
      </c>
    </row>
    <row r="241" spans="1:10" ht="31.5" hidden="1" x14ac:dyDescent="0.25">
      <c r="A241" s="364" t="s">
        <v>125</v>
      </c>
      <c r="B241" s="365" t="s">
        <v>158</v>
      </c>
      <c r="C241" s="365" t="s">
        <v>161</v>
      </c>
      <c r="D241" s="365" t="s">
        <v>447</v>
      </c>
      <c r="E241" s="365" t="s">
        <v>126</v>
      </c>
      <c r="F241" s="311">
        <f>'Пр.4 ведом.22'!G169</f>
        <v>0</v>
      </c>
      <c r="G241" s="311">
        <f>'Пр.4 ведом.22'!H169</f>
        <v>0</v>
      </c>
    </row>
    <row r="242" spans="1:10" ht="31.5" x14ac:dyDescent="0.25">
      <c r="A242" s="315" t="s">
        <v>163</v>
      </c>
      <c r="B242" s="316" t="s">
        <v>159</v>
      </c>
      <c r="C242" s="316"/>
      <c r="D242" s="316"/>
      <c r="E242" s="316"/>
      <c r="F242" s="310">
        <f t="shared" ref="F242:G242" si="42">F243</f>
        <v>8292.1999999999989</v>
      </c>
      <c r="G242" s="310">
        <f t="shared" si="42"/>
        <v>8292.1999999999989</v>
      </c>
    </row>
    <row r="243" spans="1:10" ht="47.25" x14ac:dyDescent="0.25">
      <c r="A243" s="315" t="s">
        <v>848</v>
      </c>
      <c r="B243" s="316" t="s">
        <v>159</v>
      </c>
      <c r="C243" s="316" t="s">
        <v>174</v>
      </c>
      <c r="D243" s="365"/>
      <c r="E243" s="365"/>
      <c r="F243" s="310">
        <f>F244+F262</f>
        <v>8292.1999999999989</v>
      </c>
      <c r="G243" s="310">
        <f>G244+G262</f>
        <v>8292.1999999999989</v>
      </c>
      <c r="H243" s="74"/>
      <c r="I243" s="74"/>
      <c r="J243" s="74"/>
    </row>
    <row r="244" spans="1:10" ht="15.75" x14ac:dyDescent="0.25">
      <c r="A244" s="315" t="s">
        <v>133</v>
      </c>
      <c r="B244" s="316" t="s">
        <v>159</v>
      </c>
      <c r="C244" s="316" t="s">
        <v>174</v>
      </c>
      <c r="D244" s="316" t="s">
        <v>442</v>
      </c>
      <c r="E244" s="316"/>
      <c r="F244" s="310">
        <f>F245+F252</f>
        <v>8292.1999999999989</v>
      </c>
      <c r="G244" s="310">
        <f>G245+G252</f>
        <v>8292.1999999999989</v>
      </c>
    </row>
    <row r="245" spans="1:10" ht="31.5" x14ac:dyDescent="0.25">
      <c r="A245" s="315" t="s">
        <v>446</v>
      </c>
      <c r="B245" s="316" t="s">
        <v>159</v>
      </c>
      <c r="C245" s="316" t="s">
        <v>174</v>
      </c>
      <c r="D245" s="316" t="s">
        <v>441</v>
      </c>
      <c r="E245" s="316"/>
      <c r="F245" s="310">
        <f>F246+F249</f>
        <v>1588.8</v>
      </c>
      <c r="G245" s="310">
        <f>G246+G249</f>
        <v>1588.8</v>
      </c>
    </row>
    <row r="246" spans="1:10" ht="47.25" x14ac:dyDescent="0.25">
      <c r="A246" s="364" t="s">
        <v>164</v>
      </c>
      <c r="B246" s="365" t="s">
        <v>159</v>
      </c>
      <c r="C246" s="365" t="s">
        <v>174</v>
      </c>
      <c r="D246" s="365" t="s">
        <v>451</v>
      </c>
      <c r="E246" s="365"/>
      <c r="F246" s="311">
        <f t="shared" ref="F246:G247" si="43">F247</f>
        <v>1284.8</v>
      </c>
      <c r="G246" s="311">
        <f t="shared" si="43"/>
        <v>1284.8</v>
      </c>
    </row>
    <row r="247" spans="1:10" ht="31.5" x14ac:dyDescent="0.25">
      <c r="A247" s="364" t="s">
        <v>153</v>
      </c>
      <c r="B247" s="365" t="s">
        <v>159</v>
      </c>
      <c r="C247" s="365" t="s">
        <v>174</v>
      </c>
      <c r="D247" s="365" t="s">
        <v>451</v>
      </c>
      <c r="E247" s="365" t="s">
        <v>124</v>
      </c>
      <c r="F247" s="311">
        <f t="shared" si="43"/>
        <v>1284.8</v>
      </c>
      <c r="G247" s="311">
        <f t="shared" si="43"/>
        <v>1284.8</v>
      </c>
    </row>
    <row r="248" spans="1:10" ht="31.5" x14ac:dyDescent="0.25">
      <c r="A248" s="364" t="s">
        <v>125</v>
      </c>
      <c r="B248" s="365" t="s">
        <v>159</v>
      </c>
      <c r="C248" s="365" t="s">
        <v>174</v>
      </c>
      <c r="D248" s="365" t="s">
        <v>451</v>
      </c>
      <c r="E248" s="365" t="s">
        <v>126</v>
      </c>
      <c r="F248" s="258">
        <f>'Пр.4.1 ведом.23-24 '!G177</f>
        <v>1284.8</v>
      </c>
      <c r="G248" s="258">
        <f>'Пр.4.1 ведом.23-24 '!H177</f>
        <v>1284.8</v>
      </c>
    </row>
    <row r="249" spans="1:10" ht="15.75" x14ac:dyDescent="0.25">
      <c r="A249" s="364" t="s">
        <v>165</v>
      </c>
      <c r="B249" s="365" t="s">
        <v>159</v>
      </c>
      <c r="C249" s="365" t="s">
        <v>174</v>
      </c>
      <c r="D249" s="365" t="s">
        <v>452</v>
      </c>
      <c r="E249" s="365"/>
      <c r="F249" s="258">
        <f t="shared" ref="F249:G250" si="44">F250</f>
        <v>304</v>
      </c>
      <c r="G249" s="258">
        <f t="shared" si="44"/>
        <v>304</v>
      </c>
    </row>
    <row r="250" spans="1:10" ht="31.5" x14ac:dyDescent="0.25">
      <c r="A250" s="364" t="s">
        <v>153</v>
      </c>
      <c r="B250" s="365" t="s">
        <v>159</v>
      </c>
      <c r="C250" s="365" t="s">
        <v>174</v>
      </c>
      <c r="D250" s="365" t="s">
        <v>452</v>
      </c>
      <c r="E250" s="365" t="s">
        <v>124</v>
      </c>
      <c r="F250" s="258">
        <f t="shared" si="44"/>
        <v>304</v>
      </c>
      <c r="G250" s="258">
        <f t="shared" si="44"/>
        <v>304</v>
      </c>
    </row>
    <row r="251" spans="1:10" ht="31.5" x14ac:dyDescent="0.25">
      <c r="A251" s="364" t="s">
        <v>125</v>
      </c>
      <c r="B251" s="365" t="s">
        <v>159</v>
      </c>
      <c r="C251" s="365" t="s">
        <v>174</v>
      </c>
      <c r="D251" s="365" t="s">
        <v>452</v>
      </c>
      <c r="E251" s="365" t="s">
        <v>126</v>
      </c>
      <c r="F251" s="258">
        <f>'Пр.4.1 ведом.23-24 '!G180+'Пр.4.1 ведом.23-24 '!G964</f>
        <v>304</v>
      </c>
      <c r="G251" s="258">
        <f>'Пр.4.1 ведом.23-24 '!H180+'Пр.4.1 ведом.23-24 '!H964</f>
        <v>304</v>
      </c>
      <c r="H251" s="258"/>
    </row>
    <row r="252" spans="1:10" ht="31.5" x14ac:dyDescent="0.25">
      <c r="A252" s="315" t="s">
        <v>494</v>
      </c>
      <c r="B252" s="316" t="s">
        <v>159</v>
      </c>
      <c r="C252" s="316" t="s">
        <v>174</v>
      </c>
      <c r="D252" s="316" t="s">
        <v>448</v>
      </c>
      <c r="E252" s="316"/>
      <c r="F252" s="310">
        <f>F253+F258</f>
        <v>6703.4</v>
      </c>
      <c r="G252" s="310">
        <f>G253+G258</f>
        <v>6703.4</v>
      </c>
    </row>
    <row r="253" spans="1:10" ht="31.5" x14ac:dyDescent="0.25">
      <c r="A253" s="364" t="s">
        <v>498</v>
      </c>
      <c r="B253" s="365" t="s">
        <v>159</v>
      </c>
      <c r="C253" s="365" t="s">
        <v>174</v>
      </c>
      <c r="D253" s="365" t="s">
        <v>449</v>
      </c>
      <c r="E253" s="365"/>
      <c r="F253" s="255">
        <f>F254+F256</f>
        <v>6445.4</v>
      </c>
      <c r="G253" s="255">
        <f>G254+G256</f>
        <v>6445.4</v>
      </c>
    </row>
    <row r="254" spans="1:10" ht="78.75" x14ac:dyDescent="0.25">
      <c r="A254" s="364" t="s">
        <v>119</v>
      </c>
      <c r="B254" s="365" t="s">
        <v>159</v>
      </c>
      <c r="C254" s="365" t="s">
        <v>174</v>
      </c>
      <c r="D254" s="365" t="s">
        <v>449</v>
      </c>
      <c r="E254" s="365" t="s">
        <v>120</v>
      </c>
      <c r="F254" s="255">
        <f>F255</f>
        <v>6282.4</v>
      </c>
      <c r="G254" s="255">
        <f>G255</f>
        <v>6282.4</v>
      </c>
    </row>
    <row r="255" spans="1:10" ht="15.75" x14ac:dyDescent="0.25">
      <c r="A255" s="364" t="s">
        <v>155</v>
      </c>
      <c r="B255" s="365" t="s">
        <v>159</v>
      </c>
      <c r="C255" s="365" t="s">
        <v>174</v>
      </c>
      <c r="D255" s="365" t="s">
        <v>449</v>
      </c>
      <c r="E255" s="365" t="s">
        <v>156</v>
      </c>
      <c r="F255" s="311">
        <f>'Пр.4.1 ведом.23-24 '!G184</f>
        <v>6282.4</v>
      </c>
      <c r="G255" s="311">
        <f>'Пр.4.1 ведом.23-24 '!H184</f>
        <v>6282.4</v>
      </c>
    </row>
    <row r="256" spans="1:10" ht="31.5" x14ac:dyDescent="0.25">
      <c r="A256" s="364" t="s">
        <v>153</v>
      </c>
      <c r="B256" s="365" t="s">
        <v>159</v>
      </c>
      <c r="C256" s="365" t="s">
        <v>174</v>
      </c>
      <c r="D256" s="365" t="s">
        <v>449</v>
      </c>
      <c r="E256" s="365" t="s">
        <v>124</v>
      </c>
      <c r="F256" s="311">
        <f>F257</f>
        <v>163</v>
      </c>
      <c r="G256" s="311">
        <f>G257</f>
        <v>163</v>
      </c>
    </row>
    <row r="257" spans="1:12" ht="31.5" x14ac:dyDescent="0.25">
      <c r="A257" s="364" t="s">
        <v>125</v>
      </c>
      <c r="B257" s="365" t="s">
        <v>159</v>
      </c>
      <c r="C257" s="365" t="s">
        <v>174</v>
      </c>
      <c r="D257" s="365" t="s">
        <v>449</v>
      </c>
      <c r="E257" s="365" t="s">
        <v>126</v>
      </c>
      <c r="F257" s="311">
        <f>'Пр.4.1 ведом.23-24 '!G186</f>
        <v>163</v>
      </c>
      <c r="G257" s="311">
        <f>'Пр.4.1 ведом.23-24 '!H186</f>
        <v>163</v>
      </c>
    </row>
    <row r="258" spans="1:12" ht="47.25" x14ac:dyDescent="0.25">
      <c r="A258" s="364" t="s">
        <v>416</v>
      </c>
      <c r="B258" s="365" t="s">
        <v>159</v>
      </c>
      <c r="C258" s="365" t="s">
        <v>174</v>
      </c>
      <c r="D258" s="365" t="s">
        <v>450</v>
      </c>
      <c r="E258" s="365"/>
      <c r="F258" s="311">
        <f t="shared" ref="F258:G258" si="45">F259</f>
        <v>258</v>
      </c>
      <c r="G258" s="311">
        <f t="shared" si="45"/>
        <v>258</v>
      </c>
    </row>
    <row r="259" spans="1:12" ht="78.75" x14ac:dyDescent="0.25">
      <c r="A259" s="364" t="s">
        <v>119</v>
      </c>
      <c r="B259" s="365" t="s">
        <v>159</v>
      </c>
      <c r="C259" s="365" t="s">
        <v>174</v>
      </c>
      <c r="D259" s="365" t="s">
        <v>450</v>
      </c>
      <c r="E259" s="365" t="s">
        <v>120</v>
      </c>
      <c r="F259" s="311">
        <f>F260</f>
        <v>258</v>
      </c>
      <c r="G259" s="311">
        <f>G260</f>
        <v>258</v>
      </c>
    </row>
    <row r="260" spans="1:12" ht="15.75" x14ac:dyDescent="0.25">
      <c r="A260" s="364" t="s">
        <v>155</v>
      </c>
      <c r="B260" s="365" t="s">
        <v>159</v>
      </c>
      <c r="C260" s="365" t="s">
        <v>174</v>
      </c>
      <c r="D260" s="365" t="s">
        <v>450</v>
      </c>
      <c r="E260" s="365" t="s">
        <v>156</v>
      </c>
      <c r="F260" s="311">
        <f>'Пр.4.1 ведом.23-24 '!G189</f>
        <v>258</v>
      </c>
      <c r="G260" s="311">
        <f>'Пр.4.1 ведом.23-24 '!H189</f>
        <v>258</v>
      </c>
    </row>
    <row r="261" spans="1:12" ht="47.25" hidden="1" x14ac:dyDescent="0.25">
      <c r="A261" s="359" t="s">
        <v>855</v>
      </c>
      <c r="B261" s="8" t="s">
        <v>116</v>
      </c>
      <c r="C261" s="8" t="s">
        <v>132</v>
      </c>
      <c r="D261" s="316" t="s">
        <v>339</v>
      </c>
      <c r="E261" s="365"/>
      <c r="F261" s="310">
        <f>F262</f>
        <v>0</v>
      </c>
      <c r="G261" s="310">
        <f>G262</f>
        <v>0</v>
      </c>
    </row>
    <row r="262" spans="1:12" ht="31.5" hidden="1" x14ac:dyDescent="0.25">
      <c r="A262" s="315" t="s">
        <v>1017</v>
      </c>
      <c r="B262" s="316" t="s">
        <v>159</v>
      </c>
      <c r="C262" s="316" t="s">
        <v>174</v>
      </c>
      <c r="D262" s="316" t="s">
        <v>1018</v>
      </c>
      <c r="E262" s="323"/>
      <c r="F262" s="310">
        <f>F263+F266</f>
        <v>0</v>
      </c>
      <c r="G262" s="310">
        <f>G263+G266</f>
        <v>0</v>
      </c>
    </row>
    <row r="263" spans="1:12" ht="15.75" hidden="1" x14ac:dyDescent="0.25">
      <c r="A263" s="364" t="s">
        <v>165</v>
      </c>
      <c r="B263" s="365" t="s">
        <v>159</v>
      </c>
      <c r="C263" s="365" t="s">
        <v>174</v>
      </c>
      <c r="D263" s="365" t="s">
        <v>1019</v>
      </c>
      <c r="E263" s="319"/>
      <c r="F263" s="311">
        <f>F264</f>
        <v>0</v>
      </c>
      <c r="G263" s="311">
        <f>G264</f>
        <v>0</v>
      </c>
    </row>
    <row r="264" spans="1:12" ht="31.5" hidden="1" x14ac:dyDescent="0.25">
      <c r="A264" s="364" t="s">
        <v>123</v>
      </c>
      <c r="B264" s="365" t="s">
        <v>159</v>
      </c>
      <c r="C264" s="365" t="s">
        <v>174</v>
      </c>
      <c r="D264" s="365" t="s">
        <v>1019</v>
      </c>
      <c r="E264" s="319" t="s">
        <v>124</v>
      </c>
      <c r="F264" s="311">
        <f>F265</f>
        <v>0</v>
      </c>
      <c r="G264" s="311">
        <f>G265</f>
        <v>0</v>
      </c>
    </row>
    <row r="265" spans="1:12" ht="31.5" hidden="1" x14ac:dyDescent="0.25">
      <c r="A265" s="364" t="s">
        <v>125</v>
      </c>
      <c r="B265" s="365" t="s">
        <v>159</v>
      </c>
      <c r="C265" s="365" t="s">
        <v>174</v>
      </c>
      <c r="D265" s="365" t="s">
        <v>1019</v>
      </c>
      <c r="E265" s="319" t="s">
        <v>126</v>
      </c>
      <c r="F265" s="311">
        <f>'Пр.4 ведом.22'!G193</f>
        <v>0</v>
      </c>
      <c r="G265" s="311">
        <f>'Пр.4 ведом.22'!H193</f>
        <v>0</v>
      </c>
    </row>
    <row r="266" spans="1:12" ht="47.25" hidden="1" x14ac:dyDescent="0.25">
      <c r="A266" s="364" t="s">
        <v>1052</v>
      </c>
      <c r="B266" s="365" t="s">
        <v>159</v>
      </c>
      <c r="C266" s="365" t="s">
        <v>174</v>
      </c>
      <c r="D266" s="365" t="s">
        <v>1053</v>
      </c>
      <c r="E266" s="319"/>
      <c r="F266" s="311">
        <f>F267</f>
        <v>0</v>
      </c>
      <c r="G266" s="311">
        <f>G267</f>
        <v>0</v>
      </c>
    </row>
    <row r="267" spans="1:12" ht="31.5" hidden="1" x14ac:dyDescent="0.25">
      <c r="A267" s="364" t="s">
        <v>177</v>
      </c>
      <c r="B267" s="365" t="s">
        <v>159</v>
      </c>
      <c r="C267" s="365" t="s">
        <v>174</v>
      </c>
      <c r="D267" s="365" t="s">
        <v>1053</v>
      </c>
      <c r="E267" s="319" t="s">
        <v>178</v>
      </c>
      <c r="F267" s="311">
        <f>F268</f>
        <v>0</v>
      </c>
      <c r="G267" s="311">
        <f>G268</f>
        <v>0</v>
      </c>
    </row>
    <row r="268" spans="1:12" ht="31.5" hidden="1" x14ac:dyDescent="0.25">
      <c r="A268" s="364" t="s">
        <v>179</v>
      </c>
      <c r="B268" s="365" t="s">
        <v>159</v>
      </c>
      <c r="C268" s="365" t="s">
        <v>174</v>
      </c>
      <c r="D268" s="365" t="s">
        <v>1053</v>
      </c>
      <c r="E268" s="319" t="s">
        <v>180</v>
      </c>
      <c r="F268" s="311">
        <f>'Пр.4 ведом.22'!G199</f>
        <v>0</v>
      </c>
      <c r="G268" s="311">
        <f>'Пр.4 ведом.22'!H199</f>
        <v>0</v>
      </c>
    </row>
    <row r="269" spans="1:12" ht="15.75" x14ac:dyDescent="0.25">
      <c r="A269" s="315" t="s">
        <v>166</v>
      </c>
      <c r="B269" s="316" t="s">
        <v>139</v>
      </c>
      <c r="C269" s="316"/>
      <c r="D269" s="316"/>
      <c r="E269" s="365"/>
      <c r="F269" s="310">
        <f>F280+F286+F300+F270</f>
        <v>7019.36</v>
      </c>
      <c r="G269" s="310">
        <f>G280+G286+G300+G270</f>
        <v>7465.16</v>
      </c>
      <c r="K269" s="74">
        <f>F269-F302-'Пр.4 ведом.22'!U1226-'Пр.4 ведом.22'!W1226-'Пр.4 ведом.22'!Z1226</f>
        <v>6690.96</v>
      </c>
      <c r="L269" s="16">
        <f>F302+F315+F328-'Пр.4 ведом.22'!U1225-'Пр.4 ведом.22'!Z1225-'Пр.4 ведом.22'!W1225+F273</f>
        <v>712.66000000000008</v>
      </c>
    </row>
    <row r="270" spans="1:12" ht="15.75" x14ac:dyDescent="0.25">
      <c r="A270" s="315" t="s">
        <v>167</v>
      </c>
      <c r="B270" s="316" t="s">
        <v>139</v>
      </c>
      <c r="C270" s="316" t="s">
        <v>168</v>
      </c>
      <c r="D270" s="316"/>
      <c r="E270" s="365"/>
      <c r="F270" s="310">
        <f>F271</f>
        <v>19.199999999999989</v>
      </c>
      <c r="G270" s="310">
        <f>G271</f>
        <v>274.2</v>
      </c>
    </row>
    <row r="271" spans="1:12" ht="31.7" customHeight="1" x14ac:dyDescent="0.25">
      <c r="A271" s="26" t="s">
        <v>874</v>
      </c>
      <c r="B271" s="316" t="s">
        <v>139</v>
      </c>
      <c r="C271" s="316" t="s">
        <v>168</v>
      </c>
      <c r="D271" s="122" t="s">
        <v>147</v>
      </c>
      <c r="E271" s="323"/>
      <c r="F271" s="310">
        <f>F272+F276</f>
        <v>19.199999999999989</v>
      </c>
      <c r="G271" s="310">
        <f>G272+G276</f>
        <v>274.2</v>
      </c>
    </row>
    <row r="272" spans="1:12" ht="31.5" x14ac:dyDescent="0.25">
      <c r="A272" s="26" t="s">
        <v>569</v>
      </c>
      <c r="B272" s="316" t="s">
        <v>139</v>
      </c>
      <c r="C272" s="316" t="s">
        <v>168</v>
      </c>
      <c r="D272" s="171" t="s">
        <v>453</v>
      </c>
      <c r="E272" s="323"/>
      <c r="F272" s="310">
        <f t="shared" ref="F272:G274" si="46">F273</f>
        <v>19.199999999999989</v>
      </c>
      <c r="G272" s="310">
        <f t="shared" si="46"/>
        <v>274.2</v>
      </c>
    </row>
    <row r="273" spans="1:7" ht="31.5" x14ac:dyDescent="0.25">
      <c r="A273" s="364" t="s">
        <v>169</v>
      </c>
      <c r="B273" s="365" t="s">
        <v>139</v>
      </c>
      <c r="C273" s="365" t="s">
        <v>168</v>
      </c>
      <c r="D273" s="365" t="s">
        <v>469</v>
      </c>
      <c r="E273" s="319"/>
      <c r="F273" s="311">
        <f t="shared" si="46"/>
        <v>19.199999999999989</v>
      </c>
      <c r="G273" s="311">
        <f t="shared" si="46"/>
        <v>274.2</v>
      </c>
    </row>
    <row r="274" spans="1:7" ht="15.75" x14ac:dyDescent="0.25">
      <c r="A274" s="22" t="s">
        <v>127</v>
      </c>
      <c r="B274" s="365" t="s">
        <v>139</v>
      </c>
      <c r="C274" s="365" t="s">
        <v>168</v>
      </c>
      <c r="D274" s="365" t="s">
        <v>469</v>
      </c>
      <c r="E274" s="319" t="s">
        <v>134</v>
      </c>
      <c r="F274" s="311">
        <f t="shared" si="46"/>
        <v>19.199999999999989</v>
      </c>
      <c r="G274" s="311">
        <f t="shared" si="46"/>
        <v>274.2</v>
      </c>
    </row>
    <row r="275" spans="1:7" ht="47.25" x14ac:dyDescent="0.25">
      <c r="A275" s="22" t="s">
        <v>148</v>
      </c>
      <c r="B275" s="365" t="s">
        <v>139</v>
      </c>
      <c r="C275" s="365" t="s">
        <v>168</v>
      </c>
      <c r="D275" s="365" t="s">
        <v>469</v>
      </c>
      <c r="E275" s="319" t="s">
        <v>142</v>
      </c>
      <c r="F275" s="311">
        <f>'Пр.4.1 ведом.23-24 '!G207</f>
        <v>19.199999999999989</v>
      </c>
      <c r="G275" s="311">
        <f>'Пр.4.1 ведом.23-24 '!H207</f>
        <v>274.2</v>
      </c>
    </row>
    <row r="276" spans="1:7" ht="47.25" hidden="1" x14ac:dyDescent="0.25">
      <c r="A276" s="140" t="s">
        <v>570</v>
      </c>
      <c r="B276" s="316" t="s">
        <v>139</v>
      </c>
      <c r="C276" s="316" t="s">
        <v>168</v>
      </c>
      <c r="D276" s="122" t="s">
        <v>455</v>
      </c>
      <c r="E276" s="323"/>
      <c r="F276" s="310">
        <f t="shared" ref="F276:G278" si="47">F277</f>
        <v>0</v>
      </c>
      <c r="G276" s="310">
        <f t="shared" si="47"/>
        <v>0</v>
      </c>
    </row>
    <row r="277" spans="1:7" ht="15.75" hidden="1" x14ac:dyDescent="0.25">
      <c r="A277" s="364" t="s">
        <v>454</v>
      </c>
      <c r="B277" s="365" t="s">
        <v>139</v>
      </c>
      <c r="C277" s="365" t="s">
        <v>168</v>
      </c>
      <c r="D277" s="5" t="s">
        <v>470</v>
      </c>
      <c r="E277" s="319"/>
      <c r="F277" s="311">
        <f t="shared" si="47"/>
        <v>0</v>
      </c>
      <c r="G277" s="311">
        <f t="shared" si="47"/>
        <v>0</v>
      </c>
    </row>
    <row r="278" spans="1:7" ht="15.75" hidden="1" x14ac:dyDescent="0.25">
      <c r="A278" s="22" t="s">
        <v>127</v>
      </c>
      <c r="B278" s="365" t="s">
        <v>139</v>
      </c>
      <c r="C278" s="365" t="s">
        <v>168</v>
      </c>
      <c r="D278" s="5" t="s">
        <v>470</v>
      </c>
      <c r="E278" s="319" t="s">
        <v>134</v>
      </c>
      <c r="F278" s="311">
        <f t="shared" si="47"/>
        <v>0</v>
      </c>
      <c r="G278" s="311">
        <f t="shared" si="47"/>
        <v>0</v>
      </c>
    </row>
    <row r="279" spans="1:7" ht="47.25" hidden="1" x14ac:dyDescent="0.25">
      <c r="A279" s="22" t="s">
        <v>148</v>
      </c>
      <c r="B279" s="365" t="s">
        <v>139</v>
      </c>
      <c r="C279" s="365" t="s">
        <v>168</v>
      </c>
      <c r="D279" s="5" t="s">
        <v>470</v>
      </c>
      <c r="E279" s="319" t="s">
        <v>142</v>
      </c>
      <c r="F279" s="311">
        <f>'Пр.4 ведом.22'!G210</f>
        <v>0</v>
      </c>
      <c r="G279" s="311">
        <f>'Пр.4 ведом.22'!H210</f>
        <v>0</v>
      </c>
    </row>
    <row r="280" spans="1:7" ht="15.75" x14ac:dyDescent="0.25">
      <c r="A280" s="315" t="s">
        <v>256</v>
      </c>
      <c r="B280" s="316" t="s">
        <v>139</v>
      </c>
      <c r="C280" s="316" t="s">
        <v>203</v>
      </c>
      <c r="D280" s="316"/>
      <c r="E280" s="316"/>
      <c r="F280" s="310">
        <f t="shared" ref="F280:G284" si="48">F281</f>
        <v>3258</v>
      </c>
      <c r="G280" s="310">
        <f t="shared" si="48"/>
        <v>3258</v>
      </c>
    </row>
    <row r="281" spans="1:7" ht="15.75" x14ac:dyDescent="0.25">
      <c r="A281" s="315" t="s">
        <v>133</v>
      </c>
      <c r="B281" s="316" t="s">
        <v>139</v>
      </c>
      <c r="C281" s="316" t="s">
        <v>203</v>
      </c>
      <c r="D281" s="316" t="s">
        <v>442</v>
      </c>
      <c r="E281" s="316"/>
      <c r="F281" s="310">
        <f t="shared" si="48"/>
        <v>3258</v>
      </c>
      <c r="G281" s="310">
        <f t="shared" si="48"/>
        <v>3258</v>
      </c>
    </row>
    <row r="282" spans="1:7" ht="31.5" x14ac:dyDescent="0.25">
      <c r="A282" s="315" t="s">
        <v>446</v>
      </c>
      <c r="B282" s="316" t="s">
        <v>139</v>
      </c>
      <c r="C282" s="316" t="s">
        <v>203</v>
      </c>
      <c r="D282" s="316" t="s">
        <v>441</v>
      </c>
      <c r="E282" s="316"/>
      <c r="F282" s="310">
        <f t="shared" si="48"/>
        <v>3258</v>
      </c>
      <c r="G282" s="310">
        <f t="shared" si="48"/>
        <v>3258</v>
      </c>
    </row>
    <row r="283" spans="1:7" ht="17.45" customHeight="1" x14ac:dyDescent="0.25">
      <c r="A283" s="364" t="s">
        <v>257</v>
      </c>
      <c r="B283" s="365" t="s">
        <v>139</v>
      </c>
      <c r="C283" s="365" t="s">
        <v>203</v>
      </c>
      <c r="D283" s="365" t="s">
        <v>522</v>
      </c>
      <c r="E283" s="365"/>
      <c r="F283" s="311">
        <f t="shared" si="48"/>
        <v>3258</v>
      </c>
      <c r="G283" s="311">
        <f t="shared" si="48"/>
        <v>3258</v>
      </c>
    </row>
    <row r="284" spans="1:7" ht="34.5" customHeight="1" x14ac:dyDescent="0.25">
      <c r="A284" s="364" t="s">
        <v>123</v>
      </c>
      <c r="B284" s="365" t="s">
        <v>139</v>
      </c>
      <c r="C284" s="365" t="s">
        <v>203</v>
      </c>
      <c r="D284" s="365" t="s">
        <v>522</v>
      </c>
      <c r="E284" s="365" t="s">
        <v>124</v>
      </c>
      <c r="F284" s="311">
        <f t="shared" si="48"/>
        <v>3258</v>
      </c>
      <c r="G284" s="311">
        <f t="shared" si="48"/>
        <v>3258</v>
      </c>
    </row>
    <row r="285" spans="1:7" ht="38.25" customHeight="1" x14ac:dyDescent="0.25">
      <c r="A285" s="364" t="s">
        <v>125</v>
      </c>
      <c r="B285" s="365" t="s">
        <v>139</v>
      </c>
      <c r="C285" s="365" t="s">
        <v>203</v>
      </c>
      <c r="D285" s="365" t="s">
        <v>522</v>
      </c>
      <c r="E285" s="365" t="s">
        <v>126</v>
      </c>
      <c r="F285" s="255">
        <f>'Пр.4.1 ведом.23-24 '!G980</f>
        <v>3258</v>
      </c>
      <c r="G285" s="255">
        <f>'Пр.4.1 ведом.23-24 '!H980</f>
        <v>3258</v>
      </c>
    </row>
    <row r="286" spans="1:7" ht="15.75" x14ac:dyDescent="0.25">
      <c r="A286" s="315" t="s">
        <v>258</v>
      </c>
      <c r="B286" s="316" t="s">
        <v>139</v>
      </c>
      <c r="C286" s="316" t="s">
        <v>161</v>
      </c>
      <c r="D286" s="365"/>
      <c r="E286" s="316"/>
      <c r="F286" s="310">
        <f t="shared" ref="F286:G286" si="49">F287</f>
        <v>3048.7</v>
      </c>
      <c r="G286" s="310">
        <f t="shared" si="49"/>
        <v>3226.2</v>
      </c>
    </row>
    <row r="287" spans="1:7" ht="47.25" x14ac:dyDescent="0.25">
      <c r="A287" s="26" t="s">
        <v>870</v>
      </c>
      <c r="B287" s="316" t="s">
        <v>139</v>
      </c>
      <c r="C287" s="316" t="s">
        <v>161</v>
      </c>
      <c r="D287" s="316" t="s">
        <v>259</v>
      </c>
      <c r="E287" s="316"/>
      <c r="F287" s="38">
        <f>F288+F292</f>
        <v>3048.7</v>
      </c>
      <c r="G287" s="38">
        <f>G288+G292</f>
        <v>3226.2</v>
      </c>
    </row>
    <row r="288" spans="1:7" ht="31.5" hidden="1" x14ac:dyDescent="0.25">
      <c r="A288" s="26" t="s">
        <v>562</v>
      </c>
      <c r="B288" s="316" t="s">
        <v>139</v>
      </c>
      <c r="C288" s="316" t="s">
        <v>161</v>
      </c>
      <c r="D288" s="7" t="s">
        <v>523</v>
      </c>
      <c r="E288" s="316"/>
      <c r="F288" s="38">
        <f t="shared" ref="F288:G290" si="50">F289</f>
        <v>0</v>
      </c>
      <c r="G288" s="38">
        <f t="shared" si="50"/>
        <v>0</v>
      </c>
    </row>
    <row r="289" spans="1:7" ht="15.75" hidden="1" x14ac:dyDescent="0.25">
      <c r="A289" s="22" t="s">
        <v>564</v>
      </c>
      <c r="B289" s="365" t="s">
        <v>139</v>
      </c>
      <c r="C289" s="365" t="s">
        <v>161</v>
      </c>
      <c r="D289" s="360" t="s">
        <v>563</v>
      </c>
      <c r="E289" s="365"/>
      <c r="F289" s="10">
        <f t="shared" si="50"/>
        <v>0</v>
      </c>
      <c r="G289" s="10">
        <f t="shared" si="50"/>
        <v>0</v>
      </c>
    </row>
    <row r="290" spans="1:7" ht="31.5" hidden="1" x14ac:dyDescent="0.25">
      <c r="A290" s="364" t="s">
        <v>123</v>
      </c>
      <c r="B290" s="365" t="s">
        <v>139</v>
      </c>
      <c r="C290" s="365" t="s">
        <v>161</v>
      </c>
      <c r="D290" s="360" t="s">
        <v>563</v>
      </c>
      <c r="E290" s="365" t="s">
        <v>124</v>
      </c>
      <c r="F290" s="255">
        <f t="shared" si="50"/>
        <v>0</v>
      </c>
      <c r="G290" s="255">
        <f t="shared" si="50"/>
        <v>0</v>
      </c>
    </row>
    <row r="291" spans="1:7" ht="31.5" hidden="1" x14ac:dyDescent="0.25">
      <c r="A291" s="364" t="s">
        <v>125</v>
      </c>
      <c r="B291" s="365" t="s">
        <v>139</v>
      </c>
      <c r="C291" s="365" t="s">
        <v>161</v>
      </c>
      <c r="D291" s="360" t="s">
        <v>563</v>
      </c>
      <c r="E291" s="365" t="s">
        <v>126</v>
      </c>
      <c r="F291" s="255">
        <f>'Пр.4 ведом.22'!G986</f>
        <v>0</v>
      </c>
      <c r="G291" s="255">
        <f>'Пр.4 ведом.22'!H986</f>
        <v>0</v>
      </c>
    </row>
    <row r="292" spans="1:7" ht="31.5" x14ac:dyDescent="0.25">
      <c r="A292" s="26" t="s">
        <v>618</v>
      </c>
      <c r="B292" s="316" t="s">
        <v>139</v>
      </c>
      <c r="C292" s="316" t="s">
        <v>161</v>
      </c>
      <c r="D292" s="316" t="s">
        <v>524</v>
      </c>
      <c r="E292" s="316"/>
      <c r="F292" s="257">
        <f>F293</f>
        <v>3048.7</v>
      </c>
      <c r="G292" s="257">
        <f>G293</f>
        <v>3226.2</v>
      </c>
    </row>
    <row r="293" spans="1:7" ht="15.75" x14ac:dyDescent="0.25">
      <c r="A293" s="22" t="s">
        <v>260</v>
      </c>
      <c r="B293" s="365" t="s">
        <v>139</v>
      </c>
      <c r="C293" s="365" t="s">
        <v>161</v>
      </c>
      <c r="D293" s="360" t="s">
        <v>565</v>
      </c>
      <c r="E293" s="365"/>
      <c r="F293" s="255">
        <f>F296+F298+F294</f>
        <v>3048.7</v>
      </c>
      <c r="G293" s="255">
        <f>G296+G298+G294</f>
        <v>3226.2</v>
      </c>
    </row>
    <row r="294" spans="1:7" ht="78.75" x14ac:dyDescent="0.25">
      <c r="A294" s="364" t="s">
        <v>119</v>
      </c>
      <c r="B294" s="365" t="s">
        <v>139</v>
      </c>
      <c r="C294" s="365" t="s">
        <v>161</v>
      </c>
      <c r="D294" s="360" t="s">
        <v>565</v>
      </c>
      <c r="E294" s="365" t="s">
        <v>120</v>
      </c>
      <c r="F294" s="255">
        <f>F295</f>
        <v>1907.4</v>
      </c>
      <c r="G294" s="255">
        <f>G295</f>
        <v>2062</v>
      </c>
    </row>
    <row r="295" spans="1:7" ht="15.75" x14ac:dyDescent="0.25">
      <c r="A295" s="364" t="s">
        <v>155</v>
      </c>
      <c r="B295" s="365" t="s">
        <v>139</v>
      </c>
      <c r="C295" s="365" t="s">
        <v>161</v>
      </c>
      <c r="D295" s="360" t="s">
        <v>565</v>
      </c>
      <c r="E295" s="365" t="s">
        <v>156</v>
      </c>
      <c r="F295" s="255">
        <f>'Пр.4.1 ведом.23-24 '!G990</f>
        <v>1907.4</v>
      </c>
      <c r="G295" s="255">
        <f>'Пр.4.1 ведом.23-24 '!H990</f>
        <v>2062</v>
      </c>
    </row>
    <row r="296" spans="1:7" ht="31.5" x14ac:dyDescent="0.25">
      <c r="A296" s="364" t="s">
        <v>123</v>
      </c>
      <c r="B296" s="365" t="s">
        <v>139</v>
      </c>
      <c r="C296" s="365" t="s">
        <v>161</v>
      </c>
      <c r="D296" s="360" t="s">
        <v>565</v>
      </c>
      <c r="E296" s="365" t="s">
        <v>124</v>
      </c>
      <c r="F296" s="255">
        <f>F297</f>
        <v>1141.3</v>
      </c>
      <c r="G296" s="255">
        <f>G297</f>
        <v>1164.2</v>
      </c>
    </row>
    <row r="297" spans="1:7" ht="35.450000000000003" customHeight="1" x14ac:dyDescent="0.25">
      <c r="A297" s="364" t="s">
        <v>125</v>
      </c>
      <c r="B297" s="365" t="s">
        <v>139</v>
      </c>
      <c r="C297" s="365" t="s">
        <v>161</v>
      </c>
      <c r="D297" s="360" t="s">
        <v>565</v>
      </c>
      <c r="E297" s="365" t="s">
        <v>126</v>
      </c>
      <c r="F297" s="255">
        <f>'Пр.4.1 ведом.23-24 '!G992</f>
        <v>1141.3</v>
      </c>
      <c r="G297" s="255">
        <f>'Пр.4.1 ведом.23-24 '!H992</f>
        <v>1164.2</v>
      </c>
    </row>
    <row r="298" spans="1:7" ht="15.75" hidden="1" x14ac:dyDescent="0.25">
      <c r="A298" s="364" t="s">
        <v>127</v>
      </c>
      <c r="B298" s="365" t="s">
        <v>139</v>
      </c>
      <c r="C298" s="365" t="s">
        <v>161</v>
      </c>
      <c r="D298" s="360" t="s">
        <v>565</v>
      </c>
      <c r="E298" s="365" t="s">
        <v>134</v>
      </c>
      <c r="F298" s="255">
        <f>F299</f>
        <v>0</v>
      </c>
      <c r="G298" s="255">
        <f>G299</f>
        <v>0</v>
      </c>
    </row>
    <row r="299" spans="1:7" ht="15.75" hidden="1" x14ac:dyDescent="0.25">
      <c r="A299" s="364" t="s">
        <v>280</v>
      </c>
      <c r="B299" s="365" t="s">
        <v>139</v>
      </c>
      <c r="C299" s="365" t="s">
        <v>161</v>
      </c>
      <c r="D299" s="360" t="s">
        <v>565</v>
      </c>
      <c r="E299" s="365" t="s">
        <v>130</v>
      </c>
      <c r="F299" s="255">
        <f>'Пр.4 ведом.22'!G994</f>
        <v>0</v>
      </c>
      <c r="G299" s="255">
        <f>'Пр.4 ведом.22'!H994</f>
        <v>0</v>
      </c>
    </row>
    <row r="300" spans="1:7" ht="41.45" customHeight="1" x14ac:dyDescent="0.25">
      <c r="A300" s="315" t="s">
        <v>170</v>
      </c>
      <c r="B300" s="316" t="s">
        <v>139</v>
      </c>
      <c r="C300" s="316" t="s">
        <v>171</v>
      </c>
      <c r="D300" s="316"/>
      <c r="E300" s="316"/>
      <c r="F300" s="38">
        <f>F301+F308+F326</f>
        <v>693.46</v>
      </c>
      <c r="G300" s="38">
        <f>G301+G308+G326</f>
        <v>706.76</v>
      </c>
    </row>
    <row r="301" spans="1:7" ht="31.5" x14ac:dyDescent="0.25">
      <c r="A301" s="315" t="s">
        <v>488</v>
      </c>
      <c r="B301" s="316" t="s">
        <v>139</v>
      </c>
      <c r="C301" s="316" t="s">
        <v>171</v>
      </c>
      <c r="D301" s="316" t="s">
        <v>434</v>
      </c>
      <c r="E301" s="316"/>
      <c r="F301" s="38">
        <f>F302</f>
        <v>328.4</v>
      </c>
      <c r="G301" s="38">
        <f>G302</f>
        <v>341.7</v>
      </c>
    </row>
    <row r="302" spans="1:7" ht="31.5" x14ac:dyDescent="0.25">
      <c r="A302" s="315" t="s">
        <v>460</v>
      </c>
      <c r="B302" s="316" t="s">
        <v>139</v>
      </c>
      <c r="C302" s="316" t="s">
        <v>171</v>
      </c>
      <c r="D302" s="316" t="s">
        <v>439</v>
      </c>
      <c r="E302" s="316"/>
      <c r="F302" s="38">
        <f>F303</f>
        <v>328.4</v>
      </c>
      <c r="G302" s="38">
        <f>G303</f>
        <v>341.7</v>
      </c>
    </row>
    <row r="303" spans="1:7" ht="63" x14ac:dyDescent="0.25">
      <c r="A303" s="24" t="s">
        <v>172</v>
      </c>
      <c r="B303" s="365" t="s">
        <v>139</v>
      </c>
      <c r="C303" s="365" t="s">
        <v>171</v>
      </c>
      <c r="D303" s="365" t="s">
        <v>495</v>
      </c>
      <c r="E303" s="365"/>
      <c r="F303" s="10">
        <f>F304+F306</f>
        <v>328.4</v>
      </c>
      <c r="G303" s="10">
        <f>G304+G306</f>
        <v>341.7</v>
      </c>
    </row>
    <row r="304" spans="1:7" ht="78.75" x14ac:dyDescent="0.25">
      <c r="A304" s="364" t="s">
        <v>119</v>
      </c>
      <c r="B304" s="365" t="s">
        <v>139</v>
      </c>
      <c r="C304" s="365" t="s">
        <v>171</v>
      </c>
      <c r="D304" s="365" t="s">
        <v>495</v>
      </c>
      <c r="E304" s="365" t="s">
        <v>120</v>
      </c>
      <c r="F304" s="10">
        <f>F305</f>
        <v>298.5</v>
      </c>
      <c r="G304" s="10">
        <f>G305</f>
        <v>310.59999999999997</v>
      </c>
    </row>
    <row r="305" spans="1:7" ht="32.25" customHeight="1" x14ac:dyDescent="0.25">
      <c r="A305" s="364" t="s">
        <v>121</v>
      </c>
      <c r="B305" s="365" t="s">
        <v>139</v>
      </c>
      <c r="C305" s="365" t="s">
        <v>171</v>
      </c>
      <c r="D305" s="365" t="s">
        <v>495</v>
      </c>
      <c r="E305" s="365" t="s">
        <v>122</v>
      </c>
      <c r="F305" s="10">
        <f>'Пр.4.1 ведом.23-24 '!G217</f>
        <v>298.5</v>
      </c>
      <c r="G305" s="10">
        <f>'Пр.4.1 ведом.23-24 '!H217</f>
        <v>310.59999999999997</v>
      </c>
    </row>
    <row r="306" spans="1:7" ht="31.5" x14ac:dyDescent="0.25">
      <c r="A306" s="364" t="s">
        <v>123</v>
      </c>
      <c r="B306" s="365" t="s">
        <v>139</v>
      </c>
      <c r="C306" s="365" t="s">
        <v>171</v>
      </c>
      <c r="D306" s="365" t="s">
        <v>495</v>
      </c>
      <c r="E306" s="365" t="s">
        <v>124</v>
      </c>
      <c r="F306" s="10">
        <f>F307</f>
        <v>29.9</v>
      </c>
      <c r="G306" s="10">
        <f>G307</f>
        <v>31.1</v>
      </c>
    </row>
    <row r="307" spans="1:7" ht="31.5" x14ac:dyDescent="0.25">
      <c r="A307" s="364" t="s">
        <v>125</v>
      </c>
      <c r="B307" s="365" t="s">
        <v>139</v>
      </c>
      <c r="C307" s="365" t="s">
        <v>171</v>
      </c>
      <c r="D307" s="365" t="s">
        <v>495</v>
      </c>
      <c r="E307" s="365" t="s">
        <v>126</v>
      </c>
      <c r="F307" s="10">
        <f>'Пр.4.1 ведом.23-24 '!G219</f>
        <v>29.9</v>
      </c>
      <c r="G307" s="10">
        <f>'Пр.4.1 ведом.23-24 '!H219</f>
        <v>31.1</v>
      </c>
    </row>
    <row r="308" spans="1:7" ht="47.25" x14ac:dyDescent="0.25">
      <c r="A308" s="315" t="s">
        <v>737</v>
      </c>
      <c r="B308" s="316" t="s">
        <v>139</v>
      </c>
      <c r="C308" s="316" t="s">
        <v>171</v>
      </c>
      <c r="D308" s="316" t="s">
        <v>213</v>
      </c>
      <c r="E308" s="323"/>
      <c r="F308" s="38">
        <f>F309</f>
        <v>215.06</v>
      </c>
      <c r="G308" s="38">
        <f>G309</f>
        <v>215.06</v>
      </c>
    </row>
    <row r="309" spans="1:7" ht="63" x14ac:dyDescent="0.25">
      <c r="A309" s="315" t="s">
        <v>224</v>
      </c>
      <c r="B309" s="316" t="s">
        <v>139</v>
      </c>
      <c r="C309" s="316" t="s">
        <v>171</v>
      </c>
      <c r="D309" s="316" t="s">
        <v>221</v>
      </c>
      <c r="E309" s="316"/>
      <c r="F309" s="38">
        <f>F310+F314+F318+F322</f>
        <v>215.06</v>
      </c>
      <c r="G309" s="38">
        <f>G310+G314+G318+G322</f>
        <v>215.06</v>
      </c>
    </row>
    <row r="310" spans="1:7" ht="47.25" hidden="1" x14ac:dyDescent="0.25">
      <c r="A310" s="141" t="s">
        <v>604</v>
      </c>
      <c r="B310" s="316" t="s">
        <v>139</v>
      </c>
      <c r="C310" s="316" t="s">
        <v>171</v>
      </c>
      <c r="D310" s="316" t="s">
        <v>478</v>
      </c>
      <c r="E310" s="316"/>
      <c r="F310" s="38">
        <f t="shared" ref="F310:G312" si="51">F311</f>
        <v>0</v>
      </c>
      <c r="G310" s="38">
        <f t="shared" si="51"/>
        <v>0</v>
      </c>
    </row>
    <row r="311" spans="1:7" ht="47.25" hidden="1" x14ac:dyDescent="0.25">
      <c r="A311" s="364" t="s">
        <v>227</v>
      </c>
      <c r="B311" s="365" t="s">
        <v>139</v>
      </c>
      <c r="C311" s="365" t="s">
        <v>171</v>
      </c>
      <c r="D311" s="365" t="s">
        <v>824</v>
      </c>
      <c r="E311" s="365"/>
      <c r="F311" s="10">
        <f t="shared" si="51"/>
        <v>0</v>
      </c>
      <c r="G311" s="10">
        <f t="shared" si="51"/>
        <v>0</v>
      </c>
    </row>
    <row r="312" spans="1:7" ht="21.2" hidden="1" customHeight="1" x14ac:dyDescent="0.25">
      <c r="A312" s="364" t="s">
        <v>177</v>
      </c>
      <c r="B312" s="365" t="s">
        <v>139</v>
      </c>
      <c r="C312" s="365" t="s">
        <v>171</v>
      </c>
      <c r="D312" s="365" t="s">
        <v>824</v>
      </c>
      <c r="E312" s="365" t="s">
        <v>178</v>
      </c>
      <c r="F312" s="10">
        <f t="shared" si="51"/>
        <v>0</v>
      </c>
      <c r="G312" s="10">
        <f t="shared" si="51"/>
        <v>0</v>
      </c>
    </row>
    <row r="313" spans="1:7" ht="31.5" hidden="1" x14ac:dyDescent="0.25">
      <c r="A313" s="364" t="s">
        <v>179</v>
      </c>
      <c r="B313" s="365" t="s">
        <v>139</v>
      </c>
      <c r="C313" s="365" t="s">
        <v>171</v>
      </c>
      <c r="D313" s="365" t="s">
        <v>824</v>
      </c>
      <c r="E313" s="365" t="s">
        <v>180</v>
      </c>
      <c r="F313" s="10">
        <f>'Пр.4 ведом.22'!G289</f>
        <v>0</v>
      </c>
      <c r="G313" s="10">
        <f>'Пр.4 ведом.22'!H289</f>
        <v>0</v>
      </c>
    </row>
    <row r="314" spans="1:7" ht="31.5" x14ac:dyDescent="0.25">
      <c r="A314" s="315" t="s">
        <v>603</v>
      </c>
      <c r="B314" s="316" t="s">
        <v>139</v>
      </c>
      <c r="C314" s="316" t="s">
        <v>171</v>
      </c>
      <c r="D314" s="316" t="s">
        <v>739</v>
      </c>
      <c r="E314" s="316"/>
      <c r="F314" s="38">
        <f>F315</f>
        <v>215.06</v>
      </c>
      <c r="G314" s="38">
        <f>G315</f>
        <v>215.06</v>
      </c>
    </row>
    <row r="315" spans="1:7" ht="110.25" x14ac:dyDescent="0.25">
      <c r="A315" s="364" t="s">
        <v>226</v>
      </c>
      <c r="B315" s="365" t="s">
        <v>139</v>
      </c>
      <c r="C315" s="365" t="s">
        <v>171</v>
      </c>
      <c r="D315" s="365" t="s">
        <v>740</v>
      </c>
      <c r="E315" s="365"/>
      <c r="F315" s="10">
        <f>F316</f>
        <v>215.06</v>
      </c>
      <c r="G315" s="10">
        <f>G316</f>
        <v>215.06</v>
      </c>
    </row>
    <row r="316" spans="1:7" ht="31.5" x14ac:dyDescent="0.25">
      <c r="A316" s="364" t="s">
        <v>191</v>
      </c>
      <c r="B316" s="365" t="s">
        <v>139</v>
      </c>
      <c r="C316" s="365" t="s">
        <v>171</v>
      </c>
      <c r="D316" s="365" t="s">
        <v>740</v>
      </c>
      <c r="E316" s="365" t="s">
        <v>192</v>
      </c>
      <c r="F316" s="10">
        <f>'Пр.4.1 ведом.23-24 '!G294</f>
        <v>215.06</v>
      </c>
      <c r="G316" s="10">
        <f>G317</f>
        <v>215.06</v>
      </c>
    </row>
    <row r="317" spans="1:7" ht="63" x14ac:dyDescent="0.25">
      <c r="A317" s="364" t="s">
        <v>643</v>
      </c>
      <c r="B317" s="365" t="s">
        <v>139</v>
      </c>
      <c r="C317" s="365" t="s">
        <v>171</v>
      </c>
      <c r="D317" s="365" t="s">
        <v>740</v>
      </c>
      <c r="E317" s="365" t="s">
        <v>225</v>
      </c>
      <c r="F317" s="10">
        <f>'Пр.4.1 ведом.23-24 '!G294</f>
        <v>215.06</v>
      </c>
      <c r="G317" s="10">
        <f>'Пр.4.1 ведом.23-24 '!H294</f>
        <v>215.06</v>
      </c>
    </row>
    <row r="318" spans="1:7" ht="31.5" hidden="1" x14ac:dyDescent="0.25">
      <c r="A318" s="315" t="s">
        <v>558</v>
      </c>
      <c r="B318" s="316" t="s">
        <v>139</v>
      </c>
      <c r="C318" s="316" t="s">
        <v>171</v>
      </c>
      <c r="D318" s="316" t="s">
        <v>821</v>
      </c>
      <c r="E318" s="316"/>
      <c r="F318" s="38">
        <f t="shared" ref="F318:G320" si="52">F319</f>
        <v>0</v>
      </c>
      <c r="G318" s="38">
        <f t="shared" si="52"/>
        <v>0</v>
      </c>
    </row>
    <row r="319" spans="1:7" ht="31.5" hidden="1" x14ac:dyDescent="0.25">
      <c r="A319" s="172" t="s">
        <v>605</v>
      </c>
      <c r="B319" s="365" t="s">
        <v>139</v>
      </c>
      <c r="C319" s="365" t="s">
        <v>171</v>
      </c>
      <c r="D319" s="365" t="s">
        <v>822</v>
      </c>
      <c r="E319" s="365"/>
      <c r="F319" s="10">
        <f t="shared" si="52"/>
        <v>0</v>
      </c>
      <c r="G319" s="10">
        <f t="shared" si="52"/>
        <v>0</v>
      </c>
    </row>
    <row r="320" spans="1:7" ht="31.5" hidden="1" x14ac:dyDescent="0.25">
      <c r="A320" s="364" t="s">
        <v>123</v>
      </c>
      <c r="B320" s="365" t="s">
        <v>139</v>
      </c>
      <c r="C320" s="365" t="s">
        <v>171</v>
      </c>
      <c r="D320" s="365" t="s">
        <v>822</v>
      </c>
      <c r="E320" s="365" t="s">
        <v>124</v>
      </c>
      <c r="F320" s="10">
        <f t="shared" si="52"/>
        <v>0</v>
      </c>
      <c r="G320" s="10">
        <f t="shared" si="52"/>
        <v>0</v>
      </c>
    </row>
    <row r="321" spans="1:12" ht="31.5" hidden="1" x14ac:dyDescent="0.25">
      <c r="A321" s="364" t="s">
        <v>125</v>
      </c>
      <c r="B321" s="365" t="s">
        <v>139</v>
      </c>
      <c r="C321" s="365" t="s">
        <v>171</v>
      </c>
      <c r="D321" s="365" t="s">
        <v>822</v>
      </c>
      <c r="E321" s="365" t="s">
        <v>126</v>
      </c>
      <c r="F321" s="10">
        <f>'Пр.4 ведом.22'!G297</f>
        <v>0</v>
      </c>
      <c r="G321" s="10">
        <f>'Пр.4 ведом.22'!H297</f>
        <v>0</v>
      </c>
    </row>
    <row r="322" spans="1:12" ht="31.5" hidden="1" x14ac:dyDescent="0.25">
      <c r="A322" s="322" t="s">
        <v>656</v>
      </c>
      <c r="B322" s="316" t="s">
        <v>139</v>
      </c>
      <c r="C322" s="316" t="s">
        <v>171</v>
      </c>
      <c r="D322" s="316" t="s">
        <v>741</v>
      </c>
      <c r="E322" s="316"/>
      <c r="F322" s="314">
        <f t="shared" ref="F322:G324" si="53">F323</f>
        <v>0</v>
      </c>
      <c r="G322" s="314">
        <f t="shared" si="53"/>
        <v>0</v>
      </c>
    </row>
    <row r="323" spans="1:12" ht="31.5" hidden="1" x14ac:dyDescent="0.25">
      <c r="A323" s="155" t="s">
        <v>657</v>
      </c>
      <c r="B323" s="365" t="s">
        <v>139</v>
      </c>
      <c r="C323" s="365" t="s">
        <v>171</v>
      </c>
      <c r="D323" s="365" t="s">
        <v>742</v>
      </c>
      <c r="E323" s="365"/>
      <c r="F323" s="318">
        <f t="shared" si="53"/>
        <v>0</v>
      </c>
      <c r="G323" s="318">
        <f t="shared" si="53"/>
        <v>0</v>
      </c>
    </row>
    <row r="324" spans="1:12" ht="31.5" hidden="1" x14ac:dyDescent="0.25">
      <c r="A324" s="364" t="s">
        <v>123</v>
      </c>
      <c r="B324" s="365" t="s">
        <v>139</v>
      </c>
      <c r="C324" s="365" t="s">
        <v>171</v>
      </c>
      <c r="D324" s="365" t="s">
        <v>742</v>
      </c>
      <c r="E324" s="365" t="s">
        <v>124</v>
      </c>
      <c r="F324" s="318">
        <f t="shared" si="53"/>
        <v>0</v>
      </c>
      <c r="G324" s="318">
        <f t="shared" si="53"/>
        <v>0</v>
      </c>
    </row>
    <row r="325" spans="1:12" ht="31.5" hidden="1" x14ac:dyDescent="0.25">
      <c r="A325" s="364" t="s">
        <v>125</v>
      </c>
      <c r="B325" s="365" t="s">
        <v>139</v>
      </c>
      <c r="C325" s="365" t="s">
        <v>171</v>
      </c>
      <c r="D325" s="365" t="s">
        <v>742</v>
      </c>
      <c r="E325" s="365" t="s">
        <v>126</v>
      </c>
      <c r="F325" s="318">
        <f>'Пр.4 ведом.22'!G301</f>
        <v>0</v>
      </c>
      <c r="G325" s="318">
        <f>'Пр.4 ведом.22'!H301</f>
        <v>0</v>
      </c>
    </row>
    <row r="326" spans="1:12" ht="47.25" x14ac:dyDescent="0.25">
      <c r="A326" s="315" t="s">
        <v>839</v>
      </c>
      <c r="B326" s="316" t="s">
        <v>139</v>
      </c>
      <c r="C326" s="316" t="s">
        <v>171</v>
      </c>
      <c r="D326" s="316" t="s">
        <v>141</v>
      </c>
      <c r="E326" s="316"/>
      <c r="F326" s="38">
        <f t="shared" ref="F326:G329" si="54">F327</f>
        <v>150</v>
      </c>
      <c r="G326" s="38">
        <f t="shared" si="54"/>
        <v>150</v>
      </c>
    </row>
    <row r="327" spans="1:12" ht="47.25" x14ac:dyDescent="0.25">
      <c r="A327" s="315" t="s">
        <v>621</v>
      </c>
      <c r="B327" s="316" t="s">
        <v>139</v>
      </c>
      <c r="C327" s="316" t="s">
        <v>171</v>
      </c>
      <c r="D327" s="316" t="s">
        <v>619</v>
      </c>
      <c r="E327" s="316"/>
      <c r="F327" s="38">
        <f t="shared" si="54"/>
        <v>150</v>
      </c>
      <c r="G327" s="38">
        <f t="shared" si="54"/>
        <v>150</v>
      </c>
    </row>
    <row r="328" spans="1:12" ht="31.5" x14ac:dyDescent="0.25">
      <c r="A328" s="364" t="s">
        <v>622</v>
      </c>
      <c r="B328" s="365" t="s">
        <v>139</v>
      </c>
      <c r="C328" s="365" t="s">
        <v>171</v>
      </c>
      <c r="D328" s="365" t="s">
        <v>620</v>
      </c>
      <c r="E328" s="365"/>
      <c r="F328" s="10">
        <f t="shared" si="54"/>
        <v>150</v>
      </c>
      <c r="G328" s="10">
        <f t="shared" si="54"/>
        <v>150</v>
      </c>
    </row>
    <row r="329" spans="1:12" ht="15.75" x14ac:dyDescent="0.25">
      <c r="A329" s="364" t="s">
        <v>127</v>
      </c>
      <c r="B329" s="365" t="s">
        <v>139</v>
      </c>
      <c r="C329" s="365" t="s">
        <v>171</v>
      </c>
      <c r="D329" s="365" t="s">
        <v>620</v>
      </c>
      <c r="E329" s="365" t="s">
        <v>134</v>
      </c>
      <c r="F329" s="10">
        <f t="shared" si="54"/>
        <v>150</v>
      </c>
      <c r="G329" s="10">
        <f t="shared" si="54"/>
        <v>150</v>
      </c>
    </row>
    <row r="330" spans="1:12" ht="47.25" x14ac:dyDescent="0.25">
      <c r="A330" s="364" t="s">
        <v>148</v>
      </c>
      <c r="B330" s="365" t="s">
        <v>139</v>
      </c>
      <c r="C330" s="365" t="s">
        <v>171</v>
      </c>
      <c r="D330" s="365" t="s">
        <v>620</v>
      </c>
      <c r="E330" s="365" t="s">
        <v>142</v>
      </c>
      <c r="F330" s="10">
        <f>'Пр.4.1 ведом.23-24 '!G224</f>
        <v>150</v>
      </c>
      <c r="G330" s="10">
        <f>'Пр.4.1 ведом.23-24 '!H224</f>
        <v>150</v>
      </c>
    </row>
    <row r="331" spans="1:12" ht="15.75" x14ac:dyDescent="0.25">
      <c r="A331" s="315" t="s">
        <v>231</v>
      </c>
      <c r="B331" s="316" t="s">
        <v>168</v>
      </c>
      <c r="C331" s="316"/>
      <c r="D331" s="316"/>
      <c r="E331" s="316"/>
      <c r="F331" s="310">
        <f>F332++F349+F414+F476</f>
        <v>62083.311999999998</v>
      </c>
      <c r="G331" s="310">
        <f>G332++G349+G414+G476</f>
        <v>54832.869999999995</v>
      </c>
      <c r="H331" s="74">
        <f>G331-F331</f>
        <v>-7250.4420000000027</v>
      </c>
      <c r="K331" s="154">
        <f>F331-F452-'Пр.4 ведом.22'!J1216-'Пр.4 ведом.22'!P1216</f>
        <v>59937.511999999995</v>
      </c>
      <c r="L331" s="156">
        <f>F452+F469-'Пр.4 ведом.22'!J1215-'Пр.4 ведом.22'!P1215</f>
        <v>2645.8</v>
      </c>
    </row>
    <row r="332" spans="1:12" ht="15.75" x14ac:dyDescent="0.25">
      <c r="A332" s="315" t="s">
        <v>232</v>
      </c>
      <c r="B332" s="316" t="s">
        <v>168</v>
      </c>
      <c r="C332" s="316" t="s">
        <v>116</v>
      </c>
      <c r="D332" s="316"/>
      <c r="E332" s="316"/>
      <c r="F332" s="310">
        <f t="shared" ref="F332:G333" si="55">F333</f>
        <v>13750.63</v>
      </c>
      <c r="G332" s="310">
        <f t="shared" si="55"/>
        <v>6330.7999999999993</v>
      </c>
      <c r="H332" s="74"/>
      <c r="I332" s="74"/>
      <c r="L332" s="16"/>
    </row>
    <row r="333" spans="1:12" ht="15.75" x14ac:dyDescent="0.25">
      <c r="A333" s="315" t="s">
        <v>133</v>
      </c>
      <c r="B333" s="316" t="s">
        <v>168</v>
      </c>
      <c r="C333" s="316" t="s">
        <v>116</v>
      </c>
      <c r="D333" s="316" t="s">
        <v>442</v>
      </c>
      <c r="E333" s="316"/>
      <c r="F333" s="310">
        <f t="shared" si="55"/>
        <v>13750.63</v>
      </c>
      <c r="G333" s="310">
        <f t="shared" si="55"/>
        <v>6330.7999999999993</v>
      </c>
    </row>
    <row r="334" spans="1:12" ht="31.5" x14ac:dyDescent="0.25">
      <c r="A334" s="315" t="s">
        <v>446</v>
      </c>
      <c r="B334" s="316" t="s">
        <v>168</v>
      </c>
      <c r="C334" s="316" t="s">
        <v>116</v>
      </c>
      <c r="D334" s="316" t="s">
        <v>441</v>
      </c>
      <c r="E334" s="316"/>
      <c r="F334" s="310">
        <f>F335+F340+F343+F346</f>
        <v>13750.63</v>
      </c>
      <c r="G334" s="310">
        <f>G335+G340+G343+G346</f>
        <v>6330.7999999999993</v>
      </c>
    </row>
    <row r="335" spans="1:12" ht="15.75" hidden="1" x14ac:dyDescent="0.25">
      <c r="A335" s="364" t="s">
        <v>261</v>
      </c>
      <c r="B335" s="365" t="s">
        <v>353</v>
      </c>
      <c r="C335" s="365" t="s">
        <v>116</v>
      </c>
      <c r="D335" s="365" t="s">
        <v>525</v>
      </c>
      <c r="E335" s="316"/>
      <c r="F335" s="311">
        <f t="shared" ref="F335:G335" si="56">F336+F338</f>
        <v>0</v>
      </c>
      <c r="G335" s="311">
        <f t="shared" si="56"/>
        <v>0</v>
      </c>
    </row>
    <row r="336" spans="1:12" ht="31.5" hidden="1" x14ac:dyDescent="0.25">
      <c r="A336" s="364" t="s">
        <v>123</v>
      </c>
      <c r="B336" s="365" t="s">
        <v>168</v>
      </c>
      <c r="C336" s="365" t="s">
        <v>116</v>
      </c>
      <c r="D336" s="365" t="s">
        <v>525</v>
      </c>
      <c r="E336" s="365" t="s">
        <v>124</v>
      </c>
      <c r="F336" s="311">
        <f t="shared" ref="F336:G336" si="57">F337</f>
        <v>0</v>
      </c>
      <c r="G336" s="311">
        <f t="shared" si="57"/>
        <v>0</v>
      </c>
    </row>
    <row r="337" spans="1:8" ht="31.5" hidden="1" x14ac:dyDescent="0.25">
      <c r="A337" s="364" t="s">
        <v>125</v>
      </c>
      <c r="B337" s="365" t="s">
        <v>168</v>
      </c>
      <c r="C337" s="365" t="s">
        <v>116</v>
      </c>
      <c r="D337" s="365" t="s">
        <v>525</v>
      </c>
      <c r="E337" s="365" t="s">
        <v>126</v>
      </c>
      <c r="F337" s="311">
        <f>'Пр.4 ведом.22'!G1001</f>
        <v>0</v>
      </c>
      <c r="G337" s="311">
        <f>'Пр.4 ведом.22'!H1001</f>
        <v>0</v>
      </c>
    </row>
    <row r="338" spans="1:8" ht="15.75" hidden="1" x14ac:dyDescent="0.25">
      <c r="A338" s="364" t="s">
        <v>127</v>
      </c>
      <c r="B338" s="365" t="s">
        <v>168</v>
      </c>
      <c r="C338" s="365" t="s">
        <v>116</v>
      </c>
      <c r="D338" s="365" t="s">
        <v>525</v>
      </c>
      <c r="E338" s="365" t="s">
        <v>134</v>
      </c>
      <c r="F338" s="311">
        <f t="shared" ref="F338:G338" si="58">F339</f>
        <v>0</v>
      </c>
      <c r="G338" s="311">
        <f t="shared" si="58"/>
        <v>0</v>
      </c>
    </row>
    <row r="339" spans="1:8" ht="47.25" hidden="1" x14ac:dyDescent="0.25">
      <c r="A339" s="364" t="s">
        <v>148</v>
      </c>
      <c r="B339" s="365" t="s">
        <v>168</v>
      </c>
      <c r="C339" s="365" t="s">
        <v>116</v>
      </c>
      <c r="D339" s="365" t="s">
        <v>525</v>
      </c>
      <c r="E339" s="365" t="s">
        <v>142</v>
      </c>
      <c r="F339" s="311">
        <f>'Пр.4 ведом.22'!G1003</f>
        <v>0</v>
      </c>
      <c r="G339" s="311">
        <f>'Пр.4 ведом.22'!H1003</f>
        <v>0</v>
      </c>
    </row>
    <row r="340" spans="1:8" ht="31.5" x14ac:dyDescent="0.25">
      <c r="A340" s="22" t="s">
        <v>233</v>
      </c>
      <c r="B340" s="365" t="s">
        <v>168</v>
      </c>
      <c r="C340" s="365" t="s">
        <v>116</v>
      </c>
      <c r="D340" s="365" t="s">
        <v>526</v>
      </c>
      <c r="E340" s="316"/>
      <c r="F340" s="311">
        <f t="shared" ref="F340:G341" si="59">F341</f>
        <v>5190.7999999999993</v>
      </c>
      <c r="G340" s="311">
        <f t="shared" si="59"/>
        <v>5190.7999999999993</v>
      </c>
    </row>
    <row r="341" spans="1:8" ht="31.5" x14ac:dyDescent="0.25">
      <c r="A341" s="364" t="s">
        <v>123</v>
      </c>
      <c r="B341" s="365" t="s">
        <v>168</v>
      </c>
      <c r="C341" s="365" t="s">
        <v>116</v>
      </c>
      <c r="D341" s="365" t="s">
        <v>526</v>
      </c>
      <c r="E341" s="365" t="s">
        <v>124</v>
      </c>
      <c r="F341" s="311">
        <f t="shared" si="59"/>
        <v>5190.7999999999993</v>
      </c>
      <c r="G341" s="311">
        <f t="shared" si="59"/>
        <v>5190.7999999999993</v>
      </c>
    </row>
    <row r="342" spans="1:8" ht="31.5" x14ac:dyDescent="0.25">
      <c r="A342" s="364" t="s">
        <v>125</v>
      </c>
      <c r="B342" s="365" t="s">
        <v>168</v>
      </c>
      <c r="C342" s="365" t="s">
        <v>116</v>
      </c>
      <c r="D342" s="365" t="s">
        <v>526</v>
      </c>
      <c r="E342" s="365" t="s">
        <v>126</v>
      </c>
      <c r="F342" s="311">
        <f>'Пр.4.1 ведом.23-24 '!G598+'Пр.4.1 ведом.23-24 '!G1006</f>
        <v>5190.7999999999993</v>
      </c>
      <c r="G342" s="311">
        <f>'Пр.4.1 ведом.23-24 '!H598+'Пр.4.1 ведом.23-24 '!H1006</f>
        <v>5190.7999999999993</v>
      </c>
    </row>
    <row r="343" spans="1:8" ht="31.5" x14ac:dyDescent="0.25">
      <c r="A343" s="22" t="s">
        <v>503</v>
      </c>
      <c r="B343" s="365" t="s">
        <v>168</v>
      </c>
      <c r="C343" s="365" t="s">
        <v>116</v>
      </c>
      <c r="D343" s="365" t="s">
        <v>527</v>
      </c>
      <c r="E343" s="316"/>
      <c r="F343" s="311">
        <f>F344</f>
        <v>1140</v>
      </c>
      <c r="G343" s="311">
        <f>G344</f>
        <v>1140</v>
      </c>
    </row>
    <row r="344" spans="1:8" ht="31.5" x14ac:dyDescent="0.25">
      <c r="A344" s="364" t="s">
        <v>123</v>
      </c>
      <c r="B344" s="365" t="s">
        <v>168</v>
      </c>
      <c r="C344" s="365" t="s">
        <v>116</v>
      </c>
      <c r="D344" s="365" t="s">
        <v>527</v>
      </c>
      <c r="E344" s="365" t="s">
        <v>124</v>
      </c>
      <c r="F344" s="311">
        <f>F345</f>
        <v>1140</v>
      </c>
      <c r="G344" s="311">
        <f>G345</f>
        <v>1140</v>
      </c>
    </row>
    <row r="345" spans="1:8" ht="31.5" x14ac:dyDescent="0.25">
      <c r="A345" s="364" t="s">
        <v>125</v>
      </c>
      <c r="B345" s="365" t="s">
        <v>168</v>
      </c>
      <c r="C345" s="365" t="s">
        <v>116</v>
      </c>
      <c r="D345" s="365" t="s">
        <v>527</v>
      </c>
      <c r="E345" s="365" t="s">
        <v>126</v>
      </c>
      <c r="F345" s="311">
        <f>'Пр.4.1 ведом.23-24 '!G1009</f>
        <v>1140</v>
      </c>
      <c r="G345" s="311">
        <f>'Пр.4.1 ведом.23-24 '!H1009</f>
        <v>1140</v>
      </c>
    </row>
    <row r="346" spans="1:8" ht="31.5" x14ac:dyDescent="0.25">
      <c r="A346" s="364" t="s">
        <v>1006</v>
      </c>
      <c r="B346" s="365" t="s">
        <v>168</v>
      </c>
      <c r="C346" s="365" t="s">
        <v>116</v>
      </c>
      <c r="D346" s="365" t="s">
        <v>1007</v>
      </c>
      <c r="E346" s="365"/>
      <c r="F346" s="311">
        <f>F347</f>
        <v>7419.83</v>
      </c>
      <c r="G346" s="311">
        <f>G347</f>
        <v>0</v>
      </c>
    </row>
    <row r="347" spans="1:8" ht="31.5" x14ac:dyDescent="0.25">
      <c r="A347" s="364" t="s">
        <v>123</v>
      </c>
      <c r="B347" s="365" t="s">
        <v>168</v>
      </c>
      <c r="C347" s="365" t="s">
        <v>116</v>
      </c>
      <c r="D347" s="365" t="s">
        <v>1007</v>
      </c>
      <c r="E347" s="365" t="s">
        <v>124</v>
      </c>
      <c r="F347" s="311">
        <f>F348</f>
        <v>7419.83</v>
      </c>
      <c r="G347" s="311">
        <f>G348</f>
        <v>0</v>
      </c>
    </row>
    <row r="348" spans="1:8" ht="31.5" x14ac:dyDescent="0.25">
      <c r="A348" s="364" t="s">
        <v>125</v>
      </c>
      <c r="B348" s="365" t="s">
        <v>168</v>
      </c>
      <c r="C348" s="365" t="s">
        <v>116</v>
      </c>
      <c r="D348" s="365" t="s">
        <v>1007</v>
      </c>
      <c r="E348" s="365" t="s">
        <v>126</v>
      </c>
      <c r="F348" s="311">
        <f>'Пр.4.1 ведом.23-24 '!G1012</f>
        <v>7419.83</v>
      </c>
      <c r="G348" s="311">
        <f>'Пр.4.1 ведом.23-24 '!H1012</f>
        <v>0</v>
      </c>
    </row>
    <row r="349" spans="1:8" ht="15.75" x14ac:dyDescent="0.25">
      <c r="A349" s="315" t="s">
        <v>262</v>
      </c>
      <c r="B349" s="316" t="s">
        <v>168</v>
      </c>
      <c r="C349" s="316" t="s">
        <v>158</v>
      </c>
      <c r="D349" s="316"/>
      <c r="E349" s="316"/>
      <c r="F349" s="310">
        <f>F380+F350+F409</f>
        <v>8184.7419999999993</v>
      </c>
      <c r="G349" s="310">
        <f>G380+G350+G409</f>
        <v>8354.0300000000007</v>
      </c>
      <c r="H349" s="74"/>
    </row>
    <row r="350" spans="1:8" ht="15.75" x14ac:dyDescent="0.25">
      <c r="A350" s="315" t="s">
        <v>133</v>
      </c>
      <c r="B350" s="316" t="s">
        <v>168</v>
      </c>
      <c r="C350" s="316" t="s">
        <v>158</v>
      </c>
      <c r="D350" s="316" t="s">
        <v>442</v>
      </c>
      <c r="E350" s="316"/>
      <c r="F350" s="310">
        <f>F351+F363</f>
        <v>7280.7419999999993</v>
      </c>
      <c r="G350" s="310">
        <f>G351+G363</f>
        <v>7450.0300000000007</v>
      </c>
    </row>
    <row r="351" spans="1:8" ht="33" customHeight="1" x14ac:dyDescent="0.25">
      <c r="A351" s="315" t="s">
        <v>446</v>
      </c>
      <c r="B351" s="316" t="s">
        <v>168</v>
      </c>
      <c r="C351" s="316" t="s">
        <v>158</v>
      </c>
      <c r="D351" s="316" t="s">
        <v>441</v>
      </c>
      <c r="E351" s="316"/>
      <c r="F351" s="310">
        <f>F352+F358</f>
        <v>7280.7419999999993</v>
      </c>
      <c r="G351" s="310">
        <f>G352+G358</f>
        <v>7450.0300000000007</v>
      </c>
    </row>
    <row r="352" spans="1:8" ht="17.45" hidden="1" customHeight="1" x14ac:dyDescent="0.25">
      <c r="A352" s="27" t="s">
        <v>271</v>
      </c>
      <c r="B352" s="365" t="s">
        <v>168</v>
      </c>
      <c r="C352" s="365" t="s">
        <v>158</v>
      </c>
      <c r="D352" s="365" t="s">
        <v>544</v>
      </c>
      <c r="E352" s="365"/>
      <c r="F352" s="311">
        <f>F353+F355</f>
        <v>0</v>
      </c>
      <c r="G352" s="311">
        <f>G353+G355</f>
        <v>0</v>
      </c>
    </row>
    <row r="353" spans="1:12" ht="35.450000000000003" hidden="1" customHeight="1" x14ac:dyDescent="0.25">
      <c r="A353" s="364" t="s">
        <v>123</v>
      </c>
      <c r="B353" s="365" t="s">
        <v>168</v>
      </c>
      <c r="C353" s="365" t="s">
        <v>158</v>
      </c>
      <c r="D353" s="365" t="s">
        <v>544</v>
      </c>
      <c r="E353" s="365" t="s">
        <v>124</v>
      </c>
      <c r="F353" s="311">
        <f>F354</f>
        <v>0</v>
      </c>
      <c r="G353" s="311">
        <f>G354</f>
        <v>0</v>
      </c>
    </row>
    <row r="354" spans="1:12" ht="31.5" hidden="1" x14ac:dyDescent="0.25">
      <c r="A354" s="364" t="s">
        <v>125</v>
      </c>
      <c r="B354" s="365" t="s">
        <v>168</v>
      </c>
      <c r="C354" s="365" t="s">
        <v>158</v>
      </c>
      <c r="D354" s="365" t="s">
        <v>544</v>
      </c>
      <c r="E354" s="365" t="s">
        <v>126</v>
      </c>
      <c r="F354" s="311">
        <f>'Пр.4 ведом.22'!G1018</f>
        <v>0</v>
      </c>
      <c r="G354" s="311">
        <f>'Пр.4 ведом.22'!H1018</f>
        <v>0</v>
      </c>
    </row>
    <row r="355" spans="1:12" ht="15.75" hidden="1" x14ac:dyDescent="0.25">
      <c r="A355" s="364" t="s">
        <v>127</v>
      </c>
      <c r="B355" s="365" t="s">
        <v>168</v>
      </c>
      <c r="C355" s="365" t="s">
        <v>158</v>
      </c>
      <c r="D355" s="365" t="s">
        <v>544</v>
      </c>
      <c r="E355" s="365" t="s">
        <v>134</v>
      </c>
      <c r="F355" s="311">
        <f>F356+F357</f>
        <v>0</v>
      </c>
      <c r="G355" s="311">
        <f>G356+G357</f>
        <v>0</v>
      </c>
    </row>
    <row r="356" spans="1:12" ht="47.25" hidden="1" x14ac:dyDescent="0.25">
      <c r="A356" s="364" t="s">
        <v>148</v>
      </c>
      <c r="B356" s="365" t="s">
        <v>168</v>
      </c>
      <c r="C356" s="365" t="s">
        <v>158</v>
      </c>
      <c r="D356" s="365" t="s">
        <v>544</v>
      </c>
      <c r="E356" s="365" t="s">
        <v>142</v>
      </c>
      <c r="F356" s="311">
        <f>'Пр.4 ведом.22'!G1020</f>
        <v>0</v>
      </c>
      <c r="G356" s="311">
        <f>'Пр.4 ведом.22'!H1020</f>
        <v>0</v>
      </c>
    </row>
    <row r="357" spans="1:12" ht="15.75" hidden="1" x14ac:dyDescent="0.25">
      <c r="A357" s="364" t="s">
        <v>731</v>
      </c>
      <c r="B357" s="365" t="s">
        <v>168</v>
      </c>
      <c r="C357" s="365" t="s">
        <v>158</v>
      </c>
      <c r="D357" s="365" t="s">
        <v>544</v>
      </c>
      <c r="E357" s="365" t="s">
        <v>136</v>
      </c>
      <c r="F357" s="311">
        <f>'Пр.4 ведом.22'!G1021</f>
        <v>0</v>
      </c>
      <c r="G357" s="311">
        <f>'Пр.4 ведом.22'!H1021</f>
        <v>0</v>
      </c>
    </row>
    <row r="358" spans="1:12" ht="31.5" x14ac:dyDescent="0.25">
      <c r="A358" s="22" t="s">
        <v>503</v>
      </c>
      <c r="B358" s="365" t="s">
        <v>168</v>
      </c>
      <c r="C358" s="365" t="s">
        <v>158</v>
      </c>
      <c r="D358" s="365" t="s">
        <v>527</v>
      </c>
      <c r="E358" s="365"/>
      <c r="F358" s="311">
        <f>F359+F361</f>
        <v>7280.7419999999993</v>
      </c>
      <c r="G358" s="311">
        <f>G359+G361</f>
        <v>7450.0300000000007</v>
      </c>
    </row>
    <row r="359" spans="1:12" s="363" customFormat="1" ht="31.5" x14ac:dyDescent="0.25">
      <c r="A359" s="364" t="s">
        <v>123</v>
      </c>
      <c r="B359" s="365" t="s">
        <v>168</v>
      </c>
      <c r="C359" s="365" t="s">
        <v>158</v>
      </c>
      <c r="D359" s="365" t="s">
        <v>527</v>
      </c>
      <c r="E359" s="365" t="s">
        <v>124</v>
      </c>
      <c r="F359" s="311">
        <f t="shared" ref="F359:G359" si="60">F360</f>
        <v>7280.7419999999993</v>
      </c>
      <c r="G359" s="311">
        <f t="shared" si="60"/>
        <v>7450.0300000000007</v>
      </c>
      <c r="L359" s="362"/>
    </row>
    <row r="360" spans="1:12" s="363" customFormat="1" ht="31.5" x14ac:dyDescent="0.25">
      <c r="A360" s="364" t="s">
        <v>125</v>
      </c>
      <c r="B360" s="365" t="s">
        <v>168</v>
      </c>
      <c r="C360" s="365" t="s">
        <v>158</v>
      </c>
      <c r="D360" s="365" t="s">
        <v>527</v>
      </c>
      <c r="E360" s="365" t="s">
        <v>126</v>
      </c>
      <c r="F360" s="311">
        <f>'Пр.4.1 ведом.23-24 '!G1024</f>
        <v>7280.7419999999993</v>
      </c>
      <c r="G360" s="311">
        <f>'Пр.4.1 ведом.23-24 '!H1024</f>
        <v>7450.0300000000007</v>
      </c>
      <c r="L360" s="362"/>
    </row>
    <row r="361" spans="1:12" s="363" customFormat="1" ht="15.75" x14ac:dyDescent="0.25">
      <c r="A361" s="364" t="s">
        <v>127</v>
      </c>
      <c r="B361" s="365" t="s">
        <v>168</v>
      </c>
      <c r="C361" s="365" t="s">
        <v>158</v>
      </c>
      <c r="D361" s="365" t="s">
        <v>527</v>
      </c>
      <c r="E361" s="365" t="s">
        <v>134</v>
      </c>
      <c r="F361" s="311">
        <f>F362</f>
        <v>0</v>
      </c>
      <c r="G361" s="311">
        <f>G362</f>
        <v>0</v>
      </c>
      <c r="L361" s="362"/>
    </row>
    <row r="362" spans="1:12" s="363" customFormat="1" ht="15.75" x14ac:dyDescent="0.25">
      <c r="A362" s="364" t="s">
        <v>135</v>
      </c>
      <c r="B362" s="365" t="s">
        <v>168</v>
      </c>
      <c r="C362" s="365" t="s">
        <v>158</v>
      </c>
      <c r="D362" s="365" t="s">
        <v>527</v>
      </c>
      <c r="E362" s="365" t="s">
        <v>136</v>
      </c>
      <c r="F362" s="311">
        <f>'Пр.4 ведом.22'!G1026</f>
        <v>0</v>
      </c>
      <c r="G362" s="311">
        <f>'Пр.4 ведом.22'!H1026</f>
        <v>0</v>
      </c>
      <c r="L362" s="362"/>
    </row>
    <row r="363" spans="1:12" s="363" customFormat="1" ht="47.25" hidden="1" x14ac:dyDescent="0.25">
      <c r="A363" s="315" t="s">
        <v>576</v>
      </c>
      <c r="B363" s="316" t="s">
        <v>168</v>
      </c>
      <c r="C363" s="316" t="s">
        <v>158</v>
      </c>
      <c r="D363" s="316" t="s">
        <v>545</v>
      </c>
      <c r="E363" s="316"/>
      <c r="F363" s="310">
        <f>F364+F369+F372+F377</f>
        <v>0</v>
      </c>
      <c r="G363" s="310">
        <f>G364+G369+G372+G377</f>
        <v>0</v>
      </c>
      <c r="L363" s="362"/>
    </row>
    <row r="364" spans="1:12" s="363" customFormat="1" ht="47.25" hidden="1" x14ac:dyDescent="0.25">
      <c r="A364" s="364" t="s">
        <v>404</v>
      </c>
      <c r="B364" s="365" t="s">
        <v>168</v>
      </c>
      <c r="C364" s="365" t="s">
        <v>158</v>
      </c>
      <c r="D364" s="365" t="s">
        <v>546</v>
      </c>
      <c r="E364" s="365"/>
      <c r="F364" s="311">
        <f>F365+F367</f>
        <v>0</v>
      </c>
      <c r="G364" s="311">
        <f>G365+G367</f>
        <v>0</v>
      </c>
      <c r="L364" s="362"/>
    </row>
    <row r="365" spans="1:12" s="363" customFormat="1" ht="31.5" hidden="1" x14ac:dyDescent="0.25">
      <c r="A365" s="364" t="s">
        <v>123</v>
      </c>
      <c r="B365" s="365" t="s">
        <v>168</v>
      </c>
      <c r="C365" s="365" t="s">
        <v>158</v>
      </c>
      <c r="D365" s="365" t="s">
        <v>546</v>
      </c>
      <c r="E365" s="365" t="s">
        <v>124</v>
      </c>
      <c r="F365" s="311">
        <f>F366</f>
        <v>0</v>
      </c>
      <c r="G365" s="311">
        <f>G366</f>
        <v>0</v>
      </c>
      <c r="L365" s="362"/>
    </row>
    <row r="366" spans="1:12" s="363" customFormat="1" ht="31.5" hidden="1" x14ac:dyDescent="0.25">
      <c r="A366" s="364" t="s">
        <v>125</v>
      </c>
      <c r="B366" s="365" t="s">
        <v>168</v>
      </c>
      <c r="C366" s="365" t="s">
        <v>158</v>
      </c>
      <c r="D366" s="365" t="s">
        <v>546</v>
      </c>
      <c r="E366" s="365" t="s">
        <v>126</v>
      </c>
      <c r="F366" s="311">
        <f>'Пр.4 ведом.22'!G1030</f>
        <v>0</v>
      </c>
      <c r="G366" s="311">
        <f>'Пр.4 ведом.22'!H1030</f>
        <v>0</v>
      </c>
      <c r="L366" s="362"/>
    </row>
    <row r="367" spans="1:12" s="363" customFormat="1" ht="15.75" hidden="1" x14ac:dyDescent="0.25">
      <c r="A367" s="364" t="s">
        <v>127</v>
      </c>
      <c r="B367" s="365" t="s">
        <v>168</v>
      </c>
      <c r="C367" s="365" t="s">
        <v>158</v>
      </c>
      <c r="D367" s="365" t="s">
        <v>546</v>
      </c>
      <c r="E367" s="365" t="s">
        <v>414</v>
      </c>
      <c r="F367" s="311">
        <f>F368</f>
        <v>0</v>
      </c>
      <c r="G367" s="311">
        <f>G368</f>
        <v>0</v>
      </c>
      <c r="L367" s="362"/>
    </row>
    <row r="368" spans="1:12" s="363" customFormat="1" ht="15.75" hidden="1" x14ac:dyDescent="0.25">
      <c r="A368" s="364" t="s">
        <v>280</v>
      </c>
      <c r="B368" s="365" t="s">
        <v>168</v>
      </c>
      <c r="C368" s="365" t="s">
        <v>158</v>
      </c>
      <c r="D368" s="365" t="s">
        <v>546</v>
      </c>
      <c r="E368" s="365" t="s">
        <v>624</v>
      </c>
      <c r="F368" s="311">
        <f>'Пр.4 ведом.22'!G1032</f>
        <v>0</v>
      </c>
      <c r="G368" s="311">
        <f>'Пр.4 ведом.22'!H1032</f>
        <v>0</v>
      </c>
      <c r="L368" s="362"/>
    </row>
    <row r="369" spans="1:12" s="363" customFormat="1" ht="49.7" hidden="1" customHeight="1" x14ac:dyDescent="0.25">
      <c r="A369" s="364" t="s">
        <v>371</v>
      </c>
      <c r="B369" s="365" t="s">
        <v>168</v>
      </c>
      <c r="C369" s="365" t="s">
        <v>158</v>
      </c>
      <c r="D369" s="365" t="s">
        <v>547</v>
      </c>
      <c r="E369" s="365"/>
      <c r="F369" s="311">
        <f>F370</f>
        <v>0</v>
      </c>
      <c r="G369" s="311">
        <f>G370</f>
        <v>0</v>
      </c>
      <c r="L369" s="362"/>
    </row>
    <row r="370" spans="1:12" s="363" customFormat="1" ht="31.5" hidden="1" x14ac:dyDescent="0.25">
      <c r="A370" s="364" t="s">
        <v>123</v>
      </c>
      <c r="B370" s="365" t="s">
        <v>168</v>
      </c>
      <c r="C370" s="365" t="s">
        <v>158</v>
      </c>
      <c r="D370" s="365" t="s">
        <v>547</v>
      </c>
      <c r="E370" s="365" t="s">
        <v>124</v>
      </c>
      <c r="F370" s="311">
        <f>F371</f>
        <v>0</v>
      </c>
      <c r="G370" s="311">
        <f>G371</f>
        <v>0</v>
      </c>
      <c r="L370" s="362"/>
    </row>
    <row r="371" spans="1:12" s="363" customFormat="1" ht="31.5" hidden="1" x14ac:dyDescent="0.25">
      <c r="A371" s="364" t="s">
        <v>125</v>
      </c>
      <c r="B371" s="365" t="s">
        <v>168</v>
      </c>
      <c r="C371" s="365" t="s">
        <v>158</v>
      </c>
      <c r="D371" s="365" t="s">
        <v>547</v>
      </c>
      <c r="E371" s="365" t="s">
        <v>126</v>
      </c>
      <c r="F371" s="311">
        <f>'Пр.4 ведом.22'!G1035</f>
        <v>0</v>
      </c>
      <c r="G371" s="311">
        <f>'Пр.4 ведом.22'!H1035</f>
        <v>0</v>
      </c>
      <c r="L371" s="362"/>
    </row>
    <row r="372" spans="1:12" s="363" customFormat="1" ht="47.25" hidden="1" x14ac:dyDescent="0.25">
      <c r="A372" s="69" t="s">
        <v>410</v>
      </c>
      <c r="B372" s="365" t="s">
        <v>168</v>
      </c>
      <c r="C372" s="365" t="s">
        <v>158</v>
      </c>
      <c r="D372" s="365" t="s">
        <v>548</v>
      </c>
      <c r="E372" s="365"/>
      <c r="F372" s="311">
        <f>F373+F375</f>
        <v>0</v>
      </c>
      <c r="G372" s="311">
        <f>G373+G375</f>
        <v>0</v>
      </c>
      <c r="L372" s="362"/>
    </row>
    <row r="373" spans="1:12" s="363" customFormat="1" ht="31.5" hidden="1" x14ac:dyDescent="0.25">
      <c r="A373" s="364" t="s">
        <v>415</v>
      </c>
      <c r="B373" s="365" t="s">
        <v>168</v>
      </c>
      <c r="C373" s="365" t="s">
        <v>158</v>
      </c>
      <c r="D373" s="365" t="s">
        <v>548</v>
      </c>
      <c r="E373" s="365" t="s">
        <v>414</v>
      </c>
      <c r="F373" s="311">
        <f>F374</f>
        <v>0</v>
      </c>
      <c r="G373" s="311">
        <f>G374</f>
        <v>0</v>
      </c>
      <c r="L373" s="362"/>
    </row>
    <row r="374" spans="1:12" s="363" customFormat="1" ht="31.7" hidden="1" customHeight="1" x14ac:dyDescent="0.25">
      <c r="A374" s="364" t="s">
        <v>609</v>
      </c>
      <c r="B374" s="365" t="s">
        <v>168</v>
      </c>
      <c r="C374" s="365" t="s">
        <v>158</v>
      </c>
      <c r="D374" s="365" t="s">
        <v>548</v>
      </c>
      <c r="E374" s="365" t="s">
        <v>624</v>
      </c>
      <c r="F374" s="311">
        <f>'Пр.4 ведом.22'!G1038</f>
        <v>0</v>
      </c>
      <c r="G374" s="311">
        <f>'Пр.4 ведом.22'!H1038</f>
        <v>0</v>
      </c>
      <c r="L374" s="362"/>
    </row>
    <row r="375" spans="1:12" s="363" customFormat="1" ht="21.2" hidden="1" customHeight="1" x14ac:dyDescent="0.25">
      <c r="A375" s="364" t="s">
        <v>127</v>
      </c>
      <c r="B375" s="365" t="s">
        <v>168</v>
      </c>
      <c r="C375" s="365" t="s">
        <v>158</v>
      </c>
      <c r="D375" s="365" t="s">
        <v>548</v>
      </c>
      <c r="E375" s="365" t="s">
        <v>134</v>
      </c>
      <c r="F375" s="311">
        <f>F376</f>
        <v>0</v>
      </c>
      <c r="G375" s="311">
        <f>G376</f>
        <v>0</v>
      </c>
      <c r="L375" s="362"/>
    </row>
    <row r="376" spans="1:12" s="363" customFormat="1" ht="21.75" hidden="1" customHeight="1" x14ac:dyDescent="0.25">
      <c r="A376" s="364" t="s">
        <v>338</v>
      </c>
      <c r="B376" s="365" t="s">
        <v>168</v>
      </c>
      <c r="C376" s="365" t="s">
        <v>158</v>
      </c>
      <c r="D376" s="365" t="s">
        <v>548</v>
      </c>
      <c r="E376" s="365" t="s">
        <v>130</v>
      </c>
      <c r="F376" s="311">
        <f>'Пр.4 ведом.22'!G1040</f>
        <v>0</v>
      </c>
      <c r="G376" s="311">
        <f>'Пр.4 ведом.22'!H1040</f>
        <v>0</v>
      </c>
      <c r="L376" s="362"/>
    </row>
    <row r="377" spans="1:12" s="363" customFormat="1" ht="31.5" hidden="1" x14ac:dyDescent="0.25">
      <c r="A377" s="364" t="s">
        <v>625</v>
      </c>
      <c r="B377" s="365" t="s">
        <v>168</v>
      </c>
      <c r="C377" s="365" t="s">
        <v>158</v>
      </c>
      <c r="D377" s="365" t="s">
        <v>626</v>
      </c>
      <c r="E377" s="365"/>
      <c r="F377" s="311">
        <f t="shared" ref="F377:G378" si="61">F378</f>
        <v>0</v>
      </c>
      <c r="G377" s="311">
        <f t="shared" si="61"/>
        <v>0</v>
      </c>
      <c r="L377" s="362"/>
    </row>
    <row r="378" spans="1:12" s="363" customFormat="1" ht="31.5" hidden="1" x14ac:dyDescent="0.25">
      <c r="A378" s="364" t="s">
        <v>123</v>
      </c>
      <c r="B378" s="365" t="s">
        <v>168</v>
      </c>
      <c r="C378" s="365" t="s">
        <v>158</v>
      </c>
      <c r="D378" s="365" t="s">
        <v>626</v>
      </c>
      <c r="E378" s="365" t="s">
        <v>124</v>
      </c>
      <c r="F378" s="311">
        <f t="shared" si="61"/>
        <v>0</v>
      </c>
      <c r="G378" s="311">
        <f t="shared" si="61"/>
        <v>0</v>
      </c>
      <c r="L378" s="362"/>
    </row>
    <row r="379" spans="1:12" s="363" customFormat="1" ht="31.5" hidden="1" x14ac:dyDescent="0.25">
      <c r="A379" s="364" t="s">
        <v>125</v>
      </c>
      <c r="B379" s="365" t="s">
        <v>168</v>
      </c>
      <c r="C379" s="365" t="s">
        <v>158</v>
      </c>
      <c r="D379" s="365" t="s">
        <v>626</v>
      </c>
      <c r="E379" s="365" t="s">
        <v>126</v>
      </c>
      <c r="F379" s="311">
        <f>'Пр.4 ведом.22'!G1043</f>
        <v>0</v>
      </c>
      <c r="G379" s="311">
        <f>'Пр.4 ведом.22'!H1043</f>
        <v>0</v>
      </c>
      <c r="L379" s="362"/>
    </row>
    <row r="380" spans="1:12" s="363" customFormat="1" ht="63" x14ac:dyDescent="0.25">
      <c r="A380" s="315" t="s">
        <v>975</v>
      </c>
      <c r="B380" s="316" t="s">
        <v>168</v>
      </c>
      <c r="C380" s="316" t="s">
        <v>158</v>
      </c>
      <c r="D380" s="316" t="s">
        <v>263</v>
      </c>
      <c r="E380" s="316"/>
      <c r="F380" s="310">
        <f>F381+F385+F389+F393+F397+F401+F405</f>
        <v>700</v>
      </c>
      <c r="G380" s="310">
        <f>G381+G385+G389+G393+G397+G401+G405</f>
        <v>700</v>
      </c>
      <c r="L380" s="362"/>
    </row>
    <row r="381" spans="1:12" s="363" customFormat="1" ht="31.5" x14ac:dyDescent="0.25">
      <c r="A381" s="315" t="s">
        <v>528</v>
      </c>
      <c r="B381" s="316" t="s">
        <v>168</v>
      </c>
      <c r="C381" s="316" t="s">
        <v>158</v>
      </c>
      <c r="D381" s="316" t="s">
        <v>530</v>
      </c>
      <c r="E381" s="316"/>
      <c r="F381" s="310">
        <f>F382</f>
        <v>700</v>
      </c>
      <c r="G381" s="310">
        <f>G382</f>
        <v>700</v>
      </c>
      <c r="L381" s="362"/>
    </row>
    <row r="382" spans="1:12" s="363" customFormat="1" ht="15.75" x14ac:dyDescent="0.25">
      <c r="A382" s="31" t="s">
        <v>529</v>
      </c>
      <c r="B382" s="360" t="s">
        <v>168</v>
      </c>
      <c r="C382" s="360" t="s">
        <v>158</v>
      </c>
      <c r="D382" s="365" t="s">
        <v>531</v>
      </c>
      <c r="E382" s="360"/>
      <c r="F382" s="311">
        <f t="shared" ref="F382:G383" si="62">F383</f>
        <v>700</v>
      </c>
      <c r="G382" s="311">
        <f t="shared" si="62"/>
        <v>700</v>
      </c>
      <c r="L382" s="362"/>
    </row>
    <row r="383" spans="1:12" s="363" customFormat="1" ht="31.5" x14ac:dyDescent="0.25">
      <c r="A383" s="24" t="s">
        <v>123</v>
      </c>
      <c r="B383" s="360" t="s">
        <v>168</v>
      </c>
      <c r="C383" s="360" t="s">
        <v>158</v>
      </c>
      <c r="D383" s="365" t="s">
        <v>531</v>
      </c>
      <c r="E383" s="360" t="s">
        <v>124</v>
      </c>
      <c r="F383" s="311">
        <f t="shared" si="62"/>
        <v>700</v>
      </c>
      <c r="G383" s="311">
        <f t="shared" si="62"/>
        <v>700</v>
      </c>
      <c r="L383" s="362"/>
    </row>
    <row r="384" spans="1:12" s="363" customFormat="1" ht="31.5" x14ac:dyDescent="0.25">
      <c r="A384" s="24" t="s">
        <v>125</v>
      </c>
      <c r="B384" s="360" t="s">
        <v>168</v>
      </c>
      <c r="C384" s="360" t="s">
        <v>158</v>
      </c>
      <c r="D384" s="365" t="s">
        <v>531</v>
      </c>
      <c r="E384" s="360" t="s">
        <v>126</v>
      </c>
      <c r="F384" s="311">
        <f>'Пр.4.1 ведом.23-24 '!G1048</f>
        <v>700</v>
      </c>
      <c r="G384" s="311">
        <f>'Пр.4.1 ведом.23-24 '!H1048</f>
        <v>700</v>
      </c>
      <c r="L384" s="362"/>
    </row>
    <row r="385" spans="1:12" s="363" customFormat="1" ht="31.5" hidden="1" x14ac:dyDescent="0.25">
      <c r="A385" s="26" t="s">
        <v>532</v>
      </c>
      <c r="B385" s="7" t="s">
        <v>168</v>
      </c>
      <c r="C385" s="7" t="s">
        <v>158</v>
      </c>
      <c r="D385" s="316" t="s">
        <v>533</v>
      </c>
      <c r="E385" s="7"/>
      <c r="F385" s="310">
        <f t="shared" ref="F385:G387" si="63">F386</f>
        <v>0</v>
      </c>
      <c r="G385" s="310">
        <f t="shared" si="63"/>
        <v>0</v>
      </c>
      <c r="L385" s="362"/>
    </row>
    <row r="386" spans="1:12" s="363" customFormat="1" ht="15.75" hidden="1" x14ac:dyDescent="0.25">
      <c r="A386" s="31" t="s">
        <v>265</v>
      </c>
      <c r="B386" s="360" t="s">
        <v>168</v>
      </c>
      <c r="C386" s="360" t="s">
        <v>158</v>
      </c>
      <c r="D386" s="365" t="s">
        <v>536</v>
      </c>
      <c r="E386" s="360"/>
      <c r="F386" s="311">
        <f t="shared" si="63"/>
        <v>0</v>
      </c>
      <c r="G386" s="311">
        <f t="shared" si="63"/>
        <v>0</v>
      </c>
      <c r="L386" s="362"/>
    </row>
    <row r="387" spans="1:12" s="363" customFormat="1" ht="31.5" hidden="1" x14ac:dyDescent="0.25">
      <c r="A387" s="24" t="s">
        <v>123</v>
      </c>
      <c r="B387" s="360" t="s">
        <v>168</v>
      </c>
      <c r="C387" s="360" t="s">
        <v>158</v>
      </c>
      <c r="D387" s="365" t="s">
        <v>536</v>
      </c>
      <c r="E387" s="360" t="s">
        <v>124</v>
      </c>
      <c r="F387" s="311">
        <f t="shared" si="63"/>
        <v>0</v>
      </c>
      <c r="G387" s="311">
        <f t="shared" si="63"/>
        <v>0</v>
      </c>
      <c r="L387" s="362"/>
    </row>
    <row r="388" spans="1:12" s="363" customFormat="1" ht="31.5" hidden="1" x14ac:dyDescent="0.25">
      <c r="A388" s="24" t="s">
        <v>125</v>
      </c>
      <c r="B388" s="360" t="s">
        <v>168</v>
      </c>
      <c r="C388" s="360" t="s">
        <v>158</v>
      </c>
      <c r="D388" s="365" t="s">
        <v>536</v>
      </c>
      <c r="E388" s="360" t="s">
        <v>126</v>
      </c>
      <c r="F388" s="311">
        <f>'Пр.4.1 ведом.23-24 '!G1052</f>
        <v>0</v>
      </c>
      <c r="G388" s="311">
        <f>'Пр.4.1 ведом.23-24 '!H1052</f>
        <v>0</v>
      </c>
      <c r="L388" s="362"/>
    </row>
    <row r="389" spans="1:12" s="363" customFormat="1" ht="31.5" hidden="1" x14ac:dyDescent="0.25">
      <c r="A389" s="37" t="s">
        <v>534</v>
      </c>
      <c r="B389" s="7" t="s">
        <v>168</v>
      </c>
      <c r="C389" s="7" t="s">
        <v>158</v>
      </c>
      <c r="D389" s="316" t="s">
        <v>535</v>
      </c>
      <c r="E389" s="7"/>
      <c r="F389" s="310">
        <f t="shared" ref="F389:G391" si="64">F390</f>
        <v>0</v>
      </c>
      <c r="G389" s="310">
        <f t="shared" si="64"/>
        <v>0</v>
      </c>
      <c r="L389" s="362"/>
    </row>
    <row r="390" spans="1:12" s="363" customFormat="1" ht="15.75" hidden="1" x14ac:dyDescent="0.25">
      <c r="A390" s="31" t="s">
        <v>266</v>
      </c>
      <c r="B390" s="360" t="s">
        <v>168</v>
      </c>
      <c r="C390" s="360" t="s">
        <v>158</v>
      </c>
      <c r="D390" s="365" t="s">
        <v>537</v>
      </c>
      <c r="E390" s="360"/>
      <c r="F390" s="311">
        <f t="shared" si="64"/>
        <v>0</v>
      </c>
      <c r="G390" s="311">
        <f t="shared" si="64"/>
        <v>0</v>
      </c>
      <c r="L390" s="362"/>
    </row>
    <row r="391" spans="1:12" s="363" customFormat="1" ht="31.5" hidden="1" x14ac:dyDescent="0.25">
      <c r="A391" s="24" t="s">
        <v>123</v>
      </c>
      <c r="B391" s="360" t="s">
        <v>168</v>
      </c>
      <c r="C391" s="360" t="s">
        <v>158</v>
      </c>
      <c r="D391" s="365" t="s">
        <v>537</v>
      </c>
      <c r="E391" s="360" t="s">
        <v>124</v>
      </c>
      <c r="F391" s="311">
        <f t="shared" si="64"/>
        <v>0</v>
      </c>
      <c r="G391" s="311">
        <f t="shared" si="64"/>
        <v>0</v>
      </c>
      <c r="L391" s="362"/>
    </row>
    <row r="392" spans="1:12" s="363" customFormat="1" ht="31.5" hidden="1" x14ac:dyDescent="0.25">
      <c r="A392" s="24" t="s">
        <v>125</v>
      </c>
      <c r="B392" s="360" t="s">
        <v>168</v>
      </c>
      <c r="C392" s="360" t="s">
        <v>158</v>
      </c>
      <c r="D392" s="365" t="s">
        <v>537</v>
      </c>
      <c r="E392" s="360" t="s">
        <v>126</v>
      </c>
      <c r="F392" s="311">
        <f>'Пр.4.1 ведом.23-24 '!G1056</f>
        <v>0</v>
      </c>
      <c r="G392" s="311">
        <f>'Пр.4.1 ведом.23-24 '!H1056</f>
        <v>0</v>
      </c>
      <c r="L392" s="362"/>
    </row>
    <row r="393" spans="1:12" s="363" customFormat="1" ht="31.5" hidden="1" x14ac:dyDescent="0.25">
      <c r="A393" s="37" t="s">
        <v>538</v>
      </c>
      <c r="B393" s="7" t="s">
        <v>168</v>
      </c>
      <c r="C393" s="7" t="s">
        <v>158</v>
      </c>
      <c r="D393" s="316" t="s">
        <v>539</v>
      </c>
      <c r="E393" s="7"/>
      <c r="F393" s="310">
        <f t="shared" ref="F393:G395" si="65">F394</f>
        <v>0</v>
      </c>
      <c r="G393" s="310">
        <f t="shared" si="65"/>
        <v>0</v>
      </c>
      <c r="L393" s="362"/>
    </row>
    <row r="394" spans="1:12" s="363" customFormat="1" ht="15.75" hidden="1" x14ac:dyDescent="0.25">
      <c r="A394" s="31" t="s">
        <v>267</v>
      </c>
      <c r="B394" s="360" t="s">
        <v>168</v>
      </c>
      <c r="C394" s="360" t="s">
        <v>158</v>
      </c>
      <c r="D394" s="365" t="s">
        <v>540</v>
      </c>
      <c r="E394" s="360"/>
      <c r="F394" s="311">
        <f t="shared" si="65"/>
        <v>0</v>
      </c>
      <c r="G394" s="311">
        <f t="shared" si="65"/>
        <v>0</v>
      </c>
      <c r="L394" s="362"/>
    </row>
    <row r="395" spans="1:12" s="363" customFormat="1" ht="31.5" hidden="1" x14ac:dyDescent="0.25">
      <c r="A395" s="24" t="s">
        <v>123</v>
      </c>
      <c r="B395" s="360" t="s">
        <v>168</v>
      </c>
      <c r="C395" s="360" t="s">
        <v>158</v>
      </c>
      <c r="D395" s="365" t="s">
        <v>540</v>
      </c>
      <c r="E395" s="360" t="s">
        <v>124</v>
      </c>
      <c r="F395" s="311">
        <f t="shared" si="65"/>
        <v>0</v>
      </c>
      <c r="G395" s="311">
        <f t="shared" si="65"/>
        <v>0</v>
      </c>
      <c r="L395" s="362"/>
    </row>
    <row r="396" spans="1:12" s="363" customFormat="1" ht="31.5" hidden="1" x14ac:dyDescent="0.25">
      <c r="A396" s="24" t="s">
        <v>125</v>
      </c>
      <c r="B396" s="360" t="s">
        <v>168</v>
      </c>
      <c r="C396" s="360" t="s">
        <v>158</v>
      </c>
      <c r="D396" s="365" t="s">
        <v>540</v>
      </c>
      <c r="E396" s="360" t="s">
        <v>126</v>
      </c>
      <c r="F396" s="311">
        <f>'Пр.4.1 ведом.23-24 '!G1060</f>
        <v>0</v>
      </c>
      <c r="G396" s="311">
        <f>'Пр.4.1 ведом.23-24 '!H1060</f>
        <v>0</v>
      </c>
      <c r="L396" s="362"/>
    </row>
    <row r="397" spans="1:12" s="363" customFormat="1" ht="31.5" hidden="1" x14ac:dyDescent="0.25">
      <c r="A397" s="26" t="s">
        <v>577</v>
      </c>
      <c r="B397" s="7" t="s">
        <v>168</v>
      </c>
      <c r="C397" s="7" t="s">
        <v>158</v>
      </c>
      <c r="D397" s="316" t="s">
        <v>578</v>
      </c>
      <c r="E397" s="7"/>
      <c r="F397" s="310">
        <f t="shared" ref="F397:G399" si="66">F398</f>
        <v>0</v>
      </c>
      <c r="G397" s="310">
        <f t="shared" si="66"/>
        <v>0</v>
      </c>
      <c r="L397" s="362"/>
    </row>
    <row r="398" spans="1:12" s="363" customFormat="1" ht="18" hidden="1" customHeight="1" x14ac:dyDescent="0.25">
      <c r="A398" s="31" t="s">
        <v>268</v>
      </c>
      <c r="B398" s="360" t="s">
        <v>168</v>
      </c>
      <c r="C398" s="360" t="s">
        <v>158</v>
      </c>
      <c r="D398" s="365" t="s">
        <v>581</v>
      </c>
      <c r="E398" s="360"/>
      <c r="F398" s="311">
        <f t="shared" si="66"/>
        <v>0</v>
      </c>
      <c r="G398" s="311">
        <f t="shared" si="66"/>
        <v>0</v>
      </c>
      <c r="L398" s="362"/>
    </row>
    <row r="399" spans="1:12" s="363" customFormat="1" ht="31.5" hidden="1" x14ac:dyDescent="0.25">
      <c r="A399" s="24" t="s">
        <v>123</v>
      </c>
      <c r="B399" s="360" t="s">
        <v>168</v>
      </c>
      <c r="C399" s="360" t="s">
        <v>158</v>
      </c>
      <c r="D399" s="365" t="s">
        <v>581</v>
      </c>
      <c r="E399" s="360" t="s">
        <v>124</v>
      </c>
      <c r="F399" s="311">
        <f t="shared" si="66"/>
        <v>0</v>
      </c>
      <c r="G399" s="311">
        <f t="shared" si="66"/>
        <v>0</v>
      </c>
      <c r="L399" s="362"/>
    </row>
    <row r="400" spans="1:12" s="363" customFormat="1" ht="31.5" hidden="1" x14ac:dyDescent="0.25">
      <c r="A400" s="24" t="s">
        <v>125</v>
      </c>
      <c r="B400" s="360" t="s">
        <v>168</v>
      </c>
      <c r="C400" s="360" t="s">
        <v>158</v>
      </c>
      <c r="D400" s="365" t="s">
        <v>581</v>
      </c>
      <c r="E400" s="360" t="s">
        <v>126</v>
      </c>
      <c r="F400" s="311">
        <f>'Пр.4.1 ведом.23-24 '!G1064</f>
        <v>0</v>
      </c>
      <c r="G400" s="311">
        <f>'Пр.4.1 ведом.23-24 '!H1064</f>
        <v>0</v>
      </c>
      <c r="L400" s="362"/>
    </row>
    <row r="401" spans="1:12" s="363" customFormat="1" ht="31.5" hidden="1" x14ac:dyDescent="0.25">
      <c r="A401" s="146" t="s">
        <v>579</v>
      </c>
      <c r="B401" s="7" t="s">
        <v>168</v>
      </c>
      <c r="C401" s="7" t="s">
        <v>158</v>
      </c>
      <c r="D401" s="316" t="s">
        <v>580</v>
      </c>
      <c r="E401" s="7"/>
      <c r="F401" s="310">
        <f t="shared" ref="F401:G403" si="67">F402</f>
        <v>0</v>
      </c>
      <c r="G401" s="310">
        <f t="shared" si="67"/>
        <v>0</v>
      </c>
      <c r="L401" s="362"/>
    </row>
    <row r="402" spans="1:12" s="363" customFormat="1" ht="31.5" hidden="1" x14ac:dyDescent="0.25">
      <c r="A402" s="103" t="s">
        <v>269</v>
      </c>
      <c r="B402" s="360" t="s">
        <v>168</v>
      </c>
      <c r="C402" s="360" t="s">
        <v>158</v>
      </c>
      <c r="D402" s="365" t="s">
        <v>582</v>
      </c>
      <c r="E402" s="360"/>
      <c r="F402" s="311">
        <f t="shared" si="67"/>
        <v>0</v>
      </c>
      <c r="G402" s="311">
        <f t="shared" si="67"/>
        <v>0</v>
      </c>
      <c r="L402" s="362"/>
    </row>
    <row r="403" spans="1:12" s="363" customFormat="1" ht="31.5" hidden="1" x14ac:dyDescent="0.25">
      <c r="A403" s="24" t="s">
        <v>123</v>
      </c>
      <c r="B403" s="360" t="s">
        <v>168</v>
      </c>
      <c r="C403" s="360" t="s">
        <v>158</v>
      </c>
      <c r="D403" s="365" t="s">
        <v>582</v>
      </c>
      <c r="E403" s="360" t="s">
        <v>124</v>
      </c>
      <c r="F403" s="311">
        <f t="shared" si="67"/>
        <v>0</v>
      </c>
      <c r="G403" s="311">
        <f t="shared" si="67"/>
        <v>0</v>
      </c>
      <c r="L403" s="362"/>
    </row>
    <row r="404" spans="1:12" s="363" customFormat="1" ht="31.5" hidden="1" x14ac:dyDescent="0.25">
      <c r="A404" s="24" t="s">
        <v>125</v>
      </c>
      <c r="B404" s="360" t="s">
        <v>168</v>
      </c>
      <c r="C404" s="360" t="s">
        <v>158</v>
      </c>
      <c r="D404" s="365" t="s">
        <v>582</v>
      </c>
      <c r="E404" s="360" t="s">
        <v>126</v>
      </c>
      <c r="F404" s="311">
        <f>'Пр.4.1 ведом.23-24 '!G1068</f>
        <v>0</v>
      </c>
      <c r="G404" s="311">
        <f>'Пр.4.1 ведом.23-24 '!H1068</f>
        <v>0</v>
      </c>
      <c r="L404" s="362"/>
    </row>
    <row r="405" spans="1:12" s="363" customFormat="1" ht="31.5" hidden="1" x14ac:dyDescent="0.25">
      <c r="A405" s="146" t="s">
        <v>542</v>
      </c>
      <c r="B405" s="7" t="s">
        <v>168</v>
      </c>
      <c r="C405" s="7" t="s">
        <v>158</v>
      </c>
      <c r="D405" s="316" t="s">
        <v>543</v>
      </c>
      <c r="E405" s="7"/>
      <c r="F405" s="310">
        <f t="shared" ref="F405:G407" si="68">F406</f>
        <v>0</v>
      </c>
      <c r="G405" s="310">
        <f t="shared" si="68"/>
        <v>0</v>
      </c>
      <c r="L405" s="362"/>
    </row>
    <row r="406" spans="1:12" s="363" customFormat="1" ht="15.75" hidden="1" x14ac:dyDescent="0.25">
      <c r="A406" s="103" t="s">
        <v>270</v>
      </c>
      <c r="B406" s="360" t="s">
        <v>168</v>
      </c>
      <c r="C406" s="360" t="s">
        <v>158</v>
      </c>
      <c r="D406" s="365" t="s">
        <v>541</v>
      </c>
      <c r="E406" s="360"/>
      <c r="F406" s="311">
        <f t="shared" si="68"/>
        <v>0</v>
      </c>
      <c r="G406" s="311">
        <f t="shared" si="68"/>
        <v>0</v>
      </c>
      <c r="L406" s="362"/>
    </row>
    <row r="407" spans="1:12" ht="31.5" hidden="1" x14ac:dyDescent="0.25">
      <c r="A407" s="364" t="s">
        <v>123</v>
      </c>
      <c r="B407" s="360" t="s">
        <v>168</v>
      </c>
      <c r="C407" s="360" t="s">
        <v>158</v>
      </c>
      <c r="D407" s="365" t="s">
        <v>541</v>
      </c>
      <c r="E407" s="360" t="s">
        <v>124</v>
      </c>
      <c r="F407" s="311">
        <f t="shared" si="68"/>
        <v>0</v>
      </c>
      <c r="G407" s="311">
        <f t="shared" si="68"/>
        <v>0</v>
      </c>
    </row>
    <row r="408" spans="1:12" ht="31.5" hidden="1" x14ac:dyDescent="0.25">
      <c r="A408" s="364" t="s">
        <v>125</v>
      </c>
      <c r="B408" s="360" t="s">
        <v>168</v>
      </c>
      <c r="C408" s="360" t="s">
        <v>158</v>
      </c>
      <c r="D408" s="365" t="s">
        <v>541</v>
      </c>
      <c r="E408" s="360" t="s">
        <v>126</v>
      </c>
      <c r="F408" s="311">
        <f>'Пр.4.1 ведом.23-24 '!G1072</f>
        <v>0</v>
      </c>
      <c r="G408" s="311">
        <f>'Пр.4.1 ведом.23-24 '!H1072</f>
        <v>0</v>
      </c>
    </row>
    <row r="409" spans="1:12" ht="47.25" x14ac:dyDescent="0.25">
      <c r="A409" s="315" t="s">
        <v>976</v>
      </c>
      <c r="B409" s="7" t="s">
        <v>168</v>
      </c>
      <c r="C409" s="7" t="s">
        <v>158</v>
      </c>
      <c r="D409" s="316" t="s">
        <v>692</v>
      </c>
      <c r="E409" s="7"/>
      <c r="F409" s="310">
        <f t="shared" ref="F409:G412" si="69">F410</f>
        <v>204</v>
      </c>
      <c r="G409" s="310">
        <f t="shared" si="69"/>
        <v>204</v>
      </c>
    </row>
    <row r="410" spans="1:12" ht="31.5" x14ac:dyDescent="0.25">
      <c r="A410" s="315" t="s">
        <v>693</v>
      </c>
      <c r="B410" s="7" t="s">
        <v>168</v>
      </c>
      <c r="C410" s="7" t="s">
        <v>158</v>
      </c>
      <c r="D410" s="316" t="s">
        <v>694</v>
      </c>
      <c r="E410" s="7"/>
      <c r="F410" s="310">
        <f t="shared" si="69"/>
        <v>204</v>
      </c>
      <c r="G410" s="310">
        <f t="shared" si="69"/>
        <v>204</v>
      </c>
    </row>
    <row r="411" spans="1:12" ht="15.75" x14ac:dyDescent="0.25">
      <c r="A411" s="364" t="s">
        <v>271</v>
      </c>
      <c r="B411" s="360" t="s">
        <v>168</v>
      </c>
      <c r="C411" s="360" t="s">
        <v>158</v>
      </c>
      <c r="D411" s="365" t="s">
        <v>695</v>
      </c>
      <c r="E411" s="360"/>
      <c r="F411" s="311">
        <f t="shared" si="69"/>
        <v>204</v>
      </c>
      <c r="G411" s="311">
        <f t="shared" si="69"/>
        <v>204</v>
      </c>
    </row>
    <row r="412" spans="1:12" ht="31.5" x14ac:dyDescent="0.25">
      <c r="A412" s="364" t="s">
        <v>123</v>
      </c>
      <c r="B412" s="360" t="s">
        <v>168</v>
      </c>
      <c r="C412" s="360" t="s">
        <v>158</v>
      </c>
      <c r="D412" s="365" t="s">
        <v>695</v>
      </c>
      <c r="E412" s="360" t="s">
        <v>124</v>
      </c>
      <c r="F412" s="311">
        <f t="shared" si="69"/>
        <v>204</v>
      </c>
      <c r="G412" s="311">
        <f t="shared" si="69"/>
        <v>204</v>
      </c>
    </row>
    <row r="413" spans="1:12" ht="31.5" x14ac:dyDescent="0.25">
      <c r="A413" s="364" t="s">
        <v>125</v>
      </c>
      <c r="B413" s="360" t="s">
        <v>168</v>
      </c>
      <c r="C413" s="360" t="s">
        <v>158</v>
      </c>
      <c r="D413" s="365" t="s">
        <v>695</v>
      </c>
      <c r="E413" s="360" t="s">
        <v>126</v>
      </c>
      <c r="F413" s="311">
        <f>'Пр.4.1 ведом.23-24 '!G1077</f>
        <v>204</v>
      </c>
      <c r="G413" s="311">
        <f>'Пр.4.1 ведом.23-24 '!H1077</f>
        <v>204</v>
      </c>
    </row>
    <row r="414" spans="1:12" ht="15.75" x14ac:dyDescent="0.25">
      <c r="A414" s="359" t="s">
        <v>272</v>
      </c>
      <c r="B414" s="7" t="s">
        <v>168</v>
      </c>
      <c r="C414" s="7" t="s">
        <v>159</v>
      </c>
      <c r="D414" s="7"/>
      <c r="E414" s="7"/>
      <c r="F414" s="310">
        <f>F415+F420+F467</f>
        <v>9771.4399999999987</v>
      </c>
      <c r="G414" s="310">
        <f>G415+G420+G467</f>
        <v>9771.4399999999987</v>
      </c>
      <c r="H414" s="74"/>
    </row>
    <row r="415" spans="1:12" ht="15.75" x14ac:dyDescent="0.25">
      <c r="A415" s="315" t="s">
        <v>133</v>
      </c>
      <c r="B415" s="316" t="s">
        <v>168</v>
      </c>
      <c r="C415" s="316" t="s">
        <v>159</v>
      </c>
      <c r="D415" s="316" t="s">
        <v>442</v>
      </c>
      <c r="E415" s="316"/>
      <c r="F415" s="310">
        <f t="shared" ref="F415:G418" si="70">F416</f>
        <v>390</v>
      </c>
      <c r="G415" s="310">
        <f t="shared" si="70"/>
        <v>390</v>
      </c>
      <c r="H415" s="74"/>
    </row>
    <row r="416" spans="1:12" ht="31.5" x14ac:dyDescent="0.25">
      <c r="A416" s="315" t="s">
        <v>446</v>
      </c>
      <c r="B416" s="316" t="s">
        <v>168</v>
      </c>
      <c r="C416" s="316" t="s">
        <v>159</v>
      </c>
      <c r="D416" s="316" t="s">
        <v>441</v>
      </c>
      <c r="E416" s="316"/>
      <c r="F416" s="310">
        <f t="shared" si="70"/>
        <v>390</v>
      </c>
      <c r="G416" s="310">
        <f t="shared" si="70"/>
        <v>390</v>
      </c>
      <c r="H416" s="74"/>
    </row>
    <row r="417" spans="1:8" ht="15.75" x14ac:dyDescent="0.25">
      <c r="A417" s="364" t="s">
        <v>279</v>
      </c>
      <c r="B417" s="365" t="s">
        <v>168</v>
      </c>
      <c r="C417" s="365" t="s">
        <v>159</v>
      </c>
      <c r="D417" s="365" t="s">
        <v>629</v>
      </c>
      <c r="E417" s="365"/>
      <c r="F417" s="311">
        <f t="shared" si="70"/>
        <v>390</v>
      </c>
      <c r="G417" s="311">
        <f t="shared" si="70"/>
        <v>390</v>
      </c>
      <c r="H417" s="74"/>
    </row>
    <row r="418" spans="1:8" ht="31.5" x14ac:dyDescent="0.25">
      <c r="A418" s="364" t="s">
        <v>123</v>
      </c>
      <c r="B418" s="365" t="s">
        <v>168</v>
      </c>
      <c r="C418" s="365" t="s">
        <v>159</v>
      </c>
      <c r="D418" s="365" t="s">
        <v>629</v>
      </c>
      <c r="E418" s="365" t="s">
        <v>124</v>
      </c>
      <c r="F418" s="311">
        <f t="shared" si="70"/>
        <v>390</v>
      </c>
      <c r="G418" s="311">
        <f t="shared" si="70"/>
        <v>390</v>
      </c>
      <c r="H418" s="74"/>
    </row>
    <row r="419" spans="1:8" ht="31.5" x14ac:dyDescent="0.25">
      <c r="A419" s="364" t="s">
        <v>125</v>
      </c>
      <c r="B419" s="365" t="s">
        <v>168</v>
      </c>
      <c r="C419" s="365" t="s">
        <v>159</v>
      </c>
      <c r="D419" s="365" t="s">
        <v>629</v>
      </c>
      <c r="E419" s="365" t="s">
        <v>126</v>
      </c>
      <c r="F419" s="311">
        <f>'Пр.4.1 ведом.23-24 '!G1083</f>
        <v>390</v>
      </c>
      <c r="G419" s="311">
        <f>'Пр.4.1 ведом.23-24 '!H1083</f>
        <v>390</v>
      </c>
      <c r="H419" s="74"/>
    </row>
    <row r="420" spans="1:8" ht="39.4" customHeight="1" x14ac:dyDescent="0.25">
      <c r="A420" s="315" t="s">
        <v>864</v>
      </c>
      <c r="B420" s="7" t="s">
        <v>168</v>
      </c>
      <c r="C420" s="7" t="s">
        <v>159</v>
      </c>
      <c r="D420" s="7" t="s">
        <v>273</v>
      </c>
      <c r="E420" s="7"/>
      <c r="F420" s="310">
        <f>F421+F425+F452+F459+F463</f>
        <v>8881.4399999999987</v>
      </c>
      <c r="G420" s="310">
        <f>G421+G425+G452+G459+G463</f>
        <v>8881.4399999999987</v>
      </c>
    </row>
    <row r="421" spans="1:8" ht="47.25" hidden="1" x14ac:dyDescent="0.25">
      <c r="A421" s="315" t="s">
        <v>918</v>
      </c>
      <c r="B421" s="316" t="s">
        <v>168</v>
      </c>
      <c r="C421" s="316" t="s">
        <v>159</v>
      </c>
      <c r="D421" s="316" t="s">
        <v>800</v>
      </c>
      <c r="E421" s="316"/>
      <c r="F421" s="310">
        <f t="shared" ref="F421:G423" si="71">F422</f>
        <v>0</v>
      </c>
      <c r="G421" s="310">
        <f t="shared" si="71"/>
        <v>0</v>
      </c>
    </row>
    <row r="422" spans="1:8" ht="31.5" hidden="1" x14ac:dyDescent="0.25">
      <c r="A422" s="213" t="s">
        <v>919</v>
      </c>
      <c r="B422" s="365" t="s">
        <v>168</v>
      </c>
      <c r="C422" s="365" t="s">
        <v>159</v>
      </c>
      <c r="D422" s="365" t="s">
        <v>909</v>
      </c>
      <c r="E422" s="365"/>
      <c r="F422" s="318">
        <f t="shared" si="71"/>
        <v>0</v>
      </c>
      <c r="G422" s="318">
        <f t="shared" si="71"/>
        <v>0</v>
      </c>
    </row>
    <row r="423" spans="1:8" ht="31.5" hidden="1" x14ac:dyDescent="0.25">
      <c r="A423" s="364" t="s">
        <v>123</v>
      </c>
      <c r="B423" s="365" t="s">
        <v>168</v>
      </c>
      <c r="C423" s="365" t="s">
        <v>159</v>
      </c>
      <c r="D423" s="365" t="s">
        <v>909</v>
      </c>
      <c r="E423" s="365" t="s">
        <v>124</v>
      </c>
      <c r="F423" s="318">
        <f t="shared" si="71"/>
        <v>0</v>
      </c>
      <c r="G423" s="318">
        <f t="shared" si="71"/>
        <v>0</v>
      </c>
    </row>
    <row r="424" spans="1:8" ht="31.5" hidden="1" x14ac:dyDescent="0.25">
      <c r="A424" s="364" t="s">
        <v>125</v>
      </c>
      <c r="B424" s="365" t="s">
        <v>168</v>
      </c>
      <c r="C424" s="365" t="s">
        <v>159</v>
      </c>
      <c r="D424" s="365" t="s">
        <v>909</v>
      </c>
      <c r="E424" s="365" t="s">
        <v>126</v>
      </c>
      <c r="F424" s="318">
        <f>'Пр.4 ведом.22'!G1088</f>
        <v>0</v>
      </c>
      <c r="G424" s="318">
        <f>'Пр.4 ведом.22'!H1088</f>
        <v>0</v>
      </c>
    </row>
    <row r="425" spans="1:8" ht="31.5" x14ac:dyDescent="0.25">
      <c r="A425" s="315" t="s">
        <v>921</v>
      </c>
      <c r="B425" s="316" t="s">
        <v>168</v>
      </c>
      <c r="C425" s="316" t="s">
        <v>159</v>
      </c>
      <c r="D425" s="316" t="s">
        <v>801</v>
      </c>
      <c r="E425" s="316"/>
      <c r="F425" s="310">
        <f>F426+F429+F435+F438+F441+F446+F449</f>
        <v>2248</v>
      </c>
      <c r="G425" s="310">
        <f>G426+G429+G435+G438+G441+G446+G449</f>
        <v>2248</v>
      </c>
    </row>
    <row r="426" spans="1:8" ht="24" customHeight="1" x14ac:dyDescent="0.25">
      <c r="A426" s="364" t="s">
        <v>274</v>
      </c>
      <c r="B426" s="365" t="s">
        <v>168</v>
      </c>
      <c r="C426" s="365" t="s">
        <v>159</v>
      </c>
      <c r="D426" s="365" t="s">
        <v>917</v>
      </c>
      <c r="E426" s="365"/>
      <c r="F426" s="311">
        <f t="shared" ref="F426:G427" si="72">F427</f>
        <v>365</v>
      </c>
      <c r="G426" s="311">
        <f t="shared" si="72"/>
        <v>365</v>
      </c>
    </row>
    <row r="427" spans="1:8" ht="31.5" x14ac:dyDescent="0.25">
      <c r="A427" s="364" t="s">
        <v>123</v>
      </c>
      <c r="B427" s="365" t="s">
        <v>168</v>
      </c>
      <c r="C427" s="365" t="s">
        <v>159</v>
      </c>
      <c r="D427" s="365" t="s">
        <v>917</v>
      </c>
      <c r="E427" s="365" t="s">
        <v>124</v>
      </c>
      <c r="F427" s="311">
        <f t="shared" si="72"/>
        <v>365</v>
      </c>
      <c r="G427" s="311">
        <f t="shared" si="72"/>
        <v>365</v>
      </c>
    </row>
    <row r="428" spans="1:8" ht="31.5" x14ac:dyDescent="0.25">
      <c r="A428" s="364" t="s">
        <v>125</v>
      </c>
      <c r="B428" s="365" t="s">
        <v>168</v>
      </c>
      <c r="C428" s="365" t="s">
        <v>159</v>
      </c>
      <c r="D428" s="365" t="s">
        <v>917</v>
      </c>
      <c r="E428" s="365" t="s">
        <v>126</v>
      </c>
      <c r="F428" s="311">
        <f>'Пр.4.1 ведом.23-24 '!G1092</f>
        <v>365</v>
      </c>
      <c r="G428" s="311">
        <f>'Пр.4.1 ведом.23-24 '!H1092</f>
        <v>365</v>
      </c>
    </row>
    <row r="429" spans="1:8" ht="15.75" x14ac:dyDescent="0.25">
      <c r="A429" s="364" t="s">
        <v>275</v>
      </c>
      <c r="B429" s="365" t="s">
        <v>168</v>
      </c>
      <c r="C429" s="365" t="s">
        <v>159</v>
      </c>
      <c r="D429" s="365" t="s">
        <v>908</v>
      </c>
      <c r="E429" s="365"/>
      <c r="F429" s="311">
        <f>F430+F432</f>
        <v>1408</v>
      </c>
      <c r="G429" s="311">
        <f>G430+G432</f>
        <v>1408</v>
      </c>
    </row>
    <row r="430" spans="1:8" ht="31.5" x14ac:dyDescent="0.25">
      <c r="A430" s="364" t="s">
        <v>123</v>
      </c>
      <c r="B430" s="365" t="s">
        <v>168</v>
      </c>
      <c r="C430" s="365" t="s">
        <v>159</v>
      </c>
      <c r="D430" s="365" t="s">
        <v>908</v>
      </c>
      <c r="E430" s="365" t="s">
        <v>124</v>
      </c>
      <c r="F430" s="311">
        <f t="shared" ref="F430:G430" si="73">F431</f>
        <v>1408</v>
      </c>
      <c r="G430" s="311">
        <f t="shared" si="73"/>
        <v>1408</v>
      </c>
    </row>
    <row r="431" spans="1:8" ht="31.5" x14ac:dyDescent="0.25">
      <c r="A431" s="364" t="s">
        <v>125</v>
      </c>
      <c r="B431" s="365" t="s">
        <v>168</v>
      </c>
      <c r="C431" s="365" t="s">
        <v>159</v>
      </c>
      <c r="D431" s="365" t="s">
        <v>908</v>
      </c>
      <c r="E431" s="365" t="s">
        <v>126</v>
      </c>
      <c r="F431" s="311">
        <f>'Пр.4.1 ведом.23-24 '!G1095</f>
        <v>1408</v>
      </c>
      <c r="G431" s="311">
        <f>'Пр.4.1 ведом.23-24 '!H1095</f>
        <v>1408</v>
      </c>
    </row>
    <row r="432" spans="1:8" ht="15.75" hidden="1" x14ac:dyDescent="0.25">
      <c r="A432" s="22" t="s">
        <v>127</v>
      </c>
      <c r="B432" s="365" t="s">
        <v>168</v>
      </c>
      <c r="C432" s="365" t="s">
        <v>159</v>
      </c>
      <c r="D432" s="365" t="s">
        <v>908</v>
      </c>
      <c r="E432" s="365" t="s">
        <v>134</v>
      </c>
      <c r="F432" s="311">
        <f>F434+F433</f>
        <v>0</v>
      </c>
      <c r="G432" s="311">
        <f>G434+G433</f>
        <v>0</v>
      </c>
    </row>
    <row r="433" spans="1:7" ht="47.25" hidden="1" x14ac:dyDescent="0.25">
      <c r="A433" s="364" t="s">
        <v>413</v>
      </c>
      <c r="B433" s="365" t="s">
        <v>168</v>
      </c>
      <c r="C433" s="365" t="s">
        <v>159</v>
      </c>
      <c r="D433" s="365" t="s">
        <v>908</v>
      </c>
      <c r="E433" s="365" t="s">
        <v>136</v>
      </c>
      <c r="F433" s="311">
        <f>'Пр.4 ведом.22'!G1097</f>
        <v>0</v>
      </c>
      <c r="G433" s="311">
        <f>'Пр.4 ведом.22'!H1097</f>
        <v>0</v>
      </c>
    </row>
    <row r="434" spans="1:7" ht="15.75" hidden="1" x14ac:dyDescent="0.25">
      <c r="A434" s="22" t="s">
        <v>280</v>
      </c>
      <c r="B434" s="365" t="s">
        <v>168</v>
      </c>
      <c r="C434" s="365" t="s">
        <v>159</v>
      </c>
      <c r="D434" s="365" t="s">
        <v>908</v>
      </c>
      <c r="E434" s="365" t="s">
        <v>130</v>
      </c>
      <c r="F434" s="311">
        <f>'Пр.4 ведом.22'!G1098</f>
        <v>0</v>
      </c>
      <c r="G434" s="311">
        <f>'Пр.4 ведом.22'!H1098</f>
        <v>0</v>
      </c>
    </row>
    <row r="435" spans="1:7" ht="15.75" hidden="1" x14ac:dyDescent="0.25">
      <c r="A435" s="364" t="s">
        <v>276</v>
      </c>
      <c r="B435" s="365" t="s">
        <v>168</v>
      </c>
      <c r="C435" s="365" t="s">
        <v>159</v>
      </c>
      <c r="D435" s="365" t="s">
        <v>813</v>
      </c>
      <c r="E435" s="365"/>
      <c r="F435" s="311">
        <f t="shared" ref="F435:G436" si="74">F436</f>
        <v>0</v>
      </c>
      <c r="G435" s="311">
        <f t="shared" si="74"/>
        <v>0</v>
      </c>
    </row>
    <row r="436" spans="1:7" ht="31.5" hidden="1" x14ac:dyDescent="0.25">
      <c r="A436" s="364" t="s">
        <v>123</v>
      </c>
      <c r="B436" s="365" t="s">
        <v>168</v>
      </c>
      <c r="C436" s="365" t="s">
        <v>159</v>
      </c>
      <c r="D436" s="365" t="s">
        <v>813</v>
      </c>
      <c r="E436" s="365" t="s">
        <v>124</v>
      </c>
      <c r="F436" s="311">
        <f t="shared" si="74"/>
        <v>0</v>
      </c>
      <c r="G436" s="311">
        <f t="shared" si="74"/>
        <v>0</v>
      </c>
    </row>
    <row r="437" spans="1:7" ht="31.5" hidden="1" x14ac:dyDescent="0.25">
      <c r="A437" s="364" t="s">
        <v>125</v>
      </c>
      <c r="B437" s="365" t="s">
        <v>168</v>
      </c>
      <c r="C437" s="365" t="s">
        <v>159</v>
      </c>
      <c r="D437" s="365" t="s">
        <v>813</v>
      </c>
      <c r="E437" s="365" t="s">
        <v>126</v>
      </c>
      <c r="F437" s="311">
        <f>'Пр.4 ведом.22'!G1101</f>
        <v>0</v>
      </c>
      <c r="G437" s="311">
        <f>'Пр.4 ведом.22'!H1101</f>
        <v>0</v>
      </c>
    </row>
    <row r="438" spans="1:7" ht="15.75" x14ac:dyDescent="0.25">
      <c r="A438" s="364" t="s">
        <v>277</v>
      </c>
      <c r="B438" s="365" t="s">
        <v>168</v>
      </c>
      <c r="C438" s="365" t="s">
        <v>159</v>
      </c>
      <c r="D438" s="365" t="s">
        <v>802</v>
      </c>
      <c r="E438" s="365"/>
      <c r="F438" s="311">
        <f t="shared" ref="F438:G439" si="75">F439</f>
        <v>50</v>
      </c>
      <c r="G438" s="311">
        <f t="shared" si="75"/>
        <v>50</v>
      </c>
    </row>
    <row r="439" spans="1:7" ht="31.5" x14ac:dyDescent="0.25">
      <c r="A439" s="364" t="s">
        <v>123</v>
      </c>
      <c r="B439" s="365" t="s">
        <v>168</v>
      </c>
      <c r="C439" s="365" t="s">
        <v>159</v>
      </c>
      <c r="D439" s="365" t="s">
        <v>802</v>
      </c>
      <c r="E439" s="365" t="s">
        <v>124</v>
      </c>
      <c r="F439" s="311">
        <f t="shared" si="75"/>
        <v>50</v>
      </c>
      <c r="G439" s="311">
        <f t="shared" si="75"/>
        <v>50</v>
      </c>
    </row>
    <row r="440" spans="1:7" ht="31.5" x14ac:dyDescent="0.25">
      <c r="A440" s="364" t="s">
        <v>125</v>
      </c>
      <c r="B440" s="365" t="s">
        <v>168</v>
      </c>
      <c r="C440" s="365" t="s">
        <v>159</v>
      </c>
      <c r="D440" s="365" t="s">
        <v>802</v>
      </c>
      <c r="E440" s="365" t="s">
        <v>126</v>
      </c>
      <c r="F440" s="311">
        <f>'Пр.4.1 ведом.23-24 '!G1104</f>
        <v>50</v>
      </c>
      <c r="G440" s="311">
        <f>'Пр.4.1 ведом.23-24 '!H1104</f>
        <v>50</v>
      </c>
    </row>
    <row r="441" spans="1:7" ht="31.5" x14ac:dyDescent="0.25">
      <c r="A441" s="212" t="s">
        <v>920</v>
      </c>
      <c r="B441" s="365" t="s">
        <v>168</v>
      </c>
      <c r="C441" s="365" t="s">
        <v>159</v>
      </c>
      <c r="D441" s="365" t="s">
        <v>803</v>
      </c>
      <c r="E441" s="365"/>
      <c r="F441" s="311">
        <f>F442+F444</f>
        <v>375</v>
      </c>
      <c r="G441" s="311">
        <f>G442+G444</f>
        <v>375</v>
      </c>
    </row>
    <row r="442" spans="1:7" ht="31.5" x14ac:dyDescent="0.25">
      <c r="A442" s="364" t="s">
        <v>123</v>
      </c>
      <c r="B442" s="365" t="s">
        <v>168</v>
      </c>
      <c r="C442" s="365" t="s">
        <v>159</v>
      </c>
      <c r="D442" s="365" t="s">
        <v>803</v>
      </c>
      <c r="E442" s="365" t="s">
        <v>124</v>
      </c>
      <c r="F442" s="311">
        <f t="shared" ref="F442:G442" si="76">F443</f>
        <v>375</v>
      </c>
      <c r="G442" s="311">
        <f t="shared" si="76"/>
        <v>375</v>
      </c>
    </row>
    <row r="443" spans="1:7" ht="31.5" x14ac:dyDescent="0.25">
      <c r="A443" s="364" t="s">
        <v>125</v>
      </c>
      <c r="B443" s="365" t="s">
        <v>168</v>
      </c>
      <c r="C443" s="365" t="s">
        <v>159</v>
      </c>
      <c r="D443" s="365" t="s">
        <v>803</v>
      </c>
      <c r="E443" s="365" t="s">
        <v>126</v>
      </c>
      <c r="F443" s="311">
        <f>'Пр.4.1 ведом.23-24 '!G1107</f>
        <v>375</v>
      </c>
      <c r="G443" s="311">
        <f>'Пр.4.1 ведом.23-24 '!H1107</f>
        <v>375</v>
      </c>
    </row>
    <row r="444" spans="1:7" ht="15.75" hidden="1" x14ac:dyDescent="0.25">
      <c r="A444" s="22" t="s">
        <v>127</v>
      </c>
      <c r="B444" s="365" t="s">
        <v>168</v>
      </c>
      <c r="C444" s="365" t="s">
        <v>159</v>
      </c>
      <c r="D444" s="365" t="s">
        <v>803</v>
      </c>
      <c r="E444" s="365" t="s">
        <v>134</v>
      </c>
      <c r="F444" s="311">
        <f>F445</f>
        <v>0</v>
      </c>
      <c r="G444" s="311">
        <f>G445</f>
        <v>0</v>
      </c>
    </row>
    <row r="445" spans="1:7" ht="15.75" hidden="1" x14ac:dyDescent="0.25">
      <c r="A445" s="22" t="s">
        <v>280</v>
      </c>
      <c r="B445" s="365" t="s">
        <v>168</v>
      </c>
      <c r="C445" s="365" t="s">
        <v>159</v>
      </c>
      <c r="D445" s="365" t="s">
        <v>803</v>
      </c>
      <c r="E445" s="365" t="s">
        <v>130</v>
      </c>
      <c r="F445" s="311">
        <f>'Пр.4 ведом.22'!G1109</f>
        <v>0</v>
      </c>
      <c r="G445" s="311">
        <f>'Пр.4 ведом.22'!H1109</f>
        <v>0</v>
      </c>
    </row>
    <row r="446" spans="1:7" ht="15.75" hidden="1" x14ac:dyDescent="0.25">
      <c r="A446" s="70" t="s">
        <v>278</v>
      </c>
      <c r="B446" s="365" t="s">
        <v>168</v>
      </c>
      <c r="C446" s="365" t="s">
        <v>159</v>
      </c>
      <c r="D446" s="365" t="s">
        <v>804</v>
      </c>
      <c r="E446" s="365"/>
      <c r="F446" s="311">
        <f t="shared" ref="F446:G447" si="77">F447</f>
        <v>0</v>
      </c>
      <c r="G446" s="311">
        <f t="shared" si="77"/>
        <v>0</v>
      </c>
    </row>
    <row r="447" spans="1:7" ht="31.5" hidden="1" x14ac:dyDescent="0.25">
      <c r="A447" s="364" t="s">
        <v>123</v>
      </c>
      <c r="B447" s="365" t="s">
        <v>168</v>
      </c>
      <c r="C447" s="365" t="s">
        <v>159</v>
      </c>
      <c r="D447" s="365" t="s">
        <v>804</v>
      </c>
      <c r="E447" s="365" t="s">
        <v>124</v>
      </c>
      <c r="F447" s="311">
        <f t="shared" si="77"/>
        <v>0</v>
      </c>
      <c r="G447" s="311">
        <f t="shared" si="77"/>
        <v>0</v>
      </c>
    </row>
    <row r="448" spans="1:7" ht="31.5" hidden="1" x14ac:dyDescent="0.25">
      <c r="A448" s="364" t="s">
        <v>125</v>
      </c>
      <c r="B448" s="365" t="s">
        <v>168</v>
      </c>
      <c r="C448" s="365" t="s">
        <v>159</v>
      </c>
      <c r="D448" s="365" t="s">
        <v>804</v>
      </c>
      <c r="E448" s="365" t="s">
        <v>126</v>
      </c>
      <c r="F448" s="311">
        <f>'Пр.4 ведом.22'!G1112</f>
        <v>0</v>
      </c>
      <c r="G448" s="311">
        <f>'Пр.4 ведом.22'!H1112</f>
        <v>0</v>
      </c>
    </row>
    <row r="449" spans="1:7" ht="31.5" x14ac:dyDescent="0.25">
      <c r="A449" s="153" t="s">
        <v>642</v>
      </c>
      <c r="B449" s="365" t="s">
        <v>168</v>
      </c>
      <c r="C449" s="365" t="s">
        <v>159</v>
      </c>
      <c r="D449" s="365" t="s">
        <v>805</v>
      </c>
      <c r="E449" s="365"/>
      <c r="F449" s="318">
        <f>F450</f>
        <v>50</v>
      </c>
      <c r="G449" s="318">
        <f>G450</f>
        <v>50</v>
      </c>
    </row>
    <row r="450" spans="1:7" ht="31.5" x14ac:dyDescent="0.25">
      <c r="A450" s="364" t="s">
        <v>123</v>
      </c>
      <c r="B450" s="365" t="s">
        <v>168</v>
      </c>
      <c r="C450" s="365" t="s">
        <v>159</v>
      </c>
      <c r="D450" s="365" t="s">
        <v>805</v>
      </c>
      <c r="E450" s="365" t="s">
        <v>124</v>
      </c>
      <c r="F450" s="318">
        <f>F451</f>
        <v>50</v>
      </c>
      <c r="G450" s="318">
        <f>G451</f>
        <v>50</v>
      </c>
    </row>
    <row r="451" spans="1:7" ht="31.5" x14ac:dyDescent="0.25">
      <c r="A451" s="364" t="s">
        <v>125</v>
      </c>
      <c r="B451" s="365" t="s">
        <v>168</v>
      </c>
      <c r="C451" s="365" t="s">
        <v>159</v>
      </c>
      <c r="D451" s="365" t="s">
        <v>805</v>
      </c>
      <c r="E451" s="365" t="s">
        <v>126</v>
      </c>
      <c r="F451" s="318">
        <f>'Пр.4.1 ведом.23-24 '!G1115</f>
        <v>50</v>
      </c>
      <c r="G451" s="318">
        <f>'Пр.4.1 ведом.23-24 '!H1115</f>
        <v>50</v>
      </c>
    </row>
    <row r="452" spans="1:7" ht="31.5" x14ac:dyDescent="0.25">
      <c r="A452" s="315" t="s">
        <v>464</v>
      </c>
      <c r="B452" s="7" t="s">
        <v>168</v>
      </c>
      <c r="C452" s="7" t="s">
        <v>159</v>
      </c>
      <c r="D452" s="316" t="s">
        <v>812</v>
      </c>
      <c r="E452" s="316"/>
      <c r="F452" s="310">
        <f>F453+F456</f>
        <v>2145.8000000000002</v>
      </c>
      <c r="G452" s="310">
        <f>G453+G456</f>
        <v>2145.8000000000002</v>
      </c>
    </row>
    <row r="453" spans="1:7" ht="31.5" hidden="1" x14ac:dyDescent="0.25">
      <c r="A453" s="364" t="s">
        <v>332</v>
      </c>
      <c r="B453" s="365" t="s">
        <v>168</v>
      </c>
      <c r="C453" s="365" t="s">
        <v>159</v>
      </c>
      <c r="D453" s="365" t="s">
        <v>834</v>
      </c>
      <c r="E453" s="365"/>
      <c r="F453" s="311">
        <f t="shared" ref="F453:G453" si="78">F454</f>
        <v>0</v>
      </c>
      <c r="G453" s="311">
        <f t="shared" si="78"/>
        <v>0</v>
      </c>
    </row>
    <row r="454" spans="1:7" ht="31.5" hidden="1" x14ac:dyDescent="0.25">
      <c r="A454" s="364" t="s">
        <v>123</v>
      </c>
      <c r="B454" s="365" t="s">
        <v>168</v>
      </c>
      <c r="C454" s="365" t="s">
        <v>159</v>
      </c>
      <c r="D454" s="365" t="s">
        <v>834</v>
      </c>
      <c r="E454" s="365" t="s">
        <v>124</v>
      </c>
      <c r="F454" s="311">
        <f>F455</f>
        <v>0</v>
      </c>
      <c r="G454" s="311">
        <f>G455</f>
        <v>0</v>
      </c>
    </row>
    <row r="455" spans="1:7" ht="31.5" hidden="1" x14ac:dyDescent="0.25">
      <c r="A455" s="364" t="s">
        <v>125</v>
      </c>
      <c r="B455" s="365" t="s">
        <v>168</v>
      </c>
      <c r="C455" s="365" t="s">
        <v>159</v>
      </c>
      <c r="D455" s="365" t="s">
        <v>834</v>
      </c>
      <c r="E455" s="365" t="s">
        <v>126</v>
      </c>
      <c r="F455" s="311">
        <f>'Пр.4 ведом.22'!G1119</f>
        <v>0</v>
      </c>
      <c r="G455" s="311">
        <f>'Пр.4 ведом.22'!H1119</f>
        <v>0</v>
      </c>
    </row>
    <row r="456" spans="1:7" ht="63" x14ac:dyDescent="0.25">
      <c r="A456" s="364" t="s">
        <v>627</v>
      </c>
      <c r="B456" s="365" t="s">
        <v>168</v>
      </c>
      <c r="C456" s="365" t="s">
        <v>159</v>
      </c>
      <c r="D456" s="365" t="s">
        <v>811</v>
      </c>
      <c r="E456" s="365"/>
      <c r="F456" s="311">
        <f>F457</f>
        <v>2145.8000000000002</v>
      </c>
      <c r="G456" s="311">
        <f>G457</f>
        <v>2145.8000000000002</v>
      </c>
    </row>
    <row r="457" spans="1:7" ht="31.5" x14ac:dyDescent="0.25">
      <c r="A457" s="364" t="s">
        <v>123</v>
      </c>
      <c r="B457" s="365" t="s">
        <v>168</v>
      </c>
      <c r="C457" s="365" t="s">
        <v>159</v>
      </c>
      <c r="D457" s="365" t="s">
        <v>811</v>
      </c>
      <c r="E457" s="365" t="s">
        <v>124</v>
      </c>
      <c r="F457" s="311">
        <f>F458</f>
        <v>2145.8000000000002</v>
      </c>
      <c r="G457" s="311">
        <f>G458</f>
        <v>2145.8000000000002</v>
      </c>
    </row>
    <row r="458" spans="1:7" ht="31.5" x14ac:dyDescent="0.25">
      <c r="A458" s="364" t="s">
        <v>125</v>
      </c>
      <c r="B458" s="365" t="s">
        <v>168</v>
      </c>
      <c r="C458" s="365" t="s">
        <v>159</v>
      </c>
      <c r="D458" s="365" t="s">
        <v>811</v>
      </c>
      <c r="E458" s="365" t="s">
        <v>126</v>
      </c>
      <c r="F458" s="311">
        <f>'Пр.4.1 ведом.23-24 '!G1122</f>
        <v>2145.8000000000002</v>
      </c>
      <c r="G458" s="311">
        <f>'Пр.4.1 ведом.23-24 '!H1122</f>
        <v>2145.8000000000002</v>
      </c>
    </row>
    <row r="459" spans="1:7" ht="31.5" hidden="1" x14ac:dyDescent="0.25">
      <c r="A459" s="26" t="s">
        <v>1044</v>
      </c>
      <c r="B459" s="316" t="s">
        <v>168</v>
      </c>
      <c r="C459" s="316" t="s">
        <v>159</v>
      </c>
      <c r="D459" s="316" t="s">
        <v>1045</v>
      </c>
      <c r="E459" s="316"/>
      <c r="F459" s="310">
        <f t="shared" ref="F459:G461" si="79">F460</f>
        <v>0</v>
      </c>
      <c r="G459" s="310">
        <f t="shared" si="79"/>
        <v>0</v>
      </c>
    </row>
    <row r="460" spans="1:7" ht="31.5" hidden="1" x14ac:dyDescent="0.25">
      <c r="A460" s="24" t="s">
        <v>1043</v>
      </c>
      <c r="B460" s="365" t="s">
        <v>168</v>
      </c>
      <c r="C460" s="365" t="s">
        <v>159</v>
      </c>
      <c r="D460" s="365" t="s">
        <v>1046</v>
      </c>
      <c r="E460" s="365"/>
      <c r="F460" s="311">
        <f t="shared" si="79"/>
        <v>0</v>
      </c>
      <c r="G460" s="311">
        <f t="shared" si="79"/>
        <v>0</v>
      </c>
    </row>
    <row r="461" spans="1:7" ht="31.5" hidden="1" x14ac:dyDescent="0.25">
      <c r="A461" s="364" t="s">
        <v>123</v>
      </c>
      <c r="B461" s="365" t="s">
        <v>168</v>
      </c>
      <c r="C461" s="365" t="s">
        <v>159</v>
      </c>
      <c r="D461" s="365" t="s">
        <v>1046</v>
      </c>
      <c r="E461" s="365" t="s">
        <v>124</v>
      </c>
      <c r="F461" s="311">
        <f t="shared" si="79"/>
        <v>0</v>
      </c>
      <c r="G461" s="311">
        <f t="shared" si="79"/>
        <v>0</v>
      </c>
    </row>
    <row r="462" spans="1:7" ht="31.5" hidden="1" x14ac:dyDescent="0.25">
      <c r="A462" s="364" t="s">
        <v>125</v>
      </c>
      <c r="B462" s="365" t="s">
        <v>168</v>
      </c>
      <c r="C462" s="365" t="s">
        <v>159</v>
      </c>
      <c r="D462" s="365" t="s">
        <v>1046</v>
      </c>
      <c r="E462" s="365" t="s">
        <v>126</v>
      </c>
      <c r="F462" s="311">
        <f>'Пр.4.1 ведом.23-24 '!G1126</f>
        <v>0</v>
      </c>
      <c r="G462" s="311">
        <f>'Пр.4.1 ведом.23-24 '!H1126</f>
        <v>0</v>
      </c>
    </row>
    <row r="463" spans="1:7" ht="47.25" x14ac:dyDescent="0.25">
      <c r="A463" s="26" t="s">
        <v>1070</v>
      </c>
      <c r="B463" s="316" t="s">
        <v>168</v>
      </c>
      <c r="C463" s="316" t="s">
        <v>159</v>
      </c>
      <c r="D463" s="316" t="s">
        <v>1069</v>
      </c>
      <c r="E463" s="316"/>
      <c r="F463" s="310">
        <f t="shared" ref="F463:G465" si="80">F464</f>
        <v>4487.6399999999994</v>
      </c>
      <c r="G463" s="310">
        <f t="shared" si="80"/>
        <v>4487.6399999999994</v>
      </c>
    </row>
    <row r="464" spans="1:7" ht="31.5" x14ac:dyDescent="0.25">
      <c r="A464" s="24" t="s">
        <v>1128</v>
      </c>
      <c r="B464" s="365" t="s">
        <v>168</v>
      </c>
      <c r="C464" s="365" t="s">
        <v>159</v>
      </c>
      <c r="D464" s="365" t="s">
        <v>1078</v>
      </c>
      <c r="E464" s="365"/>
      <c r="F464" s="311">
        <f t="shared" si="80"/>
        <v>4487.6399999999994</v>
      </c>
      <c r="G464" s="311">
        <f t="shared" si="80"/>
        <v>4487.6399999999994</v>
      </c>
    </row>
    <row r="465" spans="1:11" ht="31.5" x14ac:dyDescent="0.25">
      <c r="A465" s="364" t="s">
        <v>123</v>
      </c>
      <c r="B465" s="365" t="s">
        <v>168</v>
      </c>
      <c r="C465" s="365" t="s">
        <v>159</v>
      </c>
      <c r="D465" s="365" t="s">
        <v>1078</v>
      </c>
      <c r="E465" s="365" t="s">
        <v>124</v>
      </c>
      <c r="F465" s="311">
        <f t="shared" si="80"/>
        <v>4487.6399999999994</v>
      </c>
      <c r="G465" s="311">
        <f t="shared" si="80"/>
        <v>4487.6399999999994</v>
      </c>
    </row>
    <row r="466" spans="1:11" ht="33.75" customHeight="1" x14ac:dyDescent="0.25">
      <c r="A466" s="364" t="s">
        <v>125</v>
      </c>
      <c r="B466" s="365" t="s">
        <v>168</v>
      </c>
      <c r="C466" s="365" t="s">
        <v>159</v>
      </c>
      <c r="D466" s="365" t="s">
        <v>1078</v>
      </c>
      <c r="E466" s="365" t="s">
        <v>126</v>
      </c>
      <c r="F466" s="311">
        <f>'Пр.4.1 ведом.23-24 '!G1130</f>
        <v>4487.6399999999994</v>
      </c>
      <c r="G466" s="311">
        <f>'Пр.4.1 ведом.23-24 '!H1130</f>
        <v>4487.6399999999994</v>
      </c>
    </row>
    <row r="467" spans="1:11" ht="63" x14ac:dyDescent="0.25">
      <c r="A467" s="315" t="s">
        <v>978</v>
      </c>
      <c r="B467" s="316" t="s">
        <v>168</v>
      </c>
      <c r="C467" s="316" t="s">
        <v>159</v>
      </c>
      <c r="D467" s="316" t="s">
        <v>341</v>
      </c>
      <c r="E467" s="316"/>
      <c r="F467" s="310">
        <f>F469+F473</f>
        <v>500</v>
      </c>
      <c r="G467" s="310">
        <f>G469+G473</f>
        <v>500</v>
      </c>
    </row>
    <row r="468" spans="1:11" ht="31.5" x14ac:dyDescent="0.25">
      <c r="A468" s="315" t="s">
        <v>623</v>
      </c>
      <c r="B468" s="316" t="s">
        <v>168</v>
      </c>
      <c r="C468" s="316" t="s">
        <v>159</v>
      </c>
      <c r="D468" s="316" t="s">
        <v>412</v>
      </c>
      <c r="E468" s="365"/>
      <c r="F468" s="310">
        <f>F469</f>
        <v>500</v>
      </c>
      <c r="G468" s="310">
        <f>G469</f>
        <v>500</v>
      </c>
    </row>
    <row r="469" spans="1:11" ht="31.5" x14ac:dyDescent="0.25">
      <c r="A469" s="173" t="s">
        <v>340</v>
      </c>
      <c r="B469" s="365" t="s">
        <v>168</v>
      </c>
      <c r="C469" s="365" t="s">
        <v>159</v>
      </c>
      <c r="D469" s="365" t="s">
        <v>412</v>
      </c>
      <c r="E469" s="365"/>
      <c r="F469" s="311">
        <f t="shared" ref="F469:G470" si="81">F470</f>
        <v>500</v>
      </c>
      <c r="G469" s="311">
        <f t="shared" si="81"/>
        <v>500</v>
      </c>
    </row>
    <row r="470" spans="1:11" ht="31.5" x14ac:dyDescent="0.25">
      <c r="A470" s="364" t="s">
        <v>123</v>
      </c>
      <c r="B470" s="365" t="s">
        <v>168</v>
      </c>
      <c r="C470" s="365" t="s">
        <v>159</v>
      </c>
      <c r="D470" s="365" t="s">
        <v>412</v>
      </c>
      <c r="E470" s="365" t="s">
        <v>124</v>
      </c>
      <c r="F470" s="311">
        <f t="shared" si="81"/>
        <v>500</v>
      </c>
      <c r="G470" s="311">
        <f t="shared" si="81"/>
        <v>500</v>
      </c>
    </row>
    <row r="471" spans="1:11" ht="31.5" x14ac:dyDescent="0.25">
      <c r="A471" s="364" t="s">
        <v>125</v>
      </c>
      <c r="B471" s="365" t="s">
        <v>168</v>
      </c>
      <c r="C471" s="365" t="s">
        <v>159</v>
      </c>
      <c r="D471" s="365" t="s">
        <v>412</v>
      </c>
      <c r="E471" s="365" t="s">
        <v>126</v>
      </c>
      <c r="F471" s="311">
        <f>'Пр.4.1 ведом.23-24 '!G1135</f>
        <v>500</v>
      </c>
      <c r="G471" s="311">
        <f>'Пр.4.1 ведом.23-24 '!H1135</f>
        <v>500</v>
      </c>
    </row>
    <row r="472" spans="1:11" s="114" customFormat="1" ht="110.25" hidden="1" x14ac:dyDescent="0.25">
      <c r="A472" s="315" t="s">
        <v>1073</v>
      </c>
      <c r="B472" s="316" t="s">
        <v>168</v>
      </c>
      <c r="C472" s="316" t="s">
        <v>159</v>
      </c>
      <c r="D472" s="316" t="s">
        <v>1074</v>
      </c>
      <c r="E472" s="316"/>
      <c r="F472" s="310">
        <f t="shared" ref="F472:G474" si="82">F473</f>
        <v>0</v>
      </c>
      <c r="G472" s="310">
        <f t="shared" si="82"/>
        <v>0</v>
      </c>
      <c r="H472" s="135"/>
      <c r="I472" s="135"/>
      <c r="J472" s="135"/>
      <c r="K472" s="135"/>
    </row>
    <row r="473" spans="1:11" s="77" customFormat="1" ht="94.5" hidden="1" x14ac:dyDescent="0.25">
      <c r="A473" s="52" t="s">
        <v>1096</v>
      </c>
      <c r="B473" s="365" t="s">
        <v>168</v>
      </c>
      <c r="C473" s="365" t="s">
        <v>159</v>
      </c>
      <c r="D473" s="365" t="s">
        <v>1075</v>
      </c>
      <c r="E473" s="365"/>
      <c r="F473" s="311">
        <f t="shared" si="82"/>
        <v>0</v>
      </c>
      <c r="G473" s="311">
        <f t="shared" si="82"/>
        <v>0</v>
      </c>
      <c r="H473" s="134"/>
      <c r="I473" s="134"/>
      <c r="J473" s="134"/>
      <c r="K473" s="134"/>
    </row>
    <row r="474" spans="1:11" ht="31.5" hidden="1" x14ac:dyDescent="0.25">
      <c r="A474" s="364" t="s">
        <v>123</v>
      </c>
      <c r="B474" s="365" t="s">
        <v>168</v>
      </c>
      <c r="C474" s="365" t="s">
        <v>159</v>
      </c>
      <c r="D474" s="365" t="s">
        <v>1075</v>
      </c>
      <c r="E474" s="365" t="s">
        <v>124</v>
      </c>
      <c r="F474" s="311">
        <f t="shared" si="82"/>
        <v>0</v>
      </c>
      <c r="G474" s="311">
        <f t="shared" si="82"/>
        <v>0</v>
      </c>
    </row>
    <row r="475" spans="1:11" ht="31.5" hidden="1" x14ac:dyDescent="0.25">
      <c r="A475" s="364" t="s">
        <v>125</v>
      </c>
      <c r="B475" s="365" t="s">
        <v>168</v>
      </c>
      <c r="C475" s="365" t="s">
        <v>159</v>
      </c>
      <c r="D475" s="365" t="s">
        <v>1075</v>
      </c>
      <c r="E475" s="365" t="s">
        <v>126</v>
      </c>
      <c r="F475" s="311">
        <f>'Пр.4 ведом.22'!G1139</f>
        <v>0</v>
      </c>
      <c r="G475" s="311">
        <f>'Пр.4 ведом.22'!H1139</f>
        <v>0</v>
      </c>
    </row>
    <row r="476" spans="1:11" ht="31.5" x14ac:dyDescent="0.25">
      <c r="A476" s="359" t="s">
        <v>281</v>
      </c>
      <c r="B476" s="7" t="s">
        <v>168</v>
      </c>
      <c r="C476" s="7" t="s">
        <v>168</v>
      </c>
      <c r="D476" s="7"/>
      <c r="E476" s="7"/>
      <c r="F476" s="310">
        <f>F477+F492+F517</f>
        <v>30376.5</v>
      </c>
      <c r="G476" s="310">
        <f>G477+G492+G517</f>
        <v>30376.6</v>
      </c>
      <c r="H476" s="74"/>
    </row>
    <row r="477" spans="1:11" ht="31.5" x14ac:dyDescent="0.25">
      <c r="A477" s="315" t="s">
        <v>488</v>
      </c>
      <c r="B477" s="316" t="s">
        <v>168</v>
      </c>
      <c r="C477" s="316" t="s">
        <v>168</v>
      </c>
      <c r="D477" s="316" t="s">
        <v>434</v>
      </c>
      <c r="E477" s="316"/>
      <c r="F477" s="310">
        <f>F478</f>
        <v>16377</v>
      </c>
      <c r="G477" s="310">
        <f>G478</f>
        <v>16377</v>
      </c>
    </row>
    <row r="478" spans="1:11" ht="15.75" x14ac:dyDescent="0.25">
      <c r="A478" s="315" t="s">
        <v>489</v>
      </c>
      <c r="B478" s="316" t="s">
        <v>168</v>
      </c>
      <c r="C478" s="316" t="s">
        <v>168</v>
      </c>
      <c r="D478" s="316" t="s">
        <v>435</v>
      </c>
      <c r="E478" s="316"/>
      <c r="F478" s="310">
        <f>F479+F489+F486</f>
        <v>16377</v>
      </c>
      <c r="G478" s="310">
        <f>G479+G489+G486</f>
        <v>16377</v>
      </c>
    </row>
    <row r="479" spans="1:11" ht="31.5" x14ac:dyDescent="0.25">
      <c r="A479" s="364" t="s">
        <v>468</v>
      </c>
      <c r="B479" s="365" t="s">
        <v>168</v>
      </c>
      <c r="C479" s="365" t="s">
        <v>168</v>
      </c>
      <c r="D479" s="365" t="s">
        <v>436</v>
      </c>
      <c r="E479" s="365"/>
      <c r="F479" s="311">
        <f t="shared" ref="F479:G479" si="83">F480+F482+F484</f>
        <v>14388.5</v>
      </c>
      <c r="G479" s="311">
        <f t="shared" si="83"/>
        <v>14388.5</v>
      </c>
    </row>
    <row r="480" spans="1:11" ht="81.75" customHeight="1" x14ac:dyDescent="0.25">
      <c r="A480" s="364" t="s">
        <v>119</v>
      </c>
      <c r="B480" s="365" t="s">
        <v>168</v>
      </c>
      <c r="C480" s="365" t="s">
        <v>168</v>
      </c>
      <c r="D480" s="365" t="s">
        <v>436</v>
      </c>
      <c r="E480" s="365" t="s">
        <v>120</v>
      </c>
      <c r="F480" s="255">
        <f t="shared" ref="F480:G480" si="84">F481</f>
        <v>14363.5</v>
      </c>
      <c r="G480" s="255">
        <f t="shared" si="84"/>
        <v>14363.5</v>
      </c>
    </row>
    <row r="481" spans="1:7" ht="31.5" x14ac:dyDescent="0.25">
      <c r="A481" s="364" t="s">
        <v>121</v>
      </c>
      <c r="B481" s="365" t="s">
        <v>168</v>
      </c>
      <c r="C481" s="365" t="s">
        <v>168</v>
      </c>
      <c r="D481" s="365" t="s">
        <v>436</v>
      </c>
      <c r="E481" s="365" t="s">
        <v>122</v>
      </c>
      <c r="F481" s="255">
        <f>'Пр.4.1 ведом.23-24 '!G1145</f>
        <v>14363.5</v>
      </c>
      <c r="G481" s="255">
        <f>'Пр.4.1 ведом.23-24 '!H1145</f>
        <v>14363.5</v>
      </c>
    </row>
    <row r="482" spans="1:7" ht="31.5" x14ac:dyDescent="0.25">
      <c r="A482" s="364" t="s">
        <v>123</v>
      </c>
      <c r="B482" s="365" t="s">
        <v>168</v>
      </c>
      <c r="C482" s="365" t="s">
        <v>168</v>
      </c>
      <c r="D482" s="365" t="s">
        <v>436</v>
      </c>
      <c r="E482" s="365" t="s">
        <v>124</v>
      </c>
      <c r="F482" s="255">
        <f t="shared" ref="F482:G482" si="85">F483</f>
        <v>25</v>
      </c>
      <c r="G482" s="255">
        <f t="shared" si="85"/>
        <v>25</v>
      </c>
    </row>
    <row r="483" spans="1:7" ht="31.5" x14ac:dyDescent="0.25">
      <c r="A483" s="364" t="s">
        <v>125</v>
      </c>
      <c r="B483" s="365" t="s">
        <v>168</v>
      </c>
      <c r="C483" s="365" t="s">
        <v>168</v>
      </c>
      <c r="D483" s="365" t="s">
        <v>436</v>
      </c>
      <c r="E483" s="365" t="s">
        <v>126</v>
      </c>
      <c r="F483" s="255">
        <f>'Пр.4.1 ведом.23-24 '!G1147</f>
        <v>25</v>
      </c>
      <c r="G483" s="255">
        <f>'Пр.4.1 ведом.23-24 '!H1147</f>
        <v>25</v>
      </c>
    </row>
    <row r="484" spans="1:7" ht="15.75" hidden="1" x14ac:dyDescent="0.25">
      <c r="A484" s="364" t="s">
        <v>127</v>
      </c>
      <c r="B484" s="365" t="s">
        <v>168</v>
      </c>
      <c r="C484" s="365" t="s">
        <v>168</v>
      </c>
      <c r="D484" s="365" t="s">
        <v>436</v>
      </c>
      <c r="E484" s="365" t="s">
        <v>134</v>
      </c>
      <c r="F484" s="255">
        <f t="shared" ref="F484:G484" si="86">F485</f>
        <v>0</v>
      </c>
      <c r="G484" s="255">
        <f t="shared" si="86"/>
        <v>0</v>
      </c>
    </row>
    <row r="485" spans="1:7" ht="15.75" hidden="1" x14ac:dyDescent="0.25">
      <c r="A485" s="364" t="s">
        <v>280</v>
      </c>
      <c r="B485" s="365" t="s">
        <v>168</v>
      </c>
      <c r="C485" s="365" t="s">
        <v>168</v>
      </c>
      <c r="D485" s="365" t="s">
        <v>436</v>
      </c>
      <c r="E485" s="365" t="s">
        <v>130</v>
      </c>
      <c r="F485" s="255">
        <f>'Пр.4 ведом.22'!G1149</f>
        <v>0</v>
      </c>
      <c r="G485" s="255">
        <f>'Пр.4 ведом.22'!H1149</f>
        <v>0</v>
      </c>
    </row>
    <row r="486" spans="1:7" ht="31.5" x14ac:dyDescent="0.25">
      <c r="A486" s="364" t="s">
        <v>417</v>
      </c>
      <c r="B486" s="365" t="s">
        <v>168</v>
      </c>
      <c r="C486" s="365" t="s">
        <v>168</v>
      </c>
      <c r="D486" s="365" t="s">
        <v>437</v>
      </c>
      <c r="E486" s="365"/>
      <c r="F486" s="255">
        <f>F487</f>
        <v>1280.5</v>
      </c>
      <c r="G486" s="255">
        <f>G487</f>
        <v>1280.5</v>
      </c>
    </row>
    <row r="487" spans="1:7" ht="78.75" x14ac:dyDescent="0.25">
      <c r="A487" s="364" t="s">
        <v>119</v>
      </c>
      <c r="B487" s="365" t="s">
        <v>168</v>
      </c>
      <c r="C487" s="365" t="s">
        <v>168</v>
      </c>
      <c r="D487" s="365" t="s">
        <v>437</v>
      </c>
      <c r="E487" s="365" t="s">
        <v>120</v>
      </c>
      <c r="F487" s="255">
        <f>F488</f>
        <v>1280.5</v>
      </c>
      <c r="G487" s="255">
        <f>G488</f>
        <v>1280.5</v>
      </c>
    </row>
    <row r="488" spans="1:7" ht="31.5" x14ac:dyDescent="0.25">
      <c r="A488" s="364" t="s">
        <v>121</v>
      </c>
      <c r="B488" s="365" t="s">
        <v>168</v>
      </c>
      <c r="C488" s="365" t="s">
        <v>168</v>
      </c>
      <c r="D488" s="365" t="s">
        <v>437</v>
      </c>
      <c r="E488" s="365" t="s">
        <v>122</v>
      </c>
      <c r="F488" s="255">
        <f>'Пр.4.1 ведом.23-24 '!G1152</f>
        <v>1280.5</v>
      </c>
      <c r="G488" s="255">
        <f>'Пр.4.1 ведом.23-24 '!H1152</f>
        <v>1280.5</v>
      </c>
    </row>
    <row r="489" spans="1:7" ht="47.25" x14ac:dyDescent="0.25">
      <c r="A489" s="364" t="s">
        <v>416</v>
      </c>
      <c r="B489" s="365" t="s">
        <v>168</v>
      </c>
      <c r="C489" s="365" t="s">
        <v>168</v>
      </c>
      <c r="D489" s="365" t="s">
        <v>438</v>
      </c>
      <c r="E489" s="365"/>
      <c r="F489" s="255">
        <f>F490</f>
        <v>708</v>
      </c>
      <c r="G489" s="255">
        <f>G490</f>
        <v>708</v>
      </c>
    </row>
    <row r="490" spans="1:7" ht="78.75" x14ac:dyDescent="0.25">
      <c r="A490" s="364" t="s">
        <v>119</v>
      </c>
      <c r="B490" s="365" t="s">
        <v>168</v>
      </c>
      <c r="C490" s="365" t="s">
        <v>168</v>
      </c>
      <c r="D490" s="365" t="s">
        <v>438</v>
      </c>
      <c r="E490" s="365" t="s">
        <v>120</v>
      </c>
      <c r="F490" s="255">
        <f>F491</f>
        <v>708</v>
      </c>
      <c r="G490" s="255">
        <f>G491</f>
        <v>708</v>
      </c>
    </row>
    <row r="491" spans="1:7" ht="31.5" x14ac:dyDescent="0.25">
      <c r="A491" s="364" t="s">
        <v>121</v>
      </c>
      <c r="B491" s="365" t="s">
        <v>168</v>
      </c>
      <c r="C491" s="365" t="s">
        <v>168</v>
      </c>
      <c r="D491" s="365" t="s">
        <v>438</v>
      </c>
      <c r="E491" s="365" t="s">
        <v>122</v>
      </c>
      <c r="F491" s="255">
        <f>'Пр.4.1 ведом.23-24 '!G1155</f>
        <v>708</v>
      </c>
      <c r="G491" s="255">
        <f>'Пр.4.1 ведом.23-24 '!H1155</f>
        <v>708</v>
      </c>
    </row>
    <row r="492" spans="1:7" ht="15.75" x14ac:dyDescent="0.25">
      <c r="A492" s="315" t="s">
        <v>133</v>
      </c>
      <c r="B492" s="316" t="s">
        <v>168</v>
      </c>
      <c r="C492" s="316" t="s">
        <v>168</v>
      </c>
      <c r="D492" s="316" t="s">
        <v>442</v>
      </c>
      <c r="E492" s="316"/>
      <c r="F492" s="310">
        <f>F493+F504</f>
        <v>13999.5</v>
      </c>
      <c r="G492" s="310">
        <f>G493+G504</f>
        <v>13999.6</v>
      </c>
    </row>
    <row r="493" spans="1:7" ht="15.75" x14ac:dyDescent="0.25">
      <c r="A493" s="315" t="s">
        <v>519</v>
      </c>
      <c r="B493" s="316" t="s">
        <v>168</v>
      </c>
      <c r="C493" s="316" t="s">
        <v>168</v>
      </c>
      <c r="D493" s="316" t="s">
        <v>518</v>
      </c>
      <c r="E493" s="316"/>
      <c r="F493" s="310">
        <f>F494+F497</f>
        <v>13017.5</v>
      </c>
      <c r="G493" s="310">
        <f>G494+G497</f>
        <v>13017.6</v>
      </c>
    </row>
    <row r="494" spans="1:7" ht="47.25" x14ac:dyDescent="0.25">
      <c r="A494" s="364" t="s">
        <v>416</v>
      </c>
      <c r="B494" s="365" t="s">
        <v>168</v>
      </c>
      <c r="C494" s="365" t="s">
        <v>168</v>
      </c>
      <c r="D494" s="365" t="s">
        <v>521</v>
      </c>
      <c r="E494" s="365"/>
      <c r="F494" s="311">
        <f>F495</f>
        <v>498</v>
      </c>
      <c r="G494" s="311">
        <f>G495</f>
        <v>498</v>
      </c>
    </row>
    <row r="495" spans="1:7" ht="78.75" x14ac:dyDescent="0.25">
      <c r="A495" s="364" t="s">
        <v>119</v>
      </c>
      <c r="B495" s="365" t="s">
        <v>168</v>
      </c>
      <c r="C495" s="365" t="s">
        <v>168</v>
      </c>
      <c r="D495" s="365" t="s">
        <v>521</v>
      </c>
      <c r="E495" s="365" t="s">
        <v>120</v>
      </c>
      <c r="F495" s="311">
        <f>F496</f>
        <v>498</v>
      </c>
      <c r="G495" s="311">
        <f>G496</f>
        <v>498</v>
      </c>
    </row>
    <row r="496" spans="1:7" ht="31.5" x14ac:dyDescent="0.25">
      <c r="A496" s="364" t="s">
        <v>212</v>
      </c>
      <c r="B496" s="365" t="s">
        <v>168</v>
      </c>
      <c r="C496" s="365" t="s">
        <v>168</v>
      </c>
      <c r="D496" s="365" t="s">
        <v>521</v>
      </c>
      <c r="E496" s="365" t="s">
        <v>156</v>
      </c>
      <c r="F496" s="311">
        <f>'Пр.4.1 ведом.23-24 '!G1160</f>
        <v>498</v>
      </c>
      <c r="G496" s="311">
        <f>'Пр.4.1 ведом.23-24 '!H1160</f>
        <v>498</v>
      </c>
    </row>
    <row r="497" spans="1:7" ht="15.75" x14ac:dyDescent="0.25">
      <c r="A497" s="364" t="s">
        <v>379</v>
      </c>
      <c r="B497" s="365" t="s">
        <v>168</v>
      </c>
      <c r="C497" s="365" t="s">
        <v>168</v>
      </c>
      <c r="D497" s="365" t="s">
        <v>520</v>
      </c>
      <c r="E497" s="365"/>
      <c r="F497" s="311">
        <f>F498+F501+F503</f>
        <v>12519.5</v>
      </c>
      <c r="G497" s="311">
        <f>G498+G501+G503</f>
        <v>12519.6</v>
      </c>
    </row>
    <row r="498" spans="1:7" ht="78.75" x14ac:dyDescent="0.25">
      <c r="A498" s="364" t="s">
        <v>119</v>
      </c>
      <c r="B498" s="365" t="s">
        <v>168</v>
      </c>
      <c r="C498" s="365" t="s">
        <v>168</v>
      </c>
      <c r="D498" s="365" t="s">
        <v>520</v>
      </c>
      <c r="E498" s="365" t="s">
        <v>120</v>
      </c>
      <c r="F498" s="311">
        <f>F499</f>
        <v>10681.4</v>
      </c>
      <c r="G498" s="311">
        <f>G499</f>
        <v>10681.5</v>
      </c>
    </row>
    <row r="499" spans="1:7" ht="31.5" x14ac:dyDescent="0.25">
      <c r="A499" s="364" t="s">
        <v>212</v>
      </c>
      <c r="B499" s="365" t="s">
        <v>168</v>
      </c>
      <c r="C499" s="365" t="s">
        <v>168</v>
      </c>
      <c r="D499" s="365" t="s">
        <v>520</v>
      </c>
      <c r="E499" s="365" t="s">
        <v>156</v>
      </c>
      <c r="F499" s="311">
        <f>'Пр.4.1 ведом.23-24 '!G1163</f>
        <v>10681.4</v>
      </c>
      <c r="G499" s="311">
        <f>'Пр.4.1 ведом.23-24 '!H1163</f>
        <v>10681.5</v>
      </c>
    </row>
    <row r="500" spans="1:7" ht="31.5" x14ac:dyDescent="0.25">
      <c r="A500" s="364" t="s">
        <v>123</v>
      </c>
      <c r="B500" s="365" t="s">
        <v>168</v>
      </c>
      <c r="C500" s="365" t="s">
        <v>168</v>
      </c>
      <c r="D500" s="365" t="s">
        <v>520</v>
      </c>
      <c r="E500" s="365" t="s">
        <v>124</v>
      </c>
      <c r="F500" s="311">
        <f>F501</f>
        <v>1791.1</v>
      </c>
      <c r="G500" s="311">
        <f>G501</f>
        <v>1791.1</v>
      </c>
    </row>
    <row r="501" spans="1:7" ht="31.5" x14ac:dyDescent="0.25">
      <c r="A501" s="364" t="s">
        <v>125</v>
      </c>
      <c r="B501" s="365" t="s">
        <v>168</v>
      </c>
      <c r="C501" s="365" t="s">
        <v>168</v>
      </c>
      <c r="D501" s="365" t="s">
        <v>520</v>
      </c>
      <c r="E501" s="365" t="s">
        <v>126</v>
      </c>
      <c r="F501" s="311">
        <f>'Пр.4.1 ведом.23-24 '!G1165</f>
        <v>1791.1</v>
      </c>
      <c r="G501" s="311">
        <f>'Пр.4.1 ведом.23-24 '!H1165</f>
        <v>1791.1</v>
      </c>
    </row>
    <row r="502" spans="1:7" ht="15.75" x14ac:dyDescent="0.25">
      <c r="A502" s="364" t="s">
        <v>127</v>
      </c>
      <c r="B502" s="365" t="s">
        <v>168</v>
      </c>
      <c r="C502" s="365" t="s">
        <v>168</v>
      </c>
      <c r="D502" s="365" t="s">
        <v>520</v>
      </c>
      <c r="E502" s="365" t="s">
        <v>134</v>
      </c>
      <c r="F502" s="311">
        <f>F503</f>
        <v>47</v>
      </c>
      <c r="G502" s="311">
        <f>G503</f>
        <v>47</v>
      </c>
    </row>
    <row r="503" spans="1:7" ht="15.75" x14ac:dyDescent="0.25">
      <c r="A503" s="364" t="s">
        <v>280</v>
      </c>
      <c r="B503" s="365" t="s">
        <v>168</v>
      </c>
      <c r="C503" s="365" t="s">
        <v>168</v>
      </c>
      <c r="D503" s="365" t="s">
        <v>520</v>
      </c>
      <c r="E503" s="365" t="s">
        <v>130</v>
      </c>
      <c r="F503" s="311">
        <f>'Пр.4.1 ведом.23-24 '!G1167</f>
        <v>47</v>
      </c>
      <c r="G503" s="311">
        <f>'Пр.4.1 ведом.23-24 '!H1167</f>
        <v>47</v>
      </c>
    </row>
    <row r="504" spans="1:7" ht="31.5" x14ac:dyDescent="0.25">
      <c r="A504" s="315" t="s">
        <v>446</v>
      </c>
      <c r="B504" s="316" t="s">
        <v>168</v>
      </c>
      <c r="C504" s="316" t="s">
        <v>168</v>
      </c>
      <c r="D504" s="316" t="s">
        <v>441</v>
      </c>
      <c r="E504" s="316"/>
      <c r="F504" s="257">
        <f>F505+F512</f>
        <v>982</v>
      </c>
      <c r="G504" s="257">
        <f>G505+G512</f>
        <v>982</v>
      </c>
    </row>
    <row r="505" spans="1:7" ht="31.5" x14ac:dyDescent="0.25">
      <c r="A505" s="364" t="s">
        <v>282</v>
      </c>
      <c r="B505" s="365" t="s">
        <v>168</v>
      </c>
      <c r="C505" s="365" t="s">
        <v>168</v>
      </c>
      <c r="D505" s="365" t="s">
        <v>549</v>
      </c>
      <c r="E505" s="365"/>
      <c r="F505" s="255">
        <f>F508+F506</f>
        <v>982</v>
      </c>
      <c r="G505" s="255">
        <f>G508+G506</f>
        <v>982</v>
      </c>
    </row>
    <row r="506" spans="1:7" ht="19.5" hidden="1" customHeight="1" x14ac:dyDescent="0.25">
      <c r="A506" s="24" t="s">
        <v>177</v>
      </c>
      <c r="B506" s="365" t="s">
        <v>168</v>
      </c>
      <c r="C506" s="365" t="s">
        <v>168</v>
      </c>
      <c r="D506" s="365" t="s">
        <v>549</v>
      </c>
      <c r="E506" s="365" t="s">
        <v>178</v>
      </c>
      <c r="F506" s="255">
        <f>F507</f>
        <v>0</v>
      </c>
      <c r="G506" s="255">
        <f>G507</f>
        <v>0</v>
      </c>
    </row>
    <row r="507" spans="1:7" ht="15.75" hidden="1" x14ac:dyDescent="0.25">
      <c r="A507" s="364" t="s">
        <v>980</v>
      </c>
      <c r="B507" s="365" t="s">
        <v>168</v>
      </c>
      <c r="C507" s="365" t="s">
        <v>168</v>
      </c>
      <c r="D507" s="365" t="s">
        <v>549</v>
      </c>
      <c r="E507" s="365" t="s">
        <v>982</v>
      </c>
      <c r="F507" s="255">
        <f>'Пр.4 ведом.22'!G1171</f>
        <v>0</v>
      </c>
      <c r="G507" s="255">
        <f>'Пр.4 ведом.22'!H1171</f>
        <v>0</v>
      </c>
    </row>
    <row r="508" spans="1:7" ht="15.75" x14ac:dyDescent="0.25">
      <c r="A508" s="364" t="s">
        <v>127</v>
      </c>
      <c r="B508" s="365" t="s">
        <v>168</v>
      </c>
      <c r="C508" s="365" t="s">
        <v>168</v>
      </c>
      <c r="D508" s="365" t="s">
        <v>549</v>
      </c>
      <c r="E508" s="365" t="s">
        <v>134</v>
      </c>
      <c r="F508" s="255">
        <f>F509+F510+F511</f>
        <v>982</v>
      </c>
      <c r="G508" s="255">
        <f>G509+G510+G511</f>
        <v>982</v>
      </c>
    </row>
    <row r="509" spans="1:7" ht="47.25" x14ac:dyDescent="0.25">
      <c r="A509" s="364" t="s">
        <v>148</v>
      </c>
      <c r="B509" s="365" t="s">
        <v>168</v>
      </c>
      <c r="C509" s="365" t="s">
        <v>168</v>
      </c>
      <c r="D509" s="365" t="s">
        <v>549</v>
      </c>
      <c r="E509" s="365" t="s">
        <v>142</v>
      </c>
      <c r="F509" s="311">
        <f>'Пр.4.1 ведом.23-24 '!G1173</f>
        <v>982</v>
      </c>
      <c r="G509" s="311">
        <f>'Пр.4.1 ведом.23-24 '!H1173</f>
        <v>982</v>
      </c>
    </row>
    <row r="510" spans="1:7" ht="15.75" hidden="1" x14ac:dyDescent="0.25">
      <c r="A510" s="364" t="s">
        <v>338</v>
      </c>
      <c r="B510" s="365" t="s">
        <v>168</v>
      </c>
      <c r="C510" s="365" t="s">
        <v>168</v>
      </c>
      <c r="D510" s="365" t="s">
        <v>549</v>
      </c>
      <c r="E510" s="365" t="s">
        <v>130</v>
      </c>
      <c r="F510" s="311">
        <f>'Пр.4 ведом.22'!G1174</f>
        <v>0</v>
      </c>
      <c r="G510" s="311">
        <f>'Пр.4 ведом.22'!H1174</f>
        <v>0</v>
      </c>
    </row>
    <row r="511" spans="1:7" ht="15.75" hidden="1" x14ac:dyDescent="0.25">
      <c r="A511" s="364" t="s">
        <v>1050</v>
      </c>
      <c r="B511" s="365" t="s">
        <v>168</v>
      </c>
      <c r="C511" s="365" t="s">
        <v>168</v>
      </c>
      <c r="D511" s="365" t="s">
        <v>549</v>
      </c>
      <c r="E511" s="365" t="s">
        <v>1051</v>
      </c>
      <c r="F511" s="311">
        <f>'Пр.4 ведом.22'!G1175</f>
        <v>0</v>
      </c>
      <c r="G511" s="311">
        <f>'Пр.4 ведом.22'!H1175</f>
        <v>0</v>
      </c>
    </row>
    <row r="512" spans="1:7" ht="31.5" hidden="1" x14ac:dyDescent="0.25">
      <c r="A512" s="364" t="s">
        <v>1063</v>
      </c>
      <c r="B512" s="365" t="s">
        <v>168</v>
      </c>
      <c r="C512" s="365" t="s">
        <v>168</v>
      </c>
      <c r="D512" s="365" t="s">
        <v>1064</v>
      </c>
      <c r="E512" s="365"/>
      <c r="F512" s="255">
        <f>F513+F515</f>
        <v>0</v>
      </c>
      <c r="G512" s="255">
        <f>G513+G515</f>
        <v>0</v>
      </c>
    </row>
    <row r="513" spans="1:12" ht="15.75" hidden="1" x14ac:dyDescent="0.25">
      <c r="A513" s="364" t="s">
        <v>1066</v>
      </c>
      <c r="B513" s="365" t="s">
        <v>168</v>
      </c>
      <c r="C513" s="365" t="s">
        <v>168</v>
      </c>
      <c r="D513" s="365" t="s">
        <v>1064</v>
      </c>
      <c r="E513" s="365" t="s">
        <v>414</v>
      </c>
      <c r="F513" s="255">
        <f>F514</f>
        <v>0</v>
      </c>
      <c r="G513" s="255">
        <f>G514</f>
        <v>0</v>
      </c>
    </row>
    <row r="514" spans="1:12" ht="31.5" hidden="1" x14ac:dyDescent="0.25">
      <c r="A514" s="364" t="s">
        <v>415</v>
      </c>
      <c r="B514" s="365" t="s">
        <v>168</v>
      </c>
      <c r="C514" s="365" t="s">
        <v>168</v>
      </c>
      <c r="D514" s="365" t="s">
        <v>1064</v>
      </c>
      <c r="E514" s="365" t="s">
        <v>1067</v>
      </c>
      <c r="F514" s="255">
        <f>'Пр.4 ведом.22'!G1178</f>
        <v>0</v>
      </c>
      <c r="G514" s="255">
        <f>'Пр.4 ведом.22'!H1178</f>
        <v>0</v>
      </c>
    </row>
    <row r="515" spans="1:12" ht="15.75" hidden="1" x14ac:dyDescent="0.25">
      <c r="A515" s="364" t="s">
        <v>127</v>
      </c>
      <c r="B515" s="365" t="s">
        <v>168</v>
      </c>
      <c r="C515" s="365" t="s">
        <v>168</v>
      </c>
      <c r="D515" s="365" t="s">
        <v>1064</v>
      </c>
      <c r="E515" s="365" t="s">
        <v>134</v>
      </c>
      <c r="F515" s="255">
        <f>F516</f>
        <v>0</v>
      </c>
      <c r="G515" s="255">
        <f>G516</f>
        <v>0</v>
      </c>
    </row>
    <row r="516" spans="1:12" ht="47.25" hidden="1" x14ac:dyDescent="0.25">
      <c r="A516" s="364" t="s">
        <v>148</v>
      </c>
      <c r="B516" s="365" t="s">
        <v>168</v>
      </c>
      <c r="C516" s="365" t="s">
        <v>168</v>
      </c>
      <c r="D516" s="365" t="s">
        <v>1064</v>
      </c>
      <c r="E516" s="365" t="s">
        <v>142</v>
      </c>
      <c r="F516" s="255">
        <f>'Пр.4 ведом.22'!G1180</f>
        <v>0</v>
      </c>
      <c r="G516" s="255">
        <f>'Пр.4 ведом.22'!H1180</f>
        <v>0</v>
      </c>
    </row>
    <row r="517" spans="1:12" ht="47.25" hidden="1" x14ac:dyDescent="0.25">
      <c r="A517" s="26" t="s">
        <v>875</v>
      </c>
      <c r="B517" s="316" t="s">
        <v>168</v>
      </c>
      <c r="C517" s="316" t="s">
        <v>168</v>
      </c>
      <c r="D517" s="316" t="s">
        <v>206</v>
      </c>
      <c r="E517" s="316"/>
      <c r="F517" s="314">
        <f t="shared" ref="F517:G520" si="87">F518</f>
        <v>0</v>
      </c>
      <c r="G517" s="314">
        <f t="shared" si="87"/>
        <v>0</v>
      </c>
    </row>
    <row r="518" spans="1:12" ht="63" hidden="1" x14ac:dyDescent="0.25">
      <c r="A518" s="26" t="s">
        <v>572</v>
      </c>
      <c r="B518" s="316" t="s">
        <v>168</v>
      </c>
      <c r="C518" s="316" t="s">
        <v>168</v>
      </c>
      <c r="D518" s="316" t="s">
        <v>504</v>
      </c>
      <c r="E518" s="316"/>
      <c r="F518" s="314">
        <f t="shared" si="87"/>
        <v>0</v>
      </c>
      <c r="G518" s="314">
        <f t="shared" si="87"/>
        <v>0</v>
      </c>
    </row>
    <row r="519" spans="1:12" ht="47.25" hidden="1" x14ac:dyDescent="0.25">
      <c r="A519" s="24" t="s">
        <v>634</v>
      </c>
      <c r="B519" s="365" t="s">
        <v>168</v>
      </c>
      <c r="C519" s="365" t="s">
        <v>168</v>
      </c>
      <c r="D519" s="365" t="s">
        <v>589</v>
      </c>
      <c r="E519" s="365"/>
      <c r="F519" s="318">
        <f t="shared" si="87"/>
        <v>0</v>
      </c>
      <c r="G519" s="318">
        <f t="shared" si="87"/>
        <v>0</v>
      </c>
    </row>
    <row r="520" spans="1:12" ht="31.5" hidden="1" x14ac:dyDescent="0.25">
      <c r="A520" s="364" t="s">
        <v>123</v>
      </c>
      <c r="B520" s="365" t="s">
        <v>168</v>
      </c>
      <c r="C520" s="365" t="s">
        <v>168</v>
      </c>
      <c r="D520" s="365" t="s">
        <v>589</v>
      </c>
      <c r="E520" s="365" t="s">
        <v>124</v>
      </c>
      <c r="F520" s="318">
        <f t="shared" si="87"/>
        <v>0</v>
      </c>
      <c r="G520" s="318">
        <f t="shared" si="87"/>
        <v>0</v>
      </c>
    </row>
    <row r="521" spans="1:12" ht="31.5" hidden="1" x14ac:dyDescent="0.25">
      <c r="A521" s="364" t="s">
        <v>125</v>
      </c>
      <c r="B521" s="365" t="s">
        <v>168</v>
      </c>
      <c r="C521" s="365" t="s">
        <v>168</v>
      </c>
      <c r="D521" s="365" t="s">
        <v>589</v>
      </c>
      <c r="E521" s="365" t="s">
        <v>126</v>
      </c>
      <c r="F521" s="318">
        <f>'Пр.4 ведом.22'!G1185</f>
        <v>0</v>
      </c>
      <c r="G521" s="318">
        <f>'Пр.4 ведом.22'!H1185</f>
        <v>0</v>
      </c>
    </row>
    <row r="522" spans="1:12" ht="15.75" x14ac:dyDescent="0.25">
      <c r="A522" s="359" t="s">
        <v>186</v>
      </c>
      <c r="B522" s="7" t="s">
        <v>187</v>
      </c>
      <c r="C522" s="360"/>
      <c r="D522" s="360"/>
      <c r="E522" s="360"/>
      <c r="F522" s="310">
        <f>F523+F582+F765+F671+F740</f>
        <v>387335.6</v>
      </c>
      <c r="G522" s="310">
        <f>G523+G582+G765+G671+G740</f>
        <v>343390.00000000006</v>
      </c>
      <c r="H522" s="74">
        <f>G522-F522</f>
        <v>-43945.599999999919</v>
      </c>
      <c r="K522" s="154">
        <v>384273.2</v>
      </c>
      <c r="L522" s="156">
        <f>F522-K522</f>
        <v>3062.3999999999651</v>
      </c>
    </row>
    <row r="523" spans="1:12" ht="15.75" x14ac:dyDescent="0.25">
      <c r="A523" s="359" t="s">
        <v>236</v>
      </c>
      <c r="B523" s="7" t="s">
        <v>187</v>
      </c>
      <c r="C523" s="7" t="s">
        <v>116</v>
      </c>
      <c r="D523" s="7"/>
      <c r="E523" s="7"/>
      <c r="F523" s="310">
        <f>F524+F572+F577</f>
        <v>90820.19</v>
      </c>
      <c r="G523" s="310">
        <f>G524+G572+G577</f>
        <v>84821.090000000011</v>
      </c>
      <c r="H523" s="74"/>
    </row>
    <row r="524" spans="1:12" ht="40.700000000000003" customHeight="1" x14ac:dyDescent="0.25">
      <c r="A524" s="315" t="s">
        <v>876</v>
      </c>
      <c r="B524" s="316" t="s">
        <v>187</v>
      </c>
      <c r="C524" s="316" t="s">
        <v>116</v>
      </c>
      <c r="D524" s="316" t="s">
        <v>237</v>
      </c>
      <c r="E524" s="316"/>
      <c r="F524" s="310">
        <f>F525+F529+F536+F546+F556+F560+F564+F568</f>
        <v>90168.39</v>
      </c>
      <c r="G524" s="310">
        <f>G525+G529+G536+G546+G556+G560+G564+G568</f>
        <v>84224.290000000008</v>
      </c>
    </row>
    <row r="525" spans="1:12" ht="31.5" x14ac:dyDescent="0.25">
      <c r="A525" s="315" t="s">
        <v>507</v>
      </c>
      <c r="B525" s="316" t="s">
        <v>187</v>
      </c>
      <c r="C525" s="316" t="s">
        <v>116</v>
      </c>
      <c r="D525" s="316" t="s">
        <v>766</v>
      </c>
      <c r="E525" s="316"/>
      <c r="F525" s="310">
        <f t="shared" ref="F525:G527" si="88">F526</f>
        <v>16777.2</v>
      </c>
      <c r="G525" s="310">
        <f t="shared" si="88"/>
        <v>16777.2</v>
      </c>
    </row>
    <row r="526" spans="1:12" ht="42.75" customHeight="1" x14ac:dyDescent="0.25">
      <c r="A526" s="364" t="s">
        <v>765</v>
      </c>
      <c r="B526" s="365" t="s">
        <v>187</v>
      </c>
      <c r="C526" s="365" t="s">
        <v>116</v>
      </c>
      <c r="D526" s="365" t="s">
        <v>767</v>
      </c>
      <c r="E526" s="365"/>
      <c r="F526" s="311">
        <f t="shared" si="88"/>
        <v>16777.2</v>
      </c>
      <c r="G526" s="311">
        <f t="shared" si="88"/>
        <v>16777.2</v>
      </c>
    </row>
    <row r="527" spans="1:12" ht="40.700000000000003" customHeight="1" x14ac:dyDescent="0.25">
      <c r="A527" s="364" t="s">
        <v>191</v>
      </c>
      <c r="B527" s="365" t="s">
        <v>187</v>
      </c>
      <c r="C527" s="365" t="s">
        <v>116</v>
      </c>
      <c r="D527" s="365" t="s">
        <v>767</v>
      </c>
      <c r="E527" s="365" t="s">
        <v>192</v>
      </c>
      <c r="F527" s="311">
        <f t="shared" si="88"/>
        <v>16777.2</v>
      </c>
      <c r="G527" s="311">
        <f t="shared" si="88"/>
        <v>16777.2</v>
      </c>
    </row>
    <row r="528" spans="1:12" ht="15.75" x14ac:dyDescent="0.25">
      <c r="A528" s="364" t="s">
        <v>193</v>
      </c>
      <c r="B528" s="365" t="s">
        <v>187</v>
      </c>
      <c r="C528" s="365" t="s">
        <v>116</v>
      </c>
      <c r="D528" s="365" t="s">
        <v>767</v>
      </c>
      <c r="E528" s="365" t="s">
        <v>194</v>
      </c>
      <c r="F528" s="255">
        <f>'Пр.4.1 ведом.23-24 '!G622</f>
        <v>16777.2</v>
      </c>
      <c r="G528" s="255">
        <f>'Пр.4.1 ведом.23-24 '!H622</f>
        <v>16777.2</v>
      </c>
      <c r="H528" s="74"/>
    </row>
    <row r="529" spans="1:12" ht="47.25" x14ac:dyDescent="0.25">
      <c r="A529" s="315" t="s">
        <v>471</v>
      </c>
      <c r="B529" s="316" t="s">
        <v>187</v>
      </c>
      <c r="C529" s="316" t="s">
        <v>116</v>
      </c>
      <c r="D529" s="316" t="s">
        <v>768</v>
      </c>
      <c r="E529" s="316"/>
      <c r="F529" s="310">
        <f>F530+F533</f>
        <v>63608.810000000005</v>
      </c>
      <c r="G529" s="310">
        <f>G530+G533</f>
        <v>57657.810000000005</v>
      </c>
    </row>
    <row r="530" spans="1:12" ht="94.5" x14ac:dyDescent="0.25">
      <c r="A530" s="24" t="s">
        <v>200</v>
      </c>
      <c r="B530" s="365" t="s">
        <v>187</v>
      </c>
      <c r="C530" s="365" t="s">
        <v>116</v>
      </c>
      <c r="D530" s="365" t="s">
        <v>884</v>
      </c>
      <c r="E530" s="365"/>
      <c r="F530" s="311">
        <f t="shared" ref="F530:G531" si="89">F531</f>
        <v>3430</v>
      </c>
      <c r="G530" s="311">
        <f t="shared" si="89"/>
        <v>3430</v>
      </c>
    </row>
    <row r="531" spans="1:12" ht="31.5" x14ac:dyDescent="0.25">
      <c r="A531" s="364" t="s">
        <v>191</v>
      </c>
      <c r="B531" s="365" t="s">
        <v>187</v>
      </c>
      <c r="C531" s="365" t="s">
        <v>116</v>
      </c>
      <c r="D531" s="365" t="s">
        <v>884</v>
      </c>
      <c r="E531" s="365" t="s">
        <v>192</v>
      </c>
      <c r="F531" s="311">
        <f t="shared" si="89"/>
        <v>3430</v>
      </c>
      <c r="G531" s="311">
        <f t="shared" si="89"/>
        <v>3430</v>
      </c>
    </row>
    <row r="532" spans="1:12" ht="15.75" x14ac:dyDescent="0.25">
      <c r="A532" s="364" t="s">
        <v>193</v>
      </c>
      <c r="B532" s="365" t="s">
        <v>187</v>
      </c>
      <c r="C532" s="365" t="s">
        <v>116</v>
      </c>
      <c r="D532" s="365" t="s">
        <v>884</v>
      </c>
      <c r="E532" s="365" t="s">
        <v>194</v>
      </c>
      <c r="F532" s="311">
        <f>'Пр.4.1 ведом.23-24 '!G626</f>
        <v>3430</v>
      </c>
      <c r="G532" s="311">
        <f>'Пр.4.1 ведом.23-24 '!H626</f>
        <v>3430</v>
      </c>
    </row>
    <row r="533" spans="1:12" ht="47.25" customHeight="1" x14ac:dyDescent="0.25">
      <c r="A533" s="24" t="s">
        <v>1147</v>
      </c>
      <c r="B533" s="365" t="s">
        <v>187</v>
      </c>
      <c r="C533" s="365" t="s">
        <v>116</v>
      </c>
      <c r="D533" s="365" t="s">
        <v>1148</v>
      </c>
      <c r="E533" s="365"/>
      <c r="F533" s="311">
        <f t="shared" ref="F533:G534" si="90">F534</f>
        <v>60178.810000000005</v>
      </c>
      <c r="G533" s="311">
        <f t="shared" si="90"/>
        <v>54227.810000000005</v>
      </c>
    </row>
    <row r="534" spans="1:12" ht="39.75" customHeight="1" x14ac:dyDescent="0.25">
      <c r="A534" s="364" t="s">
        <v>191</v>
      </c>
      <c r="B534" s="365" t="s">
        <v>187</v>
      </c>
      <c r="C534" s="365" t="s">
        <v>116</v>
      </c>
      <c r="D534" s="365" t="s">
        <v>1148</v>
      </c>
      <c r="E534" s="365" t="s">
        <v>192</v>
      </c>
      <c r="F534" s="311">
        <f t="shared" si="90"/>
        <v>60178.810000000005</v>
      </c>
      <c r="G534" s="311">
        <f t="shared" si="90"/>
        <v>54227.810000000005</v>
      </c>
    </row>
    <row r="535" spans="1:12" s="363" customFormat="1" ht="15.75" customHeight="1" x14ac:dyDescent="0.25">
      <c r="A535" s="364" t="s">
        <v>193</v>
      </c>
      <c r="B535" s="365" t="s">
        <v>187</v>
      </c>
      <c r="C535" s="365" t="s">
        <v>116</v>
      </c>
      <c r="D535" s="365" t="s">
        <v>1148</v>
      </c>
      <c r="E535" s="365" t="s">
        <v>194</v>
      </c>
      <c r="F535" s="311">
        <f>'Пр.4.1 ведом.23-24 '!G629</f>
        <v>60178.810000000005</v>
      </c>
      <c r="G535" s="311">
        <f>'Пр.4.1 ведом.23-24 '!H629</f>
        <v>54227.810000000005</v>
      </c>
      <c r="L535" s="362"/>
    </row>
    <row r="536" spans="1:12" s="363" customFormat="1" ht="36" customHeight="1" x14ac:dyDescent="0.25">
      <c r="A536" s="315" t="s">
        <v>809</v>
      </c>
      <c r="B536" s="316" t="s">
        <v>187</v>
      </c>
      <c r="C536" s="316" t="s">
        <v>116</v>
      </c>
      <c r="D536" s="316" t="s">
        <v>770</v>
      </c>
      <c r="E536" s="316"/>
      <c r="F536" s="310">
        <f>F537+F540+F543</f>
        <v>4749.3999999999996</v>
      </c>
      <c r="G536" s="310">
        <f>G537+G540+G543</f>
        <v>4749.3999999999996</v>
      </c>
      <c r="L536" s="362"/>
    </row>
    <row r="537" spans="1:12" s="363" customFormat="1" ht="40.700000000000003" hidden="1" customHeight="1" x14ac:dyDescent="0.25">
      <c r="A537" s="364" t="s">
        <v>195</v>
      </c>
      <c r="B537" s="365" t="s">
        <v>187</v>
      </c>
      <c r="C537" s="365" t="s">
        <v>116</v>
      </c>
      <c r="D537" s="365" t="s">
        <v>826</v>
      </c>
      <c r="E537" s="365"/>
      <c r="F537" s="311">
        <f>F538</f>
        <v>0</v>
      </c>
      <c r="G537" s="311">
        <f>G538</f>
        <v>0</v>
      </c>
      <c r="L537" s="362"/>
    </row>
    <row r="538" spans="1:12" s="363" customFormat="1" ht="42" hidden="1" customHeight="1" x14ac:dyDescent="0.25">
      <c r="A538" s="364" t="s">
        <v>191</v>
      </c>
      <c r="B538" s="365" t="s">
        <v>187</v>
      </c>
      <c r="C538" s="365" t="s">
        <v>116</v>
      </c>
      <c r="D538" s="365" t="s">
        <v>826</v>
      </c>
      <c r="E538" s="365" t="s">
        <v>192</v>
      </c>
      <c r="F538" s="311">
        <f t="shared" ref="F538:G538" si="91">F539</f>
        <v>0</v>
      </c>
      <c r="G538" s="311">
        <f t="shared" si="91"/>
        <v>0</v>
      </c>
      <c r="L538" s="362"/>
    </row>
    <row r="539" spans="1:12" s="363" customFormat="1" ht="20.25" hidden="1" customHeight="1" x14ac:dyDescent="0.25">
      <c r="A539" s="364" t="s">
        <v>193</v>
      </c>
      <c r="B539" s="365" t="s">
        <v>187</v>
      </c>
      <c r="C539" s="365" t="s">
        <v>116</v>
      </c>
      <c r="D539" s="365" t="s">
        <v>826</v>
      </c>
      <c r="E539" s="365" t="s">
        <v>194</v>
      </c>
      <c r="F539" s="311">
        <f>'Пр.4 ведом.22'!G633</f>
        <v>0</v>
      </c>
      <c r="G539" s="311">
        <f>'Пр.4 ведом.22'!H633</f>
        <v>0</v>
      </c>
      <c r="L539" s="362"/>
    </row>
    <row r="540" spans="1:12" s="363" customFormat="1" ht="39.200000000000003" hidden="1" customHeight="1" x14ac:dyDescent="0.25">
      <c r="A540" s="364" t="s">
        <v>196</v>
      </c>
      <c r="B540" s="365" t="s">
        <v>187</v>
      </c>
      <c r="C540" s="365" t="s">
        <v>116</v>
      </c>
      <c r="D540" s="365" t="s">
        <v>827</v>
      </c>
      <c r="E540" s="365"/>
      <c r="F540" s="311">
        <f>F541</f>
        <v>0</v>
      </c>
      <c r="G540" s="311">
        <f>G541</f>
        <v>0</v>
      </c>
      <c r="L540" s="362"/>
    </row>
    <row r="541" spans="1:12" s="363" customFormat="1" ht="35.450000000000003" hidden="1" customHeight="1" x14ac:dyDescent="0.25">
      <c r="A541" s="364" t="s">
        <v>191</v>
      </c>
      <c r="B541" s="365" t="s">
        <v>187</v>
      </c>
      <c r="C541" s="365" t="s">
        <v>116</v>
      </c>
      <c r="D541" s="365" t="s">
        <v>827</v>
      </c>
      <c r="E541" s="365" t="s">
        <v>192</v>
      </c>
      <c r="F541" s="311">
        <f t="shared" ref="F541:G541" si="92">F542</f>
        <v>0</v>
      </c>
      <c r="G541" s="311">
        <f t="shared" si="92"/>
        <v>0</v>
      </c>
      <c r="L541" s="362"/>
    </row>
    <row r="542" spans="1:12" s="363" customFormat="1" ht="17.45" hidden="1" customHeight="1" x14ac:dyDescent="0.25">
      <c r="A542" s="364" t="s">
        <v>193</v>
      </c>
      <c r="B542" s="365" t="s">
        <v>187</v>
      </c>
      <c r="C542" s="365" t="s">
        <v>116</v>
      </c>
      <c r="D542" s="365" t="s">
        <v>827</v>
      </c>
      <c r="E542" s="365" t="s">
        <v>194</v>
      </c>
      <c r="F542" s="311">
        <f>'Пр.4 ведом.22'!G636</f>
        <v>0</v>
      </c>
      <c r="G542" s="311">
        <f>'Пр.4 ведом.22'!H636</f>
        <v>0</v>
      </c>
      <c r="L542" s="362"/>
    </row>
    <row r="543" spans="1:12" s="363" customFormat="1" ht="38.25" customHeight="1" x14ac:dyDescent="0.25">
      <c r="A543" s="22" t="s">
        <v>238</v>
      </c>
      <c r="B543" s="365" t="s">
        <v>187</v>
      </c>
      <c r="C543" s="365" t="s">
        <v>116</v>
      </c>
      <c r="D543" s="365" t="s">
        <v>771</v>
      </c>
      <c r="E543" s="365"/>
      <c r="F543" s="311">
        <f>F544</f>
        <v>4749.3999999999996</v>
      </c>
      <c r="G543" s="311">
        <f>G544</f>
        <v>4749.3999999999996</v>
      </c>
      <c r="L543" s="362"/>
    </row>
    <row r="544" spans="1:12" s="363" customFormat="1" ht="34.5" customHeight="1" x14ac:dyDescent="0.25">
      <c r="A544" s="364" t="s">
        <v>191</v>
      </c>
      <c r="B544" s="365" t="s">
        <v>187</v>
      </c>
      <c r="C544" s="365" t="s">
        <v>116</v>
      </c>
      <c r="D544" s="365" t="s">
        <v>771</v>
      </c>
      <c r="E544" s="365" t="s">
        <v>192</v>
      </c>
      <c r="F544" s="311">
        <f>F545</f>
        <v>4749.3999999999996</v>
      </c>
      <c r="G544" s="311">
        <f>G545</f>
        <v>4749.3999999999996</v>
      </c>
      <c r="L544" s="362"/>
    </row>
    <row r="545" spans="1:12" s="363" customFormat="1" ht="15.75" x14ac:dyDescent="0.25">
      <c r="A545" s="364" t="s">
        <v>193</v>
      </c>
      <c r="B545" s="365" t="s">
        <v>187</v>
      </c>
      <c r="C545" s="365" t="s">
        <v>116</v>
      </c>
      <c r="D545" s="365" t="s">
        <v>771</v>
      </c>
      <c r="E545" s="365" t="s">
        <v>194</v>
      </c>
      <c r="F545" s="311">
        <f>'Пр.4.1 ведом.23-24 '!G639</f>
        <v>4749.3999999999996</v>
      </c>
      <c r="G545" s="311">
        <f>'Пр.4.1 ведом.23-24 '!H639</f>
        <v>4749.3999999999996</v>
      </c>
      <c r="L545" s="362"/>
    </row>
    <row r="546" spans="1:12" s="363" customFormat="1" ht="31.5" x14ac:dyDescent="0.25">
      <c r="A546" s="145" t="s">
        <v>515</v>
      </c>
      <c r="B546" s="316" t="s">
        <v>187</v>
      </c>
      <c r="C546" s="316" t="s">
        <v>116</v>
      </c>
      <c r="D546" s="316" t="s">
        <v>773</v>
      </c>
      <c r="E546" s="316"/>
      <c r="F546" s="310">
        <f>F547+F550+F553</f>
        <v>4142</v>
      </c>
      <c r="G546" s="310">
        <f>G547+G550+G553</f>
        <v>4142</v>
      </c>
      <c r="L546" s="362"/>
    </row>
    <row r="547" spans="1:12" s="363" customFormat="1" ht="31.5" hidden="1" x14ac:dyDescent="0.25">
      <c r="A547" s="364" t="s">
        <v>198</v>
      </c>
      <c r="B547" s="365" t="s">
        <v>187</v>
      </c>
      <c r="C547" s="365" t="s">
        <v>116</v>
      </c>
      <c r="D547" s="365" t="s">
        <v>786</v>
      </c>
      <c r="E547" s="365"/>
      <c r="F547" s="311">
        <f>F548</f>
        <v>0</v>
      </c>
      <c r="G547" s="311">
        <f>G548</f>
        <v>0</v>
      </c>
      <c r="L547" s="362"/>
    </row>
    <row r="548" spans="1:12" s="363" customFormat="1" ht="31.5" hidden="1" x14ac:dyDescent="0.25">
      <c r="A548" s="364" t="s">
        <v>191</v>
      </c>
      <c r="B548" s="365" t="s">
        <v>187</v>
      </c>
      <c r="C548" s="365" t="s">
        <v>116</v>
      </c>
      <c r="D548" s="365" t="s">
        <v>786</v>
      </c>
      <c r="E548" s="365" t="s">
        <v>192</v>
      </c>
      <c r="F548" s="311">
        <f>F549</f>
        <v>0</v>
      </c>
      <c r="G548" s="311">
        <f>G549</f>
        <v>0</v>
      </c>
      <c r="L548" s="362"/>
    </row>
    <row r="549" spans="1:12" s="363" customFormat="1" ht="15.75" hidden="1" x14ac:dyDescent="0.25">
      <c r="A549" s="364" t="s">
        <v>193</v>
      </c>
      <c r="B549" s="365" t="s">
        <v>187</v>
      </c>
      <c r="C549" s="365" t="s">
        <v>116</v>
      </c>
      <c r="D549" s="365" t="s">
        <v>786</v>
      </c>
      <c r="E549" s="365" t="s">
        <v>194</v>
      </c>
      <c r="F549" s="311">
        <f>'Пр.4 ведом.22'!G643</f>
        <v>0</v>
      </c>
      <c r="G549" s="311">
        <f>'Пр.4 ведом.22'!H643</f>
        <v>0</v>
      </c>
      <c r="L549" s="362"/>
    </row>
    <row r="550" spans="1:12" s="363" customFormat="1" ht="31.5" x14ac:dyDescent="0.25">
      <c r="A550" s="39" t="s">
        <v>344</v>
      </c>
      <c r="B550" s="365" t="s">
        <v>187</v>
      </c>
      <c r="C550" s="365" t="s">
        <v>116</v>
      </c>
      <c r="D550" s="365" t="s">
        <v>774</v>
      </c>
      <c r="E550" s="365"/>
      <c r="F550" s="311">
        <f>F551</f>
        <v>2882</v>
      </c>
      <c r="G550" s="311">
        <f>G551</f>
        <v>2882</v>
      </c>
      <c r="L550" s="362"/>
    </row>
    <row r="551" spans="1:12" ht="31.5" x14ac:dyDescent="0.25">
      <c r="A551" s="22" t="s">
        <v>191</v>
      </c>
      <c r="B551" s="365" t="s">
        <v>187</v>
      </c>
      <c r="C551" s="365" t="s">
        <v>116</v>
      </c>
      <c r="D551" s="365" t="s">
        <v>774</v>
      </c>
      <c r="E551" s="365" t="s">
        <v>192</v>
      </c>
      <c r="F551" s="311">
        <f>F552</f>
        <v>2882</v>
      </c>
      <c r="G551" s="311">
        <f>G552</f>
        <v>2882</v>
      </c>
    </row>
    <row r="552" spans="1:12" ht="15.75" x14ac:dyDescent="0.25">
      <c r="A552" s="111" t="s">
        <v>193</v>
      </c>
      <c r="B552" s="365" t="s">
        <v>187</v>
      </c>
      <c r="C552" s="365" t="s">
        <v>116</v>
      </c>
      <c r="D552" s="365" t="s">
        <v>774</v>
      </c>
      <c r="E552" s="365" t="s">
        <v>194</v>
      </c>
      <c r="F552" s="311">
        <f>'Пр.4.1 ведом.23-24 '!G646</f>
        <v>2882</v>
      </c>
      <c r="G552" s="311">
        <f>'Пр.4.1 ведом.23-24 '!H646</f>
        <v>2882</v>
      </c>
    </row>
    <row r="553" spans="1:12" ht="47.25" x14ac:dyDescent="0.25">
      <c r="A553" s="39" t="s">
        <v>345</v>
      </c>
      <c r="B553" s="365" t="s">
        <v>187</v>
      </c>
      <c r="C553" s="365" t="s">
        <v>116</v>
      </c>
      <c r="D553" s="365" t="s">
        <v>775</v>
      </c>
      <c r="E553" s="365"/>
      <c r="F553" s="311">
        <f>F554</f>
        <v>1260</v>
      </c>
      <c r="G553" s="311">
        <f>G554</f>
        <v>1260</v>
      </c>
    </row>
    <row r="554" spans="1:12" ht="31.5" x14ac:dyDescent="0.25">
      <c r="A554" s="22" t="s">
        <v>191</v>
      </c>
      <c r="B554" s="365" t="s">
        <v>187</v>
      </c>
      <c r="C554" s="365" t="s">
        <v>116</v>
      </c>
      <c r="D554" s="365" t="s">
        <v>775</v>
      </c>
      <c r="E554" s="365" t="s">
        <v>192</v>
      </c>
      <c r="F554" s="311">
        <f>F555</f>
        <v>1260</v>
      </c>
      <c r="G554" s="311">
        <f>G555</f>
        <v>1260</v>
      </c>
    </row>
    <row r="555" spans="1:12" ht="15.75" x14ac:dyDescent="0.25">
      <c r="A555" s="111" t="s">
        <v>193</v>
      </c>
      <c r="B555" s="365" t="s">
        <v>187</v>
      </c>
      <c r="C555" s="365" t="s">
        <v>116</v>
      </c>
      <c r="D555" s="365" t="s">
        <v>775</v>
      </c>
      <c r="E555" s="365" t="s">
        <v>194</v>
      </c>
      <c r="F555" s="311">
        <f>'Пр.4.1 ведом.23-24 '!G649</f>
        <v>1260</v>
      </c>
      <c r="G555" s="311">
        <f>'Пр.4.1 ведом.23-24 '!H649</f>
        <v>1260</v>
      </c>
    </row>
    <row r="556" spans="1:12" ht="31.5" x14ac:dyDescent="0.25">
      <c r="A556" s="315" t="s">
        <v>1107</v>
      </c>
      <c r="B556" s="316" t="s">
        <v>187</v>
      </c>
      <c r="C556" s="316" t="s">
        <v>116</v>
      </c>
      <c r="D556" s="316" t="s">
        <v>776</v>
      </c>
      <c r="E556" s="316"/>
      <c r="F556" s="310">
        <f t="shared" ref="F556:G558" si="93">F557</f>
        <v>189.9</v>
      </c>
      <c r="G556" s="310">
        <f t="shared" si="93"/>
        <v>196.79999999999998</v>
      </c>
      <c r="H556" s="74"/>
    </row>
    <row r="557" spans="1:12" ht="31.5" x14ac:dyDescent="0.25">
      <c r="A557" s="364" t="s">
        <v>1108</v>
      </c>
      <c r="B557" s="365" t="s">
        <v>187</v>
      </c>
      <c r="C557" s="365" t="s">
        <v>116</v>
      </c>
      <c r="D557" s="365" t="s">
        <v>1109</v>
      </c>
      <c r="E557" s="365"/>
      <c r="F557" s="311">
        <f t="shared" si="93"/>
        <v>189.9</v>
      </c>
      <c r="G557" s="311">
        <f t="shared" si="93"/>
        <v>196.79999999999998</v>
      </c>
      <c r="H557" s="74"/>
    </row>
    <row r="558" spans="1:12" ht="31.5" x14ac:dyDescent="0.25">
      <c r="A558" s="22" t="s">
        <v>191</v>
      </c>
      <c r="B558" s="365" t="s">
        <v>187</v>
      </c>
      <c r="C558" s="365" t="s">
        <v>116</v>
      </c>
      <c r="D558" s="365" t="s">
        <v>1109</v>
      </c>
      <c r="E558" s="365" t="s">
        <v>192</v>
      </c>
      <c r="F558" s="311">
        <f t="shared" si="93"/>
        <v>189.9</v>
      </c>
      <c r="G558" s="311">
        <f t="shared" si="93"/>
        <v>196.79999999999998</v>
      </c>
      <c r="H558" s="74"/>
    </row>
    <row r="559" spans="1:12" ht="15.75" x14ac:dyDescent="0.25">
      <c r="A559" s="111" t="s">
        <v>193</v>
      </c>
      <c r="B559" s="365" t="s">
        <v>187</v>
      </c>
      <c r="C559" s="365" t="s">
        <v>116</v>
      </c>
      <c r="D559" s="365" t="s">
        <v>1109</v>
      </c>
      <c r="E559" s="365" t="s">
        <v>194</v>
      </c>
      <c r="F559" s="311">
        <f>'Пр.4.1 ведом.23-24 '!G653</f>
        <v>189.9</v>
      </c>
      <c r="G559" s="311">
        <f>'Пр.4.1 ведом.23-24 '!H653</f>
        <v>196.79999999999998</v>
      </c>
      <c r="H559" s="74"/>
    </row>
    <row r="560" spans="1:12" ht="94.5" x14ac:dyDescent="0.25">
      <c r="A560" s="315" t="s">
        <v>717</v>
      </c>
      <c r="B560" s="316" t="s">
        <v>187</v>
      </c>
      <c r="C560" s="316" t="s">
        <v>116</v>
      </c>
      <c r="D560" s="316" t="s">
        <v>777</v>
      </c>
      <c r="E560" s="316"/>
      <c r="F560" s="314">
        <f t="shared" ref="F560:G562" si="94">F561</f>
        <v>701.07999999999993</v>
      </c>
      <c r="G560" s="314">
        <f t="shared" si="94"/>
        <v>701.07999999999993</v>
      </c>
    </row>
    <row r="561" spans="1:7" ht="94.5" x14ac:dyDescent="0.25">
      <c r="A561" s="99" t="s">
        <v>965</v>
      </c>
      <c r="B561" s="365" t="s">
        <v>187</v>
      </c>
      <c r="C561" s="365" t="s">
        <v>116</v>
      </c>
      <c r="D561" s="365" t="s">
        <v>778</v>
      </c>
      <c r="E561" s="365"/>
      <c r="F561" s="318">
        <f t="shared" si="94"/>
        <v>701.07999999999993</v>
      </c>
      <c r="G561" s="318">
        <f t="shared" si="94"/>
        <v>701.07999999999993</v>
      </c>
    </row>
    <row r="562" spans="1:7" ht="31.5" x14ac:dyDescent="0.25">
      <c r="A562" s="364" t="s">
        <v>191</v>
      </c>
      <c r="B562" s="365" t="s">
        <v>187</v>
      </c>
      <c r="C562" s="365" t="s">
        <v>116</v>
      </c>
      <c r="D562" s="365" t="s">
        <v>778</v>
      </c>
      <c r="E562" s="365" t="s">
        <v>192</v>
      </c>
      <c r="F562" s="318">
        <f t="shared" si="94"/>
        <v>701.07999999999993</v>
      </c>
      <c r="G562" s="318">
        <f t="shared" si="94"/>
        <v>701.07999999999993</v>
      </c>
    </row>
    <row r="563" spans="1:7" ht="15.75" x14ac:dyDescent="0.25">
      <c r="A563" s="364" t="s">
        <v>193</v>
      </c>
      <c r="B563" s="365" t="s">
        <v>187</v>
      </c>
      <c r="C563" s="365" t="s">
        <v>116</v>
      </c>
      <c r="D563" s="365" t="s">
        <v>778</v>
      </c>
      <c r="E563" s="365" t="s">
        <v>194</v>
      </c>
      <c r="F563" s="318">
        <f>'Пр.4.1 ведом.23-24 '!G657</f>
        <v>701.07999999999993</v>
      </c>
      <c r="G563" s="318">
        <f>'Пр.4.1 ведом.23-24 '!H657</f>
        <v>701.07999999999993</v>
      </c>
    </row>
    <row r="564" spans="1:7" ht="31.5" hidden="1" x14ac:dyDescent="0.25">
      <c r="A564" s="201" t="s">
        <v>1024</v>
      </c>
      <c r="B564" s="316" t="s">
        <v>187</v>
      </c>
      <c r="C564" s="316" t="s">
        <v>116</v>
      </c>
      <c r="D564" s="316" t="s">
        <v>1026</v>
      </c>
      <c r="E564" s="316"/>
      <c r="F564" s="314">
        <f t="shared" ref="F564:G566" si="95">F565</f>
        <v>0</v>
      </c>
      <c r="G564" s="314">
        <f t="shared" si="95"/>
        <v>0</v>
      </c>
    </row>
    <row r="565" spans="1:7" ht="31.5" hidden="1" x14ac:dyDescent="0.25">
      <c r="A565" s="200" t="s">
        <v>1025</v>
      </c>
      <c r="B565" s="365" t="s">
        <v>187</v>
      </c>
      <c r="C565" s="365" t="s">
        <v>116</v>
      </c>
      <c r="D565" s="365" t="s">
        <v>1027</v>
      </c>
      <c r="E565" s="365"/>
      <c r="F565" s="318">
        <f t="shared" si="95"/>
        <v>0</v>
      </c>
      <c r="G565" s="318">
        <f t="shared" si="95"/>
        <v>0</v>
      </c>
    </row>
    <row r="566" spans="1:7" ht="31.5" hidden="1" x14ac:dyDescent="0.25">
      <c r="A566" s="24" t="s">
        <v>191</v>
      </c>
      <c r="B566" s="365" t="s">
        <v>187</v>
      </c>
      <c r="C566" s="365" t="s">
        <v>116</v>
      </c>
      <c r="D566" s="365" t="s">
        <v>1027</v>
      </c>
      <c r="E566" s="365" t="s">
        <v>192</v>
      </c>
      <c r="F566" s="318">
        <f t="shared" si="95"/>
        <v>0</v>
      </c>
      <c r="G566" s="318">
        <f t="shared" si="95"/>
        <v>0</v>
      </c>
    </row>
    <row r="567" spans="1:7" ht="15.75" hidden="1" x14ac:dyDescent="0.25">
      <c r="A567" s="24" t="s">
        <v>193</v>
      </c>
      <c r="B567" s="365" t="s">
        <v>187</v>
      </c>
      <c r="C567" s="365" t="s">
        <v>116</v>
      </c>
      <c r="D567" s="365" t="s">
        <v>1027</v>
      </c>
      <c r="E567" s="365" t="s">
        <v>194</v>
      </c>
      <c r="F567" s="318">
        <f>'Пр.4 ведом.22'!G664</f>
        <v>0</v>
      </c>
      <c r="G567" s="318">
        <f>'Пр.4 ведом.22'!H664</f>
        <v>0</v>
      </c>
    </row>
    <row r="568" spans="1:7" ht="47.25" hidden="1" x14ac:dyDescent="0.25">
      <c r="A568" s="201" t="s">
        <v>1028</v>
      </c>
      <c r="B568" s="316" t="s">
        <v>187</v>
      </c>
      <c r="C568" s="316" t="s">
        <v>116</v>
      </c>
      <c r="D568" s="316" t="s">
        <v>1031</v>
      </c>
      <c r="E568" s="316"/>
      <c r="F568" s="314">
        <f t="shared" ref="F568:G570" si="96">F569</f>
        <v>0</v>
      </c>
      <c r="G568" s="314">
        <f t="shared" si="96"/>
        <v>0</v>
      </c>
    </row>
    <row r="569" spans="1:7" ht="47.25" hidden="1" x14ac:dyDescent="0.25">
      <c r="A569" s="200" t="s">
        <v>1029</v>
      </c>
      <c r="B569" s="365" t="s">
        <v>187</v>
      </c>
      <c r="C569" s="365" t="s">
        <v>116</v>
      </c>
      <c r="D569" s="365" t="s">
        <v>1030</v>
      </c>
      <c r="E569" s="365"/>
      <c r="F569" s="318">
        <f t="shared" si="96"/>
        <v>0</v>
      </c>
      <c r="G569" s="318">
        <f t="shared" si="96"/>
        <v>0</v>
      </c>
    </row>
    <row r="570" spans="1:7" ht="31.5" hidden="1" x14ac:dyDescent="0.25">
      <c r="A570" s="24" t="s">
        <v>191</v>
      </c>
      <c r="B570" s="365" t="s">
        <v>187</v>
      </c>
      <c r="C570" s="365" t="s">
        <v>116</v>
      </c>
      <c r="D570" s="365" t="s">
        <v>1030</v>
      </c>
      <c r="E570" s="365" t="s">
        <v>192</v>
      </c>
      <c r="F570" s="318">
        <f t="shared" si="96"/>
        <v>0</v>
      </c>
      <c r="G570" s="318">
        <f t="shared" si="96"/>
        <v>0</v>
      </c>
    </row>
    <row r="571" spans="1:7" ht="15.75" hidden="1" x14ac:dyDescent="0.25">
      <c r="A571" s="24" t="s">
        <v>193</v>
      </c>
      <c r="B571" s="365" t="s">
        <v>187</v>
      </c>
      <c r="C571" s="365" t="s">
        <v>116</v>
      </c>
      <c r="D571" s="365" t="s">
        <v>1030</v>
      </c>
      <c r="E571" s="365" t="s">
        <v>194</v>
      </c>
      <c r="F571" s="318">
        <f>'Пр.4 ведом.22'!G668</f>
        <v>0</v>
      </c>
      <c r="G571" s="318">
        <f>'Пр.4 ведом.22'!H668</f>
        <v>0</v>
      </c>
    </row>
    <row r="572" spans="1:7" ht="53.65" customHeight="1" x14ac:dyDescent="0.25">
      <c r="A572" s="26" t="s">
        <v>859</v>
      </c>
      <c r="B572" s="316" t="s">
        <v>187</v>
      </c>
      <c r="C572" s="316" t="s">
        <v>116</v>
      </c>
      <c r="D572" s="316" t="s">
        <v>206</v>
      </c>
      <c r="E572" s="316"/>
      <c r="F572" s="310">
        <f t="shared" ref="F572:G574" si="97">F573</f>
        <v>80</v>
      </c>
      <c r="G572" s="310">
        <f t="shared" si="97"/>
        <v>25</v>
      </c>
    </row>
    <row r="573" spans="1:7" ht="63" x14ac:dyDescent="0.25">
      <c r="A573" s="26" t="s">
        <v>572</v>
      </c>
      <c r="B573" s="316" t="s">
        <v>187</v>
      </c>
      <c r="C573" s="316" t="s">
        <v>116</v>
      </c>
      <c r="D573" s="316" t="s">
        <v>504</v>
      </c>
      <c r="E573" s="316"/>
      <c r="F573" s="310">
        <f t="shared" si="97"/>
        <v>80</v>
      </c>
      <c r="G573" s="310">
        <f t="shared" si="97"/>
        <v>25</v>
      </c>
    </row>
    <row r="574" spans="1:7" ht="47.25" x14ac:dyDescent="0.25">
      <c r="A574" s="24" t="s">
        <v>571</v>
      </c>
      <c r="B574" s="365" t="s">
        <v>187</v>
      </c>
      <c r="C574" s="365" t="s">
        <v>116</v>
      </c>
      <c r="D574" s="365" t="s">
        <v>505</v>
      </c>
      <c r="E574" s="365"/>
      <c r="F574" s="311">
        <f t="shared" si="97"/>
        <v>80</v>
      </c>
      <c r="G574" s="311">
        <f t="shared" si="97"/>
        <v>25</v>
      </c>
    </row>
    <row r="575" spans="1:7" ht="31.5" x14ac:dyDescent="0.25">
      <c r="A575" s="24" t="s">
        <v>191</v>
      </c>
      <c r="B575" s="365" t="s">
        <v>187</v>
      </c>
      <c r="C575" s="365" t="s">
        <v>116</v>
      </c>
      <c r="D575" s="365" t="s">
        <v>505</v>
      </c>
      <c r="E575" s="365" t="s">
        <v>192</v>
      </c>
      <c r="F575" s="311">
        <f t="shared" ref="F575:G575" si="98">F576</f>
        <v>80</v>
      </c>
      <c r="G575" s="311">
        <f t="shared" si="98"/>
        <v>25</v>
      </c>
    </row>
    <row r="576" spans="1:7" ht="15.75" x14ac:dyDescent="0.25">
      <c r="A576" s="24" t="s">
        <v>193</v>
      </c>
      <c r="B576" s="365" t="s">
        <v>187</v>
      </c>
      <c r="C576" s="365" t="s">
        <v>116</v>
      </c>
      <c r="D576" s="365" t="s">
        <v>505</v>
      </c>
      <c r="E576" s="365" t="s">
        <v>194</v>
      </c>
      <c r="F576" s="311">
        <f>'Пр.4.1 ведом.23-24 '!G673</f>
        <v>80</v>
      </c>
      <c r="G576" s="311">
        <f>'Пр.4.1 ведом.23-24 '!H673</f>
        <v>25</v>
      </c>
    </row>
    <row r="577" spans="1:8" ht="47.25" x14ac:dyDescent="0.25">
      <c r="A577" s="359" t="s">
        <v>855</v>
      </c>
      <c r="B577" s="316" t="s">
        <v>187</v>
      </c>
      <c r="C577" s="316" t="s">
        <v>116</v>
      </c>
      <c r="D577" s="316" t="s">
        <v>339</v>
      </c>
      <c r="E577" s="323"/>
      <c r="F577" s="310">
        <f>F578</f>
        <v>571.79999999999995</v>
      </c>
      <c r="G577" s="310">
        <f>G578</f>
        <v>571.79999999999995</v>
      </c>
    </row>
    <row r="578" spans="1:8" ht="47.25" x14ac:dyDescent="0.25">
      <c r="A578" s="359" t="s">
        <v>463</v>
      </c>
      <c r="B578" s="316" t="s">
        <v>187</v>
      </c>
      <c r="C578" s="316" t="s">
        <v>116</v>
      </c>
      <c r="D578" s="316" t="s">
        <v>461</v>
      </c>
      <c r="E578" s="323"/>
      <c r="F578" s="310">
        <f t="shared" ref="F578:G579" si="99">F579</f>
        <v>571.79999999999995</v>
      </c>
      <c r="G578" s="310">
        <f t="shared" si="99"/>
        <v>571.79999999999995</v>
      </c>
    </row>
    <row r="579" spans="1:8" ht="47.25" x14ac:dyDescent="0.25">
      <c r="A579" s="70" t="s">
        <v>359</v>
      </c>
      <c r="B579" s="365" t="s">
        <v>187</v>
      </c>
      <c r="C579" s="365" t="s">
        <v>116</v>
      </c>
      <c r="D579" s="365" t="s">
        <v>506</v>
      </c>
      <c r="E579" s="319"/>
      <c r="F579" s="311">
        <f t="shared" si="99"/>
        <v>571.79999999999995</v>
      </c>
      <c r="G579" s="311">
        <f t="shared" si="99"/>
        <v>571.79999999999995</v>
      </c>
    </row>
    <row r="580" spans="1:8" ht="31.5" x14ac:dyDescent="0.25">
      <c r="A580" s="22" t="s">
        <v>191</v>
      </c>
      <c r="B580" s="365" t="s">
        <v>187</v>
      </c>
      <c r="C580" s="365" t="s">
        <v>116</v>
      </c>
      <c r="D580" s="365" t="s">
        <v>506</v>
      </c>
      <c r="E580" s="319" t="s">
        <v>192</v>
      </c>
      <c r="F580" s="311">
        <f>F581</f>
        <v>571.79999999999995</v>
      </c>
      <c r="G580" s="311">
        <f>G581</f>
        <v>571.79999999999995</v>
      </c>
    </row>
    <row r="581" spans="1:8" ht="24.75" customHeight="1" x14ac:dyDescent="0.25">
      <c r="A581" s="111" t="s">
        <v>193</v>
      </c>
      <c r="B581" s="365" t="s">
        <v>187</v>
      </c>
      <c r="C581" s="365" t="s">
        <v>116</v>
      </c>
      <c r="D581" s="365" t="s">
        <v>506</v>
      </c>
      <c r="E581" s="319" t="s">
        <v>194</v>
      </c>
      <c r="F581" s="311">
        <f>'Пр.4.1 ведом.23-24 '!G678</f>
        <v>571.79999999999995</v>
      </c>
      <c r="G581" s="311">
        <f>'Пр.4.1 ведом.23-24 '!H678</f>
        <v>571.79999999999995</v>
      </c>
    </row>
    <row r="582" spans="1:8" ht="15.75" x14ac:dyDescent="0.25">
      <c r="A582" s="359" t="s">
        <v>239</v>
      </c>
      <c r="B582" s="7" t="s">
        <v>187</v>
      </c>
      <c r="C582" s="7" t="s">
        <v>158</v>
      </c>
      <c r="D582" s="7"/>
      <c r="E582" s="7"/>
      <c r="F582" s="310">
        <f>F583+F661+F666</f>
        <v>202665.56</v>
      </c>
      <c r="G582" s="310">
        <f>G583+G661+G666</f>
        <v>164386.26</v>
      </c>
      <c r="H582" s="74"/>
    </row>
    <row r="583" spans="1:8" ht="34.700000000000003" customHeight="1" x14ac:dyDescent="0.25">
      <c r="A583" s="315" t="s">
        <v>860</v>
      </c>
      <c r="B583" s="316" t="s">
        <v>187</v>
      </c>
      <c r="C583" s="316" t="s">
        <v>158</v>
      </c>
      <c r="D583" s="316" t="s">
        <v>237</v>
      </c>
      <c r="E583" s="316"/>
      <c r="F583" s="310">
        <f>F584+F588+F601+F614+F621+F625+F629+F633+F637+F653+F649+F641+F645+F657</f>
        <v>201734.72</v>
      </c>
      <c r="G583" s="310">
        <f>G584+G588+G601+G614+G621+G625+G629+G633+G637+G653+G649+G641+G645+G657</f>
        <v>163455.42000000001</v>
      </c>
    </row>
    <row r="584" spans="1:8" ht="31.5" x14ac:dyDescent="0.25">
      <c r="A584" s="315" t="s">
        <v>507</v>
      </c>
      <c r="B584" s="316" t="s">
        <v>187</v>
      </c>
      <c r="C584" s="316" t="s">
        <v>158</v>
      </c>
      <c r="D584" s="316" t="s">
        <v>766</v>
      </c>
      <c r="E584" s="316"/>
      <c r="F584" s="310">
        <f>F585</f>
        <v>30618.400000000001</v>
      </c>
      <c r="G584" s="310">
        <f>G585</f>
        <v>30618.400000000001</v>
      </c>
    </row>
    <row r="585" spans="1:8" ht="47.25" x14ac:dyDescent="0.25">
      <c r="A585" s="364" t="s">
        <v>769</v>
      </c>
      <c r="B585" s="365" t="s">
        <v>187</v>
      </c>
      <c r="C585" s="365" t="s">
        <v>158</v>
      </c>
      <c r="D585" s="365" t="s">
        <v>780</v>
      </c>
      <c r="E585" s="365"/>
      <c r="F585" s="255">
        <f t="shared" ref="F585:G585" si="100">F586</f>
        <v>30618.400000000001</v>
      </c>
      <c r="G585" s="255">
        <f t="shared" si="100"/>
        <v>30618.400000000001</v>
      </c>
    </row>
    <row r="586" spans="1:8" ht="39.75" customHeight="1" x14ac:dyDescent="0.25">
      <c r="A586" s="364" t="s">
        <v>191</v>
      </c>
      <c r="B586" s="365" t="s">
        <v>187</v>
      </c>
      <c r="C586" s="365" t="s">
        <v>158</v>
      </c>
      <c r="D586" s="365" t="s">
        <v>780</v>
      </c>
      <c r="E586" s="365" t="s">
        <v>192</v>
      </c>
      <c r="F586" s="255">
        <f>F587</f>
        <v>30618.400000000001</v>
      </c>
      <c r="G586" s="255">
        <f>G587</f>
        <v>30618.400000000001</v>
      </c>
    </row>
    <row r="587" spans="1:8" ht="15.75" x14ac:dyDescent="0.25">
      <c r="A587" s="364" t="s">
        <v>193</v>
      </c>
      <c r="B587" s="365" t="s">
        <v>187</v>
      </c>
      <c r="C587" s="365" t="s">
        <v>158</v>
      </c>
      <c r="D587" s="365" t="s">
        <v>780</v>
      </c>
      <c r="E587" s="365" t="s">
        <v>194</v>
      </c>
      <c r="F587" s="311">
        <f>'Пр.4.1 ведом.23-24 '!G684</f>
        <v>30618.400000000001</v>
      </c>
      <c r="G587" s="311">
        <f>'Пр.4.1 ведом.23-24 '!H684</f>
        <v>30618.400000000001</v>
      </c>
    </row>
    <row r="588" spans="1:8" ht="48.95" customHeight="1" x14ac:dyDescent="0.25">
      <c r="A588" s="315" t="s">
        <v>471</v>
      </c>
      <c r="B588" s="316" t="s">
        <v>187</v>
      </c>
      <c r="C588" s="316" t="s">
        <v>158</v>
      </c>
      <c r="D588" s="316" t="s">
        <v>768</v>
      </c>
      <c r="E588" s="316"/>
      <c r="F588" s="310">
        <f>F589+F592+F595+F598</f>
        <v>154802.51</v>
      </c>
      <c r="G588" s="310">
        <f>G589+G592+G595+G598</f>
        <v>118711.51</v>
      </c>
    </row>
    <row r="589" spans="1:8" ht="67.7" customHeight="1" x14ac:dyDescent="0.25">
      <c r="A589" s="364" t="s">
        <v>886</v>
      </c>
      <c r="B589" s="365" t="s">
        <v>187</v>
      </c>
      <c r="C589" s="365" t="s">
        <v>158</v>
      </c>
      <c r="D589" s="365" t="s">
        <v>887</v>
      </c>
      <c r="E589" s="365"/>
      <c r="F589" s="20">
        <f>F590</f>
        <v>7421.4</v>
      </c>
      <c r="G589" s="20">
        <f>G590</f>
        <v>7421.4</v>
      </c>
    </row>
    <row r="590" spans="1:8" ht="36.75" customHeight="1" x14ac:dyDescent="0.25">
      <c r="A590" s="364" t="s">
        <v>191</v>
      </c>
      <c r="B590" s="365" t="s">
        <v>187</v>
      </c>
      <c r="C590" s="365" t="s">
        <v>158</v>
      </c>
      <c r="D590" s="365" t="s">
        <v>887</v>
      </c>
      <c r="E590" s="365" t="s">
        <v>192</v>
      </c>
      <c r="F590" s="20">
        <f>F591</f>
        <v>7421.4</v>
      </c>
      <c r="G590" s="20">
        <f>G591</f>
        <v>7421.4</v>
      </c>
    </row>
    <row r="591" spans="1:8" ht="17.649999999999999" customHeight="1" x14ac:dyDescent="0.25">
      <c r="A591" s="364" t="s">
        <v>193</v>
      </c>
      <c r="B591" s="365" t="s">
        <v>187</v>
      </c>
      <c r="C591" s="365" t="s">
        <v>158</v>
      </c>
      <c r="D591" s="365" t="s">
        <v>887</v>
      </c>
      <c r="E591" s="365" t="s">
        <v>194</v>
      </c>
      <c r="F591" s="20">
        <f>'Пр.4.1 ведом.23-24 '!G688</f>
        <v>7421.4</v>
      </c>
      <c r="G591" s="20">
        <f>'Пр.4.1 ведом.23-24 '!H688</f>
        <v>7421.4</v>
      </c>
    </row>
    <row r="592" spans="1:8" ht="95.1" customHeight="1" x14ac:dyDescent="0.25">
      <c r="A592" s="24" t="s">
        <v>245</v>
      </c>
      <c r="B592" s="365" t="s">
        <v>187</v>
      </c>
      <c r="C592" s="365" t="s">
        <v>158</v>
      </c>
      <c r="D592" s="365" t="s">
        <v>884</v>
      </c>
      <c r="E592" s="365"/>
      <c r="F592" s="311">
        <f>F593</f>
        <v>5001</v>
      </c>
      <c r="G592" s="311">
        <f>G593</f>
        <v>5001</v>
      </c>
    </row>
    <row r="593" spans="1:7" ht="40.15" customHeight="1" x14ac:dyDescent="0.25">
      <c r="A593" s="364" t="s">
        <v>191</v>
      </c>
      <c r="B593" s="365" t="s">
        <v>187</v>
      </c>
      <c r="C593" s="365" t="s">
        <v>158</v>
      </c>
      <c r="D593" s="365" t="s">
        <v>884</v>
      </c>
      <c r="E593" s="365" t="s">
        <v>192</v>
      </c>
      <c r="F593" s="311">
        <f>F594</f>
        <v>5001</v>
      </c>
      <c r="G593" s="311">
        <f>G594</f>
        <v>5001</v>
      </c>
    </row>
    <row r="594" spans="1:7" ht="17.100000000000001" customHeight="1" x14ac:dyDescent="0.25">
      <c r="A594" s="364" t="s">
        <v>193</v>
      </c>
      <c r="B594" s="365" t="s">
        <v>187</v>
      </c>
      <c r="C594" s="365" t="s">
        <v>158</v>
      </c>
      <c r="D594" s="365" t="s">
        <v>884</v>
      </c>
      <c r="E594" s="365" t="s">
        <v>194</v>
      </c>
      <c r="F594" s="311">
        <f>'Пр.4.1 ведом.23-24 '!G691</f>
        <v>5001</v>
      </c>
      <c r="G594" s="311">
        <f>'Пр.4.1 ведом.23-24 '!H691</f>
        <v>5001</v>
      </c>
    </row>
    <row r="595" spans="1:7" ht="47.25" x14ac:dyDescent="0.25">
      <c r="A595" s="24" t="s">
        <v>244</v>
      </c>
      <c r="B595" s="365" t="s">
        <v>187</v>
      </c>
      <c r="C595" s="365" t="s">
        <v>158</v>
      </c>
      <c r="D595" s="365" t="s">
        <v>781</v>
      </c>
      <c r="E595" s="365"/>
      <c r="F595" s="311">
        <f>F596</f>
        <v>909.3</v>
      </c>
      <c r="G595" s="311">
        <f>G596</f>
        <v>909.3</v>
      </c>
    </row>
    <row r="596" spans="1:7" ht="36" customHeight="1" x14ac:dyDescent="0.25">
      <c r="A596" s="364" t="s">
        <v>191</v>
      </c>
      <c r="B596" s="365" t="s">
        <v>187</v>
      </c>
      <c r="C596" s="365" t="s">
        <v>158</v>
      </c>
      <c r="D596" s="365" t="s">
        <v>781</v>
      </c>
      <c r="E596" s="365" t="s">
        <v>192</v>
      </c>
      <c r="F596" s="311">
        <f t="shared" ref="F596:G596" si="101">F597</f>
        <v>909.3</v>
      </c>
      <c r="G596" s="311">
        <f t="shared" si="101"/>
        <v>909.3</v>
      </c>
    </row>
    <row r="597" spans="1:7" ht="15.75" x14ac:dyDescent="0.25">
      <c r="A597" s="364" t="s">
        <v>193</v>
      </c>
      <c r="B597" s="365" t="s">
        <v>187</v>
      </c>
      <c r="C597" s="365" t="s">
        <v>158</v>
      </c>
      <c r="D597" s="365" t="s">
        <v>781</v>
      </c>
      <c r="E597" s="365" t="s">
        <v>194</v>
      </c>
      <c r="F597" s="311">
        <f>'Пр.4.1 ведом.23-24 '!G694</f>
        <v>909.3</v>
      </c>
      <c r="G597" s="311">
        <f>'Пр.4.1 ведом.23-24 '!H694</f>
        <v>909.3</v>
      </c>
    </row>
    <row r="598" spans="1:7" ht="47.25" x14ac:dyDescent="0.25">
      <c r="A598" s="364" t="s">
        <v>1147</v>
      </c>
      <c r="B598" s="365" t="s">
        <v>187</v>
      </c>
      <c r="C598" s="365" t="s">
        <v>158</v>
      </c>
      <c r="D598" s="365" t="s">
        <v>1148</v>
      </c>
      <c r="E598" s="365"/>
      <c r="F598" s="311">
        <f>F599</f>
        <v>141470.81</v>
      </c>
      <c r="G598" s="311">
        <f>G599</f>
        <v>105379.81</v>
      </c>
    </row>
    <row r="599" spans="1:7" ht="31.5" x14ac:dyDescent="0.25">
      <c r="A599" s="364" t="s">
        <v>191</v>
      </c>
      <c r="B599" s="365" t="s">
        <v>187</v>
      </c>
      <c r="C599" s="365" t="s">
        <v>158</v>
      </c>
      <c r="D599" s="365" t="s">
        <v>1148</v>
      </c>
      <c r="E599" s="365" t="s">
        <v>192</v>
      </c>
      <c r="F599" s="311">
        <f>F600</f>
        <v>141470.81</v>
      </c>
      <c r="G599" s="311">
        <f>G600</f>
        <v>105379.81</v>
      </c>
    </row>
    <row r="600" spans="1:7" ht="15.75" x14ac:dyDescent="0.25">
      <c r="A600" s="364" t="s">
        <v>193</v>
      </c>
      <c r="B600" s="365" t="s">
        <v>187</v>
      </c>
      <c r="C600" s="365" t="s">
        <v>158</v>
      </c>
      <c r="D600" s="365" t="s">
        <v>1148</v>
      </c>
      <c r="E600" s="365" t="s">
        <v>194</v>
      </c>
      <c r="F600" s="311">
        <f>'Пр.4.1 ведом.23-24 '!G697</f>
        <v>141470.81</v>
      </c>
      <c r="G600" s="311">
        <f>'Пр.4.1 ведом.23-24 '!H697</f>
        <v>105379.81</v>
      </c>
    </row>
    <row r="601" spans="1:7" ht="31.5" x14ac:dyDescent="0.25">
      <c r="A601" s="315" t="s">
        <v>818</v>
      </c>
      <c r="B601" s="316" t="s">
        <v>187</v>
      </c>
      <c r="C601" s="316" t="s">
        <v>158</v>
      </c>
      <c r="D601" s="316" t="s">
        <v>770</v>
      </c>
      <c r="E601" s="316"/>
      <c r="F601" s="310">
        <f>F602+F605+F608+F611</f>
        <v>208.6</v>
      </c>
      <c r="G601" s="310">
        <f>G602+G605+G608+G611</f>
        <v>208.6</v>
      </c>
    </row>
    <row r="602" spans="1:7" ht="36" hidden="1" customHeight="1" x14ac:dyDescent="0.25">
      <c r="A602" s="364" t="s">
        <v>242</v>
      </c>
      <c r="B602" s="365" t="s">
        <v>187</v>
      </c>
      <c r="C602" s="365" t="s">
        <v>158</v>
      </c>
      <c r="D602" s="365" t="s">
        <v>825</v>
      </c>
      <c r="E602" s="365"/>
      <c r="F602" s="311">
        <f t="shared" ref="F602:G602" si="102">F603</f>
        <v>0</v>
      </c>
      <c r="G602" s="311">
        <f t="shared" si="102"/>
        <v>0</v>
      </c>
    </row>
    <row r="603" spans="1:7" ht="35.450000000000003" hidden="1" customHeight="1" x14ac:dyDescent="0.25">
      <c r="A603" s="364" t="s">
        <v>191</v>
      </c>
      <c r="B603" s="365" t="s">
        <v>187</v>
      </c>
      <c r="C603" s="365" t="s">
        <v>158</v>
      </c>
      <c r="D603" s="365" t="s">
        <v>825</v>
      </c>
      <c r="E603" s="365" t="s">
        <v>192</v>
      </c>
      <c r="F603" s="311">
        <f>F604</f>
        <v>0</v>
      </c>
      <c r="G603" s="311">
        <f>G604</f>
        <v>0</v>
      </c>
    </row>
    <row r="604" spans="1:7" ht="15.75" hidden="1" x14ac:dyDescent="0.25">
      <c r="A604" s="364" t="s">
        <v>193</v>
      </c>
      <c r="B604" s="365" t="s">
        <v>187</v>
      </c>
      <c r="C604" s="365" t="s">
        <v>158</v>
      </c>
      <c r="D604" s="365" t="s">
        <v>825</v>
      </c>
      <c r="E604" s="365" t="s">
        <v>194</v>
      </c>
      <c r="F604" s="311">
        <f>'Пр.4 ведом.22'!G701</f>
        <v>0</v>
      </c>
      <c r="G604" s="311">
        <v>0</v>
      </c>
    </row>
    <row r="605" spans="1:7" ht="31.5" hidden="1" x14ac:dyDescent="0.25">
      <c r="A605" s="364" t="s">
        <v>195</v>
      </c>
      <c r="B605" s="365" t="s">
        <v>187</v>
      </c>
      <c r="C605" s="365" t="s">
        <v>158</v>
      </c>
      <c r="D605" s="365" t="s">
        <v>826</v>
      </c>
      <c r="E605" s="365"/>
      <c r="F605" s="311">
        <f t="shared" ref="F605:G605" si="103">F606</f>
        <v>0</v>
      </c>
      <c r="G605" s="311">
        <f t="shared" si="103"/>
        <v>0</v>
      </c>
    </row>
    <row r="606" spans="1:7" ht="37.5" hidden="1" customHeight="1" x14ac:dyDescent="0.25">
      <c r="A606" s="364" t="s">
        <v>191</v>
      </c>
      <c r="B606" s="365" t="s">
        <v>187</v>
      </c>
      <c r="C606" s="365" t="s">
        <v>158</v>
      </c>
      <c r="D606" s="365" t="s">
        <v>826</v>
      </c>
      <c r="E606" s="365" t="s">
        <v>192</v>
      </c>
      <c r="F606" s="311">
        <f>F607</f>
        <v>0</v>
      </c>
      <c r="G606" s="311">
        <f>G607</f>
        <v>0</v>
      </c>
    </row>
    <row r="607" spans="1:7" ht="15.75" hidden="1" x14ac:dyDescent="0.25">
      <c r="A607" s="364" t="s">
        <v>193</v>
      </c>
      <c r="B607" s="365" t="s">
        <v>187</v>
      </c>
      <c r="C607" s="365" t="s">
        <v>158</v>
      </c>
      <c r="D607" s="365" t="s">
        <v>826</v>
      </c>
      <c r="E607" s="365" t="s">
        <v>194</v>
      </c>
      <c r="F607" s="311"/>
      <c r="G607" s="311"/>
    </row>
    <row r="608" spans="1:7" ht="31.5" hidden="1" x14ac:dyDescent="0.25">
      <c r="A608" s="364" t="s">
        <v>196</v>
      </c>
      <c r="B608" s="365" t="s">
        <v>187</v>
      </c>
      <c r="C608" s="365" t="s">
        <v>158</v>
      </c>
      <c r="D608" s="365" t="s">
        <v>827</v>
      </c>
      <c r="E608" s="365"/>
      <c r="F608" s="311">
        <f t="shared" ref="F608:G608" si="104">F609</f>
        <v>0</v>
      </c>
      <c r="G608" s="311">
        <f t="shared" si="104"/>
        <v>0</v>
      </c>
    </row>
    <row r="609" spans="1:7" ht="31.7" hidden="1" customHeight="1" x14ac:dyDescent="0.25">
      <c r="A609" s="364" t="s">
        <v>191</v>
      </c>
      <c r="B609" s="365" t="s">
        <v>187</v>
      </c>
      <c r="C609" s="365" t="s">
        <v>158</v>
      </c>
      <c r="D609" s="365" t="s">
        <v>827</v>
      </c>
      <c r="E609" s="365" t="s">
        <v>192</v>
      </c>
      <c r="F609" s="311">
        <f>F610</f>
        <v>0</v>
      </c>
      <c r="G609" s="311">
        <f>G610</f>
        <v>0</v>
      </c>
    </row>
    <row r="610" spans="1:7" ht="15.75" hidden="1" x14ac:dyDescent="0.25">
      <c r="A610" s="364" t="s">
        <v>193</v>
      </c>
      <c r="B610" s="365" t="s">
        <v>187</v>
      </c>
      <c r="C610" s="365" t="s">
        <v>158</v>
      </c>
      <c r="D610" s="365" t="s">
        <v>827</v>
      </c>
      <c r="E610" s="365" t="s">
        <v>194</v>
      </c>
      <c r="F610" s="311">
        <f>'Пр.4 ведом.22'!G707</f>
        <v>0</v>
      </c>
      <c r="G610" s="311">
        <f>'Пр.4 ведом.22'!H707</f>
        <v>0</v>
      </c>
    </row>
    <row r="611" spans="1:7" ht="31.5" x14ac:dyDescent="0.25">
      <c r="A611" s="364" t="s">
        <v>197</v>
      </c>
      <c r="B611" s="365" t="s">
        <v>187</v>
      </c>
      <c r="C611" s="365" t="s">
        <v>158</v>
      </c>
      <c r="D611" s="365" t="s">
        <v>783</v>
      </c>
      <c r="E611" s="365"/>
      <c r="F611" s="311">
        <f t="shared" ref="F611:G611" si="105">F612</f>
        <v>208.6</v>
      </c>
      <c r="G611" s="311">
        <f t="shared" si="105"/>
        <v>208.6</v>
      </c>
    </row>
    <row r="612" spans="1:7" ht="36" customHeight="1" x14ac:dyDescent="0.25">
      <c r="A612" s="364" t="s">
        <v>191</v>
      </c>
      <c r="B612" s="365" t="s">
        <v>187</v>
      </c>
      <c r="C612" s="365" t="s">
        <v>158</v>
      </c>
      <c r="D612" s="365" t="s">
        <v>783</v>
      </c>
      <c r="E612" s="365" t="s">
        <v>192</v>
      </c>
      <c r="F612" s="311">
        <f>F613</f>
        <v>208.6</v>
      </c>
      <c r="G612" s="311">
        <f>G613</f>
        <v>208.6</v>
      </c>
    </row>
    <row r="613" spans="1:7" ht="15" customHeight="1" x14ac:dyDescent="0.25">
      <c r="A613" s="364" t="s">
        <v>193</v>
      </c>
      <c r="B613" s="365" t="s">
        <v>187</v>
      </c>
      <c r="C613" s="365" t="s">
        <v>158</v>
      </c>
      <c r="D613" s="365" t="s">
        <v>783</v>
      </c>
      <c r="E613" s="365" t="s">
        <v>194</v>
      </c>
      <c r="F613" s="311">
        <f>'Пр.4.1 ведом.23-24 '!G710</f>
        <v>208.6</v>
      </c>
      <c r="G613" s="311">
        <f>'Пр.4.1 ведом.23-24 '!H710</f>
        <v>208.6</v>
      </c>
    </row>
    <row r="614" spans="1:7" ht="36.75" customHeight="1" x14ac:dyDescent="0.25">
      <c r="A614" s="145" t="s">
        <v>515</v>
      </c>
      <c r="B614" s="316" t="s">
        <v>187</v>
      </c>
      <c r="C614" s="316" t="s">
        <v>158</v>
      </c>
      <c r="D614" s="316" t="s">
        <v>773</v>
      </c>
      <c r="E614" s="316"/>
      <c r="F614" s="310">
        <f>F615+F618</f>
        <v>2967</v>
      </c>
      <c r="G614" s="310">
        <f>G615+G618</f>
        <v>2967</v>
      </c>
    </row>
    <row r="615" spans="1:7" ht="34.5" hidden="1" customHeight="1" x14ac:dyDescent="0.25">
      <c r="A615" s="364" t="s">
        <v>198</v>
      </c>
      <c r="B615" s="365" t="s">
        <v>187</v>
      </c>
      <c r="C615" s="365" t="s">
        <v>158</v>
      </c>
      <c r="D615" s="365" t="s">
        <v>786</v>
      </c>
      <c r="E615" s="365"/>
      <c r="F615" s="311">
        <f>F616</f>
        <v>0</v>
      </c>
      <c r="G615" s="311">
        <f>G616</f>
        <v>0</v>
      </c>
    </row>
    <row r="616" spans="1:7" ht="41.25" hidden="1" customHeight="1" x14ac:dyDescent="0.25">
      <c r="A616" s="364" t="s">
        <v>191</v>
      </c>
      <c r="B616" s="365" t="s">
        <v>187</v>
      </c>
      <c r="C616" s="365" t="s">
        <v>158</v>
      </c>
      <c r="D616" s="365" t="s">
        <v>786</v>
      </c>
      <c r="E616" s="365" t="s">
        <v>192</v>
      </c>
      <c r="F616" s="311">
        <f>F617</f>
        <v>0</v>
      </c>
      <c r="G616" s="311">
        <f>G617</f>
        <v>0</v>
      </c>
    </row>
    <row r="617" spans="1:7" ht="15" hidden="1" customHeight="1" x14ac:dyDescent="0.25">
      <c r="A617" s="364" t="s">
        <v>193</v>
      </c>
      <c r="B617" s="365" t="s">
        <v>187</v>
      </c>
      <c r="C617" s="365" t="s">
        <v>158</v>
      </c>
      <c r="D617" s="365" t="s">
        <v>786</v>
      </c>
      <c r="E617" s="365" t="s">
        <v>194</v>
      </c>
      <c r="F617" s="311">
        <f>'Пр.4 ведом.22'!G714</f>
        <v>0</v>
      </c>
      <c r="G617" s="311">
        <f>'Пр.4 ведом.22'!H714</f>
        <v>0</v>
      </c>
    </row>
    <row r="618" spans="1:7" ht="36.75" customHeight="1" x14ac:dyDescent="0.25">
      <c r="A618" s="39" t="s">
        <v>344</v>
      </c>
      <c r="B618" s="365" t="s">
        <v>187</v>
      </c>
      <c r="C618" s="365" t="s">
        <v>158</v>
      </c>
      <c r="D618" s="365" t="s">
        <v>774</v>
      </c>
      <c r="E618" s="365"/>
      <c r="F618" s="311">
        <f>F619</f>
        <v>2967</v>
      </c>
      <c r="G618" s="311">
        <f>G619</f>
        <v>2967</v>
      </c>
    </row>
    <row r="619" spans="1:7" ht="45.75" customHeight="1" x14ac:dyDescent="0.25">
      <c r="A619" s="22" t="s">
        <v>191</v>
      </c>
      <c r="B619" s="365" t="s">
        <v>187</v>
      </c>
      <c r="C619" s="365" t="s">
        <v>158</v>
      </c>
      <c r="D619" s="365" t="s">
        <v>774</v>
      </c>
      <c r="E619" s="365" t="s">
        <v>192</v>
      </c>
      <c r="F619" s="311">
        <f>F620</f>
        <v>2967</v>
      </c>
      <c r="G619" s="311">
        <f>G620</f>
        <v>2967</v>
      </c>
    </row>
    <row r="620" spans="1:7" ht="15" customHeight="1" x14ac:dyDescent="0.25">
      <c r="A620" s="111" t="s">
        <v>193</v>
      </c>
      <c r="B620" s="365" t="s">
        <v>187</v>
      </c>
      <c r="C620" s="365" t="s">
        <v>158</v>
      </c>
      <c r="D620" s="365" t="s">
        <v>774</v>
      </c>
      <c r="E620" s="365" t="s">
        <v>194</v>
      </c>
      <c r="F620" s="311">
        <f>'Пр.4.1 ведом.23-24 '!G717</f>
        <v>2967</v>
      </c>
      <c r="G620" s="311">
        <f>'Пр.4.1 ведом.23-24 '!H717</f>
        <v>2967</v>
      </c>
    </row>
    <row r="621" spans="1:7" ht="35.450000000000003" customHeight="1" x14ac:dyDescent="0.25">
      <c r="A621" s="315" t="s">
        <v>1107</v>
      </c>
      <c r="B621" s="316" t="s">
        <v>187</v>
      </c>
      <c r="C621" s="316" t="s">
        <v>158</v>
      </c>
      <c r="D621" s="316" t="s">
        <v>776</v>
      </c>
      <c r="E621" s="316"/>
      <c r="F621" s="310">
        <f t="shared" ref="F621:G623" si="106">F622</f>
        <v>5421.41</v>
      </c>
      <c r="G621" s="310">
        <f t="shared" si="106"/>
        <v>5486.8099999999995</v>
      </c>
    </row>
    <row r="622" spans="1:7" ht="31.5" x14ac:dyDescent="0.25">
      <c r="A622" s="364" t="s">
        <v>1108</v>
      </c>
      <c r="B622" s="365" t="s">
        <v>187</v>
      </c>
      <c r="C622" s="365" t="s">
        <v>158</v>
      </c>
      <c r="D622" s="365" t="s">
        <v>1154</v>
      </c>
      <c r="E622" s="365"/>
      <c r="F622" s="311">
        <f t="shared" si="106"/>
        <v>5421.41</v>
      </c>
      <c r="G622" s="311">
        <f t="shared" si="106"/>
        <v>5486.8099999999995</v>
      </c>
    </row>
    <row r="623" spans="1:7" ht="38.25" customHeight="1" x14ac:dyDescent="0.25">
      <c r="A623" s="364" t="s">
        <v>191</v>
      </c>
      <c r="B623" s="365" t="s">
        <v>187</v>
      </c>
      <c r="C623" s="365" t="s">
        <v>158</v>
      </c>
      <c r="D623" s="365" t="s">
        <v>1154</v>
      </c>
      <c r="E623" s="365" t="s">
        <v>192</v>
      </c>
      <c r="F623" s="311">
        <f t="shared" si="106"/>
        <v>5421.41</v>
      </c>
      <c r="G623" s="311">
        <f t="shared" si="106"/>
        <v>5486.8099999999995</v>
      </c>
    </row>
    <row r="624" spans="1:7" ht="14.25" customHeight="1" x14ac:dyDescent="0.25">
      <c r="A624" s="364" t="s">
        <v>193</v>
      </c>
      <c r="B624" s="365" t="s">
        <v>187</v>
      </c>
      <c r="C624" s="365" t="s">
        <v>158</v>
      </c>
      <c r="D624" s="365" t="s">
        <v>1154</v>
      </c>
      <c r="E624" s="365" t="s">
        <v>194</v>
      </c>
      <c r="F624" s="311">
        <f>'Пр.4.1 ведом.23-24 '!G721</f>
        <v>5421.41</v>
      </c>
      <c r="G624" s="311">
        <f>'Пр.4.1 ведом.23-24 '!H721</f>
        <v>5486.8099999999995</v>
      </c>
    </row>
    <row r="625" spans="1:7" ht="32.25" hidden="1" customHeight="1" x14ac:dyDescent="0.25">
      <c r="A625" s="315" t="s">
        <v>508</v>
      </c>
      <c r="B625" s="316" t="s">
        <v>187</v>
      </c>
      <c r="C625" s="316" t="s">
        <v>158</v>
      </c>
      <c r="D625" s="316" t="s">
        <v>784</v>
      </c>
      <c r="E625" s="316"/>
      <c r="F625" s="310">
        <f t="shared" ref="F625:G627" si="107">F626</f>
        <v>0</v>
      </c>
      <c r="G625" s="310">
        <f t="shared" si="107"/>
        <v>0</v>
      </c>
    </row>
    <row r="626" spans="1:7" ht="48.75" hidden="1" customHeight="1" x14ac:dyDescent="0.25">
      <c r="A626" s="364" t="s">
        <v>241</v>
      </c>
      <c r="B626" s="365" t="s">
        <v>187</v>
      </c>
      <c r="C626" s="365" t="s">
        <v>158</v>
      </c>
      <c r="D626" s="365" t="s">
        <v>785</v>
      </c>
      <c r="E626" s="365"/>
      <c r="F626" s="311">
        <f t="shared" si="107"/>
        <v>0</v>
      </c>
      <c r="G626" s="311">
        <f t="shared" si="107"/>
        <v>0</v>
      </c>
    </row>
    <row r="627" spans="1:7" ht="37.5" hidden="1" customHeight="1" x14ac:dyDescent="0.25">
      <c r="A627" s="364" t="s">
        <v>191</v>
      </c>
      <c r="B627" s="365" t="s">
        <v>187</v>
      </c>
      <c r="C627" s="365" t="s">
        <v>158</v>
      </c>
      <c r="D627" s="365" t="s">
        <v>785</v>
      </c>
      <c r="E627" s="365" t="s">
        <v>192</v>
      </c>
      <c r="F627" s="311">
        <f t="shared" si="107"/>
        <v>0</v>
      </c>
      <c r="G627" s="311">
        <f t="shared" si="107"/>
        <v>0</v>
      </c>
    </row>
    <row r="628" spans="1:7" ht="15" hidden="1" customHeight="1" x14ac:dyDescent="0.25">
      <c r="A628" s="364" t="s">
        <v>193</v>
      </c>
      <c r="B628" s="365" t="s">
        <v>187</v>
      </c>
      <c r="C628" s="365" t="s">
        <v>158</v>
      </c>
      <c r="D628" s="365" t="s">
        <v>785</v>
      </c>
      <c r="E628" s="365" t="s">
        <v>194</v>
      </c>
      <c r="F628" s="311">
        <f>'Пр.4 ведом.22'!G725</f>
        <v>0</v>
      </c>
      <c r="G628" s="311">
        <f>'Пр.4 ведом.22'!H725</f>
        <v>0</v>
      </c>
    </row>
    <row r="629" spans="1:7" ht="31.7" hidden="1" customHeight="1" x14ac:dyDescent="0.25">
      <c r="A629" s="143" t="s">
        <v>509</v>
      </c>
      <c r="B629" s="316" t="s">
        <v>187</v>
      </c>
      <c r="C629" s="316" t="s">
        <v>158</v>
      </c>
      <c r="D629" s="316" t="s">
        <v>787</v>
      </c>
      <c r="E629" s="316"/>
      <c r="F629" s="310">
        <f>F630</f>
        <v>0</v>
      </c>
      <c r="G629" s="310">
        <f>G630</f>
        <v>0</v>
      </c>
    </row>
    <row r="630" spans="1:7" ht="51" hidden="1" customHeight="1" x14ac:dyDescent="0.25">
      <c r="A630" s="111" t="s">
        <v>405</v>
      </c>
      <c r="B630" s="365" t="s">
        <v>187</v>
      </c>
      <c r="C630" s="365" t="s">
        <v>158</v>
      </c>
      <c r="D630" s="365" t="s">
        <v>914</v>
      </c>
      <c r="E630" s="365"/>
      <c r="F630" s="311">
        <f t="shared" ref="F630:G630" si="108">F631</f>
        <v>0</v>
      </c>
      <c r="G630" s="311">
        <f t="shared" si="108"/>
        <v>0</v>
      </c>
    </row>
    <row r="631" spans="1:7" ht="33" hidden="1" customHeight="1" x14ac:dyDescent="0.25">
      <c r="A631" s="24" t="s">
        <v>191</v>
      </c>
      <c r="B631" s="365" t="s">
        <v>187</v>
      </c>
      <c r="C631" s="365" t="s">
        <v>158</v>
      </c>
      <c r="D631" s="365" t="s">
        <v>914</v>
      </c>
      <c r="E631" s="365" t="s">
        <v>192</v>
      </c>
      <c r="F631" s="311">
        <f>F632</f>
        <v>0</v>
      </c>
      <c r="G631" s="311">
        <f>G632</f>
        <v>0</v>
      </c>
    </row>
    <row r="632" spans="1:7" ht="15.75" hidden="1" x14ac:dyDescent="0.25">
      <c r="A632" s="24" t="s">
        <v>193</v>
      </c>
      <c r="B632" s="365" t="s">
        <v>187</v>
      </c>
      <c r="C632" s="365" t="s">
        <v>158</v>
      </c>
      <c r="D632" s="365" t="s">
        <v>914</v>
      </c>
      <c r="E632" s="365" t="s">
        <v>194</v>
      </c>
      <c r="F632" s="311">
        <f>'Пр.4 ведом.22'!G729</f>
        <v>0</v>
      </c>
      <c r="G632" s="311">
        <f>'Пр.4 ведом.22'!H729</f>
        <v>0</v>
      </c>
    </row>
    <row r="633" spans="1:7" ht="31.5" x14ac:dyDescent="0.25">
      <c r="A633" s="201" t="s">
        <v>899</v>
      </c>
      <c r="B633" s="316" t="s">
        <v>187</v>
      </c>
      <c r="C633" s="316" t="s">
        <v>158</v>
      </c>
      <c r="D633" s="316" t="s">
        <v>898</v>
      </c>
      <c r="E633" s="316"/>
      <c r="F633" s="314">
        <f t="shared" ref="F633:G635" si="109">F634</f>
        <v>5302.8</v>
      </c>
      <c r="G633" s="314">
        <f t="shared" si="109"/>
        <v>5463.1</v>
      </c>
    </row>
    <row r="634" spans="1:7" ht="63" x14ac:dyDescent="0.25">
      <c r="A634" s="200" t="s">
        <v>885</v>
      </c>
      <c r="B634" s="365" t="s">
        <v>187</v>
      </c>
      <c r="C634" s="365" t="s">
        <v>158</v>
      </c>
      <c r="D634" s="365" t="s">
        <v>936</v>
      </c>
      <c r="E634" s="365"/>
      <c r="F634" s="318">
        <f t="shared" si="109"/>
        <v>5302.8</v>
      </c>
      <c r="G634" s="318">
        <f t="shared" si="109"/>
        <v>5463.1</v>
      </c>
    </row>
    <row r="635" spans="1:7" ht="32.25" customHeight="1" x14ac:dyDescent="0.25">
      <c r="A635" s="24" t="s">
        <v>191</v>
      </c>
      <c r="B635" s="365" t="s">
        <v>187</v>
      </c>
      <c r="C635" s="365" t="s">
        <v>158</v>
      </c>
      <c r="D635" s="365" t="s">
        <v>936</v>
      </c>
      <c r="E635" s="365" t="s">
        <v>192</v>
      </c>
      <c r="F635" s="318">
        <f t="shared" si="109"/>
        <v>5302.8</v>
      </c>
      <c r="G635" s="318">
        <f t="shared" si="109"/>
        <v>5463.1</v>
      </c>
    </row>
    <row r="636" spans="1:7" ht="15.75" x14ac:dyDescent="0.25">
      <c r="A636" s="24" t="s">
        <v>193</v>
      </c>
      <c r="B636" s="365" t="s">
        <v>187</v>
      </c>
      <c r="C636" s="365" t="s">
        <v>158</v>
      </c>
      <c r="D636" s="365" t="s">
        <v>936</v>
      </c>
      <c r="E636" s="365" t="s">
        <v>194</v>
      </c>
      <c r="F636" s="318">
        <f>'Пр.4.1 ведом.23-24 '!G733</f>
        <v>5302.8</v>
      </c>
      <c r="G636" s="318">
        <f>'Пр.4.1 ведом.23-24 '!H733</f>
        <v>5463.1</v>
      </c>
    </row>
    <row r="637" spans="1:7" ht="31.5" hidden="1" x14ac:dyDescent="0.25">
      <c r="A637" s="201" t="s">
        <v>916</v>
      </c>
      <c r="B637" s="316" t="s">
        <v>187</v>
      </c>
      <c r="C637" s="316" t="s">
        <v>158</v>
      </c>
      <c r="D637" s="316" t="s">
        <v>904</v>
      </c>
      <c r="E637" s="316"/>
      <c r="F637" s="314">
        <f t="shared" ref="F637:G639" si="110">F638</f>
        <v>0</v>
      </c>
      <c r="G637" s="314">
        <f t="shared" si="110"/>
        <v>0</v>
      </c>
    </row>
    <row r="638" spans="1:7" ht="31.5" hidden="1" x14ac:dyDescent="0.25">
      <c r="A638" s="200" t="s">
        <v>905</v>
      </c>
      <c r="B638" s="365" t="s">
        <v>187</v>
      </c>
      <c r="C638" s="365" t="s">
        <v>158</v>
      </c>
      <c r="D638" s="365" t="s">
        <v>907</v>
      </c>
      <c r="E638" s="365"/>
      <c r="F638" s="318">
        <f t="shared" si="110"/>
        <v>0</v>
      </c>
      <c r="G638" s="318">
        <f t="shared" si="110"/>
        <v>0</v>
      </c>
    </row>
    <row r="639" spans="1:7" ht="31.5" hidden="1" x14ac:dyDescent="0.25">
      <c r="A639" s="24" t="s">
        <v>191</v>
      </c>
      <c r="B639" s="365" t="s">
        <v>187</v>
      </c>
      <c r="C639" s="365" t="s">
        <v>158</v>
      </c>
      <c r="D639" s="365" t="s">
        <v>907</v>
      </c>
      <c r="E639" s="365" t="s">
        <v>192</v>
      </c>
      <c r="F639" s="318">
        <f t="shared" si="110"/>
        <v>0</v>
      </c>
      <c r="G639" s="318">
        <f t="shared" si="110"/>
        <v>0</v>
      </c>
    </row>
    <row r="640" spans="1:7" ht="15.75" hidden="1" x14ac:dyDescent="0.25">
      <c r="A640" s="24" t="s">
        <v>193</v>
      </c>
      <c r="B640" s="365" t="s">
        <v>187</v>
      </c>
      <c r="C640" s="365" t="s">
        <v>158</v>
      </c>
      <c r="D640" s="365" t="s">
        <v>907</v>
      </c>
      <c r="E640" s="365" t="s">
        <v>194</v>
      </c>
      <c r="F640" s="318">
        <f>'Пр.4 ведом.22'!G737</f>
        <v>0</v>
      </c>
      <c r="G640" s="318">
        <f>'Пр.4 ведом.22'!H737</f>
        <v>0</v>
      </c>
    </row>
    <row r="641" spans="1:7" ht="47.25" hidden="1" x14ac:dyDescent="0.25">
      <c r="A641" s="201" t="s">
        <v>1013</v>
      </c>
      <c r="B641" s="316" t="s">
        <v>187</v>
      </c>
      <c r="C641" s="316" t="s">
        <v>158</v>
      </c>
      <c r="D641" s="316" t="s">
        <v>1015</v>
      </c>
      <c r="E641" s="316"/>
      <c r="F641" s="314">
        <f t="shared" ref="F641:G643" si="111">F642</f>
        <v>0</v>
      </c>
      <c r="G641" s="314">
        <f t="shared" si="111"/>
        <v>0</v>
      </c>
    </row>
    <row r="642" spans="1:7" ht="47.25" hidden="1" x14ac:dyDescent="0.25">
      <c r="A642" s="200" t="s">
        <v>243</v>
      </c>
      <c r="B642" s="365" t="s">
        <v>187</v>
      </c>
      <c r="C642" s="365" t="s">
        <v>158</v>
      </c>
      <c r="D642" s="365" t="s">
        <v>1015</v>
      </c>
      <c r="E642" s="365"/>
      <c r="F642" s="318">
        <f t="shared" si="111"/>
        <v>0</v>
      </c>
      <c r="G642" s="318">
        <f t="shared" si="111"/>
        <v>0</v>
      </c>
    </row>
    <row r="643" spans="1:7" ht="31.5" hidden="1" x14ac:dyDescent="0.25">
      <c r="A643" s="24" t="s">
        <v>191</v>
      </c>
      <c r="B643" s="365" t="s">
        <v>187</v>
      </c>
      <c r="C643" s="365" t="s">
        <v>158</v>
      </c>
      <c r="D643" s="365" t="s">
        <v>1015</v>
      </c>
      <c r="E643" s="365" t="s">
        <v>192</v>
      </c>
      <c r="F643" s="318">
        <f t="shared" si="111"/>
        <v>0</v>
      </c>
      <c r="G643" s="318">
        <f t="shared" si="111"/>
        <v>0</v>
      </c>
    </row>
    <row r="644" spans="1:7" ht="15.75" hidden="1" x14ac:dyDescent="0.25">
      <c r="A644" s="24" t="s">
        <v>193</v>
      </c>
      <c r="B644" s="365" t="s">
        <v>187</v>
      </c>
      <c r="C644" s="365" t="s">
        <v>158</v>
      </c>
      <c r="D644" s="365" t="s">
        <v>1015</v>
      </c>
      <c r="E644" s="365" t="s">
        <v>194</v>
      </c>
      <c r="F644" s="318">
        <f>'Пр.4 ведом.22'!G741</f>
        <v>0</v>
      </c>
      <c r="G644" s="318">
        <f>'Пр.4 ведом.22'!H741</f>
        <v>0</v>
      </c>
    </row>
    <row r="645" spans="1:7" ht="31.5" hidden="1" x14ac:dyDescent="0.25">
      <c r="A645" s="201" t="s">
        <v>1024</v>
      </c>
      <c r="B645" s="316" t="s">
        <v>187</v>
      </c>
      <c r="C645" s="316" t="s">
        <v>158</v>
      </c>
      <c r="D645" s="316" t="s">
        <v>1026</v>
      </c>
      <c r="E645" s="316"/>
      <c r="F645" s="314">
        <f t="shared" ref="F645:G647" si="112">F646</f>
        <v>0</v>
      </c>
      <c r="G645" s="314">
        <f t="shared" si="112"/>
        <v>0</v>
      </c>
    </row>
    <row r="646" spans="1:7" ht="31.5" hidden="1" x14ac:dyDescent="0.25">
      <c r="A646" s="200" t="s">
        <v>1025</v>
      </c>
      <c r="B646" s="365" t="s">
        <v>187</v>
      </c>
      <c r="C646" s="365" t="s">
        <v>158</v>
      </c>
      <c r="D646" s="365" t="s">
        <v>1027</v>
      </c>
      <c r="E646" s="365"/>
      <c r="F646" s="318">
        <f t="shared" si="112"/>
        <v>0</v>
      </c>
      <c r="G646" s="318">
        <f t="shared" si="112"/>
        <v>0</v>
      </c>
    </row>
    <row r="647" spans="1:7" ht="31.5" hidden="1" x14ac:dyDescent="0.25">
      <c r="A647" s="24" t="s">
        <v>191</v>
      </c>
      <c r="B647" s="365" t="s">
        <v>187</v>
      </c>
      <c r="C647" s="365" t="s">
        <v>158</v>
      </c>
      <c r="D647" s="365" t="s">
        <v>1027</v>
      </c>
      <c r="E647" s="365" t="s">
        <v>192</v>
      </c>
      <c r="F647" s="318">
        <f t="shared" si="112"/>
        <v>0</v>
      </c>
      <c r="G647" s="318">
        <f t="shared" si="112"/>
        <v>0</v>
      </c>
    </row>
    <row r="648" spans="1:7" ht="15.75" hidden="1" x14ac:dyDescent="0.25">
      <c r="A648" s="24" t="s">
        <v>193</v>
      </c>
      <c r="B648" s="365" t="s">
        <v>187</v>
      </c>
      <c r="C648" s="365" t="s">
        <v>158</v>
      </c>
      <c r="D648" s="365" t="s">
        <v>1027</v>
      </c>
      <c r="E648" s="365" t="s">
        <v>194</v>
      </c>
      <c r="F648" s="318">
        <f>'Пр.4 ведом.22'!G745</f>
        <v>0</v>
      </c>
      <c r="G648" s="318">
        <f>'Пр.4 ведом.22'!H745</f>
        <v>0</v>
      </c>
    </row>
    <row r="649" spans="1:7" ht="47.25" hidden="1" x14ac:dyDescent="0.25">
      <c r="A649" s="143" t="s">
        <v>722</v>
      </c>
      <c r="B649" s="316" t="s">
        <v>187</v>
      </c>
      <c r="C649" s="316" t="s">
        <v>158</v>
      </c>
      <c r="D649" s="316" t="s">
        <v>828</v>
      </c>
      <c r="E649" s="316"/>
      <c r="F649" s="314">
        <f t="shared" ref="F649:G651" si="113">F650</f>
        <v>0</v>
      </c>
      <c r="G649" s="314">
        <f t="shared" si="113"/>
        <v>0</v>
      </c>
    </row>
    <row r="650" spans="1:7" ht="66.599999999999994" hidden="1" customHeight="1" x14ac:dyDescent="0.25">
      <c r="A650" s="111" t="s">
        <v>971</v>
      </c>
      <c r="B650" s="365" t="s">
        <v>187</v>
      </c>
      <c r="C650" s="365" t="s">
        <v>158</v>
      </c>
      <c r="D650" s="365" t="s">
        <v>829</v>
      </c>
      <c r="E650" s="365"/>
      <c r="F650" s="318">
        <f t="shared" si="113"/>
        <v>0</v>
      </c>
      <c r="G650" s="318">
        <f t="shared" si="113"/>
        <v>0</v>
      </c>
    </row>
    <row r="651" spans="1:7" ht="31.5" hidden="1" x14ac:dyDescent="0.25">
      <c r="A651" s="24" t="s">
        <v>191</v>
      </c>
      <c r="B651" s="365" t="s">
        <v>187</v>
      </c>
      <c r="C651" s="365" t="s">
        <v>158</v>
      </c>
      <c r="D651" s="365" t="s">
        <v>829</v>
      </c>
      <c r="E651" s="365" t="s">
        <v>192</v>
      </c>
      <c r="F651" s="318">
        <f t="shared" si="113"/>
        <v>0</v>
      </c>
      <c r="G651" s="318">
        <f t="shared" si="113"/>
        <v>0</v>
      </c>
    </row>
    <row r="652" spans="1:7" ht="15.75" hidden="1" x14ac:dyDescent="0.25">
      <c r="A652" s="24" t="s">
        <v>193</v>
      </c>
      <c r="B652" s="365" t="s">
        <v>187</v>
      </c>
      <c r="C652" s="365" t="s">
        <v>158</v>
      </c>
      <c r="D652" s="365" t="s">
        <v>829</v>
      </c>
      <c r="E652" s="365" t="s">
        <v>194</v>
      </c>
      <c r="F652" s="318">
        <f>'Пр.4 ведом.22'!G749</f>
        <v>0</v>
      </c>
      <c r="G652" s="318">
        <f>'Пр.4 ведом.22'!H749</f>
        <v>0</v>
      </c>
    </row>
    <row r="653" spans="1:7" ht="31.5" hidden="1" x14ac:dyDescent="0.25">
      <c r="A653" s="26" t="s">
        <v>950</v>
      </c>
      <c r="B653" s="316" t="s">
        <v>187</v>
      </c>
      <c r="C653" s="316" t="s">
        <v>158</v>
      </c>
      <c r="D653" s="316" t="s">
        <v>951</v>
      </c>
      <c r="E653" s="365"/>
      <c r="F653" s="314">
        <f t="shared" ref="F653:G655" si="114">F654</f>
        <v>0</v>
      </c>
      <c r="G653" s="314">
        <f t="shared" si="114"/>
        <v>0</v>
      </c>
    </row>
    <row r="654" spans="1:7" ht="51" hidden="1" customHeight="1" x14ac:dyDescent="0.25">
      <c r="A654" s="24" t="s">
        <v>972</v>
      </c>
      <c r="B654" s="365" t="s">
        <v>187</v>
      </c>
      <c r="C654" s="365" t="s">
        <v>158</v>
      </c>
      <c r="D654" s="365" t="s">
        <v>952</v>
      </c>
      <c r="E654" s="365"/>
      <c r="F654" s="318">
        <f t="shared" si="114"/>
        <v>0</v>
      </c>
      <c r="G654" s="318">
        <f t="shared" si="114"/>
        <v>0</v>
      </c>
    </row>
    <row r="655" spans="1:7" ht="31.5" hidden="1" x14ac:dyDescent="0.25">
      <c r="A655" s="24" t="s">
        <v>191</v>
      </c>
      <c r="B655" s="365" t="s">
        <v>187</v>
      </c>
      <c r="C655" s="365" t="s">
        <v>158</v>
      </c>
      <c r="D655" s="365" t="s">
        <v>952</v>
      </c>
      <c r="E655" s="365" t="s">
        <v>192</v>
      </c>
      <c r="F655" s="318">
        <f t="shared" si="114"/>
        <v>0</v>
      </c>
      <c r="G655" s="318">
        <f t="shared" si="114"/>
        <v>0</v>
      </c>
    </row>
    <row r="656" spans="1:7" ht="15.75" hidden="1" x14ac:dyDescent="0.25">
      <c r="A656" s="24" t="s">
        <v>193</v>
      </c>
      <c r="B656" s="365" t="s">
        <v>187</v>
      </c>
      <c r="C656" s="365" t="s">
        <v>158</v>
      </c>
      <c r="D656" s="365" t="s">
        <v>952</v>
      </c>
      <c r="E656" s="365" t="s">
        <v>194</v>
      </c>
      <c r="F656" s="318">
        <f>'Пр.4 ведом.22'!G753</f>
        <v>0</v>
      </c>
      <c r="G656" s="318">
        <f>'Пр.4 ведом.22'!H753</f>
        <v>0</v>
      </c>
    </row>
    <row r="657" spans="1:12" ht="31.5" x14ac:dyDescent="0.25">
      <c r="A657" s="26" t="s">
        <v>957</v>
      </c>
      <c r="B657" s="316" t="s">
        <v>187</v>
      </c>
      <c r="C657" s="316" t="s">
        <v>158</v>
      </c>
      <c r="D657" s="316" t="s">
        <v>955</v>
      </c>
      <c r="E657" s="316"/>
      <c r="F657" s="310">
        <f t="shared" ref="F657:G659" si="115">F658</f>
        <v>2414</v>
      </c>
      <c r="G657" s="310">
        <f t="shared" si="115"/>
        <v>0</v>
      </c>
    </row>
    <row r="658" spans="1:12" ht="47.25" x14ac:dyDescent="0.25">
      <c r="A658" s="24" t="s">
        <v>1346</v>
      </c>
      <c r="B658" s="365" t="s">
        <v>187</v>
      </c>
      <c r="C658" s="365" t="s">
        <v>158</v>
      </c>
      <c r="D658" s="365" t="s">
        <v>956</v>
      </c>
      <c r="E658" s="365"/>
      <c r="F658" s="311">
        <f t="shared" si="115"/>
        <v>2414</v>
      </c>
      <c r="G658" s="311">
        <f t="shared" si="115"/>
        <v>0</v>
      </c>
    </row>
    <row r="659" spans="1:12" ht="31.5" x14ac:dyDescent="0.25">
      <c r="A659" s="24" t="s">
        <v>191</v>
      </c>
      <c r="B659" s="365" t="s">
        <v>187</v>
      </c>
      <c r="C659" s="365" t="s">
        <v>158</v>
      </c>
      <c r="D659" s="365" t="s">
        <v>956</v>
      </c>
      <c r="E659" s="365" t="s">
        <v>192</v>
      </c>
      <c r="F659" s="311">
        <f t="shared" si="115"/>
        <v>2414</v>
      </c>
      <c r="G659" s="311">
        <f t="shared" si="115"/>
        <v>0</v>
      </c>
    </row>
    <row r="660" spans="1:12" ht="15.75" x14ac:dyDescent="0.25">
      <c r="A660" s="24" t="s">
        <v>193</v>
      </c>
      <c r="B660" s="365" t="s">
        <v>187</v>
      </c>
      <c r="C660" s="365" t="s">
        <v>158</v>
      </c>
      <c r="D660" s="365" t="s">
        <v>956</v>
      </c>
      <c r="E660" s="365" t="s">
        <v>194</v>
      </c>
      <c r="F660" s="311">
        <f>'Пр.4.1 ведом.23-24 '!G757</f>
        <v>2414</v>
      </c>
      <c r="G660" s="311">
        <f>'Пр.4.1 ведом.23-24 '!H757</f>
        <v>0</v>
      </c>
    </row>
    <row r="661" spans="1:12" ht="47.25" x14ac:dyDescent="0.25">
      <c r="A661" s="26" t="s">
        <v>859</v>
      </c>
      <c r="B661" s="316" t="s">
        <v>187</v>
      </c>
      <c r="C661" s="316" t="s">
        <v>158</v>
      </c>
      <c r="D661" s="316" t="s">
        <v>206</v>
      </c>
      <c r="E661" s="316"/>
      <c r="F661" s="310">
        <f t="shared" ref="F661:G664" si="116">F662</f>
        <v>60</v>
      </c>
      <c r="G661" s="310">
        <f t="shared" si="116"/>
        <v>60</v>
      </c>
    </row>
    <row r="662" spans="1:12" ht="63" x14ac:dyDescent="0.25">
      <c r="A662" s="26" t="s">
        <v>587</v>
      </c>
      <c r="B662" s="316" t="s">
        <v>187</v>
      </c>
      <c r="C662" s="316" t="s">
        <v>158</v>
      </c>
      <c r="D662" s="316" t="s">
        <v>504</v>
      </c>
      <c r="E662" s="316"/>
      <c r="F662" s="310">
        <f t="shared" si="116"/>
        <v>60</v>
      </c>
      <c r="G662" s="310">
        <f t="shared" si="116"/>
        <v>60</v>
      </c>
    </row>
    <row r="663" spans="1:12" ht="47.25" x14ac:dyDescent="0.25">
      <c r="A663" s="24" t="s">
        <v>635</v>
      </c>
      <c r="B663" s="365" t="s">
        <v>187</v>
      </c>
      <c r="C663" s="365" t="s">
        <v>158</v>
      </c>
      <c r="D663" s="365" t="s">
        <v>505</v>
      </c>
      <c r="E663" s="365"/>
      <c r="F663" s="311">
        <f t="shared" si="116"/>
        <v>60</v>
      </c>
      <c r="G663" s="311">
        <f t="shared" si="116"/>
        <v>60</v>
      </c>
    </row>
    <row r="664" spans="1:12" ht="31.5" x14ac:dyDescent="0.25">
      <c r="A664" s="24" t="s">
        <v>191</v>
      </c>
      <c r="B664" s="365" t="s">
        <v>187</v>
      </c>
      <c r="C664" s="365" t="s">
        <v>158</v>
      </c>
      <c r="D664" s="365" t="s">
        <v>505</v>
      </c>
      <c r="E664" s="365" t="s">
        <v>192</v>
      </c>
      <c r="F664" s="311">
        <f t="shared" si="116"/>
        <v>60</v>
      </c>
      <c r="G664" s="311">
        <f t="shared" si="116"/>
        <v>60</v>
      </c>
    </row>
    <row r="665" spans="1:12" ht="15.75" x14ac:dyDescent="0.25">
      <c r="A665" s="24" t="s">
        <v>193</v>
      </c>
      <c r="B665" s="365" t="s">
        <v>187</v>
      </c>
      <c r="C665" s="365" t="s">
        <v>158</v>
      </c>
      <c r="D665" s="365" t="s">
        <v>505</v>
      </c>
      <c r="E665" s="365" t="s">
        <v>194</v>
      </c>
      <c r="F665" s="311">
        <f>'Пр.4.1 ведом.23-24 '!G762</f>
        <v>60</v>
      </c>
      <c r="G665" s="311">
        <f>'Пр.4.1 ведом.23-24 '!H762</f>
        <v>60</v>
      </c>
    </row>
    <row r="666" spans="1:12" ht="47.25" x14ac:dyDescent="0.25">
      <c r="A666" s="359" t="s">
        <v>855</v>
      </c>
      <c r="B666" s="316" t="s">
        <v>187</v>
      </c>
      <c r="C666" s="316" t="s">
        <v>158</v>
      </c>
      <c r="D666" s="316" t="s">
        <v>339</v>
      </c>
      <c r="E666" s="323"/>
      <c r="F666" s="310">
        <f t="shared" ref="F666:G667" si="117">F667</f>
        <v>870.84</v>
      </c>
      <c r="G666" s="310">
        <f t="shared" si="117"/>
        <v>870.84</v>
      </c>
    </row>
    <row r="667" spans="1:12" ht="47.25" x14ac:dyDescent="0.25">
      <c r="A667" s="359" t="s">
        <v>463</v>
      </c>
      <c r="B667" s="316" t="s">
        <v>187</v>
      </c>
      <c r="C667" s="316" t="s">
        <v>158</v>
      </c>
      <c r="D667" s="316" t="s">
        <v>461</v>
      </c>
      <c r="E667" s="323"/>
      <c r="F667" s="310">
        <f t="shared" si="117"/>
        <v>870.84</v>
      </c>
      <c r="G667" s="310">
        <f t="shared" si="117"/>
        <v>870.84</v>
      </c>
    </row>
    <row r="668" spans="1:12" ht="47.25" x14ac:dyDescent="0.25">
      <c r="A668" s="70" t="s">
        <v>359</v>
      </c>
      <c r="B668" s="365" t="s">
        <v>187</v>
      </c>
      <c r="C668" s="365" t="s">
        <v>158</v>
      </c>
      <c r="D668" s="365" t="s">
        <v>506</v>
      </c>
      <c r="E668" s="319"/>
      <c r="F668" s="311">
        <f>F669</f>
        <v>870.84</v>
      </c>
      <c r="G668" s="311">
        <f>G669</f>
        <v>870.84</v>
      </c>
    </row>
    <row r="669" spans="1:12" ht="36.75" customHeight="1" x14ac:dyDescent="0.25">
      <c r="A669" s="22" t="s">
        <v>191</v>
      </c>
      <c r="B669" s="365" t="s">
        <v>187</v>
      </c>
      <c r="C669" s="365" t="s">
        <v>158</v>
      </c>
      <c r="D669" s="365" t="s">
        <v>506</v>
      </c>
      <c r="E669" s="319" t="s">
        <v>192</v>
      </c>
      <c r="F669" s="311">
        <f t="shared" ref="F669:G669" si="118">F670</f>
        <v>870.84</v>
      </c>
      <c r="G669" s="311">
        <f t="shared" si="118"/>
        <v>870.84</v>
      </c>
    </row>
    <row r="670" spans="1:12" ht="15.75" x14ac:dyDescent="0.25">
      <c r="A670" s="111" t="s">
        <v>193</v>
      </c>
      <c r="B670" s="365" t="s">
        <v>187</v>
      </c>
      <c r="C670" s="365" t="s">
        <v>158</v>
      </c>
      <c r="D670" s="365" t="s">
        <v>506</v>
      </c>
      <c r="E670" s="319" t="s">
        <v>194</v>
      </c>
      <c r="F670" s="311">
        <f>'Пр.4.1 ведом.23-24 '!G767</f>
        <v>870.84</v>
      </c>
      <c r="G670" s="311">
        <f>'Пр.4.1 ведом.23-24 '!H767</f>
        <v>870.84</v>
      </c>
    </row>
    <row r="671" spans="1:12" ht="15.75" x14ac:dyDescent="0.25">
      <c r="A671" s="359" t="s">
        <v>188</v>
      </c>
      <c r="B671" s="7" t="s">
        <v>187</v>
      </c>
      <c r="C671" s="7" t="s">
        <v>159</v>
      </c>
      <c r="D671" s="316"/>
      <c r="E671" s="7"/>
      <c r="F671" s="310">
        <f>F672+F695+F732+F727</f>
        <v>63233</v>
      </c>
      <c r="G671" s="310">
        <f>G672+G695+G732+G727</f>
        <v>63233</v>
      </c>
    </row>
    <row r="672" spans="1:12" ht="39.75" customHeight="1" x14ac:dyDescent="0.25">
      <c r="A672" s="315" t="s">
        <v>860</v>
      </c>
      <c r="B672" s="316" t="s">
        <v>187</v>
      </c>
      <c r="C672" s="316" t="s">
        <v>159</v>
      </c>
      <c r="D672" s="316" t="s">
        <v>237</v>
      </c>
      <c r="E672" s="316"/>
      <c r="F672" s="310">
        <f>F673+F680+F691</f>
        <v>41933.599999999999</v>
      </c>
      <c r="G672" s="310">
        <f>G673+G680+G691</f>
        <v>41933.599999999999</v>
      </c>
      <c r="L672" s="16"/>
    </row>
    <row r="673" spans="1:7" ht="31.5" x14ac:dyDescent="0.25">
      <c r="A673" s="315" t="s">
        <v>507</v>
      </c>
      <c r="B673" s="316" t="s">
        <v>187</v>
      </c>
      <c r="C673" s="316" t="s">
        <v>159</v>
      </c>
      <c r="D673" s="316" t="s">
        <v>766</v>
      </c>
      <c r="E673" s="316"/>
      <c r="F673" s="310">
        <f>F674+F677</f>
        <v>38490</v>
      </c>
      <c r="G673" s="310">
        <f>G674+G677</f>
        <v>38490</v>
      </c>
    </row>
    <row r="674" spans="1:7" ht="47.25" x14ac:dyDescent="0.25">
      <c r="A674" s="364" t="s">
        <v>190</v>
      </c>
      <c r="B674" s="365" t="s">
        <v>187</v>
      </c>
      <c r="C674" s="365" t="s">
        <v>159</v>
      </c>
      <c r="D674" s="365" t="s">
        <v>788</v>
      </c>
      <c r="E674" s="365"/>
      <c r="F674" s="311">
        <f t="shared" ref="F674:G674" si="119">F675</f>
        <v>38490</v>
      </c>
      <c r="G674" s="311">
        <f t="shared" si="119"/>
        <v>38490</v>
      </c>
    </row>
    <row r="675" spans="1:7" ht="40.700000000000003" customHeight="1" x14ac:dyDescent="0.25">
      <c r="A675" s="364" t="s">
        <v>191</v>
      </c>
      <c r="B675" s="365" t="s">
        <v>187</v>
      </c>
      <c r="C675" s="365" t="s">
        <v>159</v>
      </c>
      <c r="D675" s="365" t="s">
        <v>788</v>
      </c>
      <c r="E675" s="365" t="s">
        <v>192</v>
      </c>
      <c r="F675" s="311">
        <f>F676</f>
        <v>38490</v>
      </c>
      <c r="G675" s="311">
        <f>G676</f>
        <v>38490</v>
      </c>
    </row>
    <row r="676" spans="1:7" ht="15.75" x14ac:dyDescent="0.25">
      <c r="A676" s="364" t="s">
        <v>193</v>
      </c>
      <c r="B676" s="365" t="s">
        <v>187</v>
      </c>
      <c r="C676" s="365" t="s">
        <v>159</v>
      </c>
      <c r="D676" s="365" t="s">
        <v>788</v>
      </c>
      <c r="E676" s="365" t="s">
        <v>194</v>
      </c>
      <c r="F676" s="311">
        <f>'Пр.4.1 ведом.23-24 '!G773</f>
        <v>38490</v>
      </c>
      <c r="G676" s="311">
        <f>'Пр.4.1 ведом.23-24 '!H773</f>
        <v>38490</v>
      </c>
    </row>
    <row r="677" spans="1:7" ht="31.5" hidden="1" x14ac:dyDescent="0.25">
      <c r="A677" s="24" t="s">
        <v>968</v>
      </c>
      <c r="B677" s="365" t="s">
        <v>187</v>
      </c>
      <c r="C677" s="365" t="s">
        <v>159</v>
      </c>
      <c r="D677" s="365" t="s">
        <v>967</v>
      </c>
      <c r="E677" s="365"/>
      <c r="F677" s="311">
        <f>F678</f>
        <v>0</v>
      </c>
      <c r="G677" s="311">
        <f>G678</f>
        <v>0</v>
      </c>
    </row>
    <row r="678" spans="1:7" ht="31.5" hidden="1" x14ac:dyDescent="0.25">
      <c r="A678" s="364" t="s">
        <v>191</v>
      </c>
      <c r="B678" s="365" t="s">
        <v>187</v>
      </c>
      <c r="C678" s="365" t="s">
        <v>159</v>
      </c>
      <c r="D678" s="365" t="s">
        <v>967</v>
      </c>
      <c r="E678" s="365" t="s">
        <v>192</v>
      </c>
      <c r="F678" s="311">
        <f>F679</f>
        <v>0</v>
      </c>
      <c r="G678" s="311">
        <f>G679</f>
        <v>0</v>
      </c>
    </row>
    <row r="679" spans="1:7" ht="15.75" hidden="1" x14ac:dyDescent="0.25">
      <c r="A679" s="24" t="s">
        <v>193</v>
      </c>
      <c r="B679" s="365" t="s">
        <v>187</v>
      </c>
      <c r="C679" s="365" t="s">
        <v>159</v>
      </c>
      <c r="D679" s="365" t="s">
        <v>967</v>
      </c>
      <c r="E679" s="365" t="s">
        <v>192</v>
      </c>
      <c r="F679" s="311">
        <f>'Пр.4 ведом.22'!G776</f>
        <v>0</v>
      </c>
      <c r="G679" s="311">
        <f>'Пр.4 ведом.22'!H776</f>
        <v>0</v>
      </c>
    </row>
    <row r="680" spans="1:7" ht="47.25" x14ac:dyDescent="0.25">
      <c r="A680" s="315" t="s">
        <v>471</v>
      </c>
      <c r="B680" s="316" t="s">
        <v>187</v>
      </c>
      <c r="C680" s="316" t="s">
        <v>159</v>
      </c>
      <c r="D680" s="316" t="s">
        <v>768</v>
      </c>
      <c r="E680" s="316"/>
      <c r="F680" s="310">
        <f>F681+F684</f>
        <v>2239.6</v>
      </c>
      <c r="G680" s="310">
        <f>G681+G684</f>
        <v>2239.6</v>
      </c>
    </row>
    <row r="681" spans="1:7" ht="94.5" x14ac:dyDescent="0.25">
      <c r="A681" s="24" t="s">
        <v>200</v>
      </c>
      <c r="B681" s="365" t="s">
        <v>187</v>
      </c>
      <c r="C681" s="365" t="s">
        <v>159</v>
      </c>
      <c r="D681" s="365" t="s">
        <v>884</v>
      </c>
      <c r="E681" s="365"/>
      <c r="F681" s="311">
        <f>F682</f>
        <v>1480</v>
      </c>
      <c r="G681" s="311">
        <f>G682</f>
        <v>1480</v>
      </c>
    </row>
    <row r="682" spans="1:7" ht="31.5" x14ac:dyDescent="0.25">
      <c r="A682" s="364" t="s">
        <v>191</v>
      </c>
      <c r="B682" s="365" t="s">
        <v>187</v>
      </c>
      <c r="C682" s="365" t="s">
        <v>159</v>
      </c>
      <c r="D682" s="365" t="s">
        <v>884</v>
      </c>
      <c r="E682" s="365" t="s">
        <v>192</v>
      </c>
      <c r="F682" s="311">
        <f t="shared" ref="F682:G682" si="120">F683</f>
        <v>1480</v>
      </c>
      <c r="G682" s="311">
        <f t="shared" si="120"/>
        <v>1480</v>
      </c>
    </row>
    <row r="683" spans="1:7" ht="15.75" x14ac:dyDescent="0.25">
      <c r="A683" s="364" t="s">
        <v>193</v>
      </c>
      <c r="B683" s="365" t="s">
        <v>187</v>
      </c>
      <c r="C683" s="365" t="s">
        <v>159</v>
      </c>
      <c r="D683" s="365" t="s">
        <v>884</v>
      </c>
      <c r="E683" s="365" t="s">
        <v>194</v>
      </c>
      <c r="F683" s="311">
        <f>'Пр.4.1 ведом.23-24 '!G780</f>
        <v>1480</v>
      </c>
      <c r="G683" s="311">
        <f>'Пр.4.1 ведом.23-24 '!H780</f>
        <v>1480</v>
      </c>
    </row>
    <row r="684" spans="1:7" ht="47.25" x14ac:dyDescent="0.25">
      <c r="A684" s="364" t="s">
        <v>1147</v>
      </c>
      <c r="B684" s="365" t="s">
        <v>187</v>
      </c>
      <c r="C684" s="365" t="s">
        <v>159</v>
      </c>
      <c r="D684" s="365" t="s">
        <v>1148</v>
      </c>
      <c r="E684" s="365"/>
      <c r="F684" s="311">
        <f t="shared" ref="F684:G684" si="121">F685</f>
        <v>759.59999999999991</v>
      </c>
      <c r="G684" s="311">
        <f t="shared" si="121"/>
        <v>759.59999999999991</v>
      </c>
    </row>
    <row r="685" spans="1:7" ht="31.5" x14ac:dyDescent="0.25">
      <c r="A685" s="364" t="s">
        <v>191</v>
      </c>
      <c r="B685" s="365" t="s">
        <v>187</v>
      </c>
      <c r="C685" s="365" t="s">
        <v>159</v>
      </c>
      <c r="D685" s="365" t="s">
        <v>1148</v>
      </c>
      <c r="E685" s="365" t="s">
        <v>192</v>
      </c>
      <c r="F685" s="311">
        <f>F686</f>
        <v>759.59999999999991</v>
      </c>
      <c r="G685" s="311">
        <f>G686</f>
        <v>759.59999999999991</v>
      </c>
    </row>
    <row r="686" spans="1:7" ht="15.75" x14ac:dyDescent="0.25">
      <c r="A686" s="364" t="s">
        <v>193</v>
      </c>
      <c r="B686" s="365" t="s">
        <v>187</v>
      </c>
      <c r="C686" s="365" t="s">
        <v>159</v>
      </c>
      <c r="D686" s="365" t="s">
        <v>1148</v>
      </c>
      <c r="E686" s="365" t="s">
        <v>194</v>
      </c>
      <c r="F686" s="311">
        <f>'Пр.4.1 ведом.23-24 '!G783</f>
        <v>759.59999999999991</v>
      </c>
      <c r="G686" s="311">
        <f>'Пр.4.1 ведом.23-24 '!H783</f>
        <v>759.59999999999991</v>
      </c>
    </row>
    <row r="687" spans="1:7" ht="31.7" hidden="1" customHeight="1" x14ac:dyDescent="0.25">
      <c r="A687" s="315" t="s">
        <v>782</v>
      </c>
      <c r="B687" s="316" t="s">
        <v>187</v>
      </c>
      <c r="C687" s="316" t="s">
        <v>159</v>
      </c>
      <c r="D687" s="316" t="s">
        <v>770</v>
      </c>
      <c r="E687" s="316"/>
      <c r="F687" s="310">
        <f t="shared" ref="F687:G689" si="122">F688</f>
        <v>0</v>
      </c>
      <c r="G687" s="310">
        <f t="shared" si="122"/>
        <v>0</v>
      </c>
    </row>
    <row r="688" spans="1:7" ht="35.450000000000003" hidden="1" customHeight="1" x14ac:dyDescent="0.25">
      <c r="A688" s="31" t="s">
        <v>346</v>
      </c>
      <c r="B688" s="365" t="s">
        <v>187</v>
      </c>
      <c r="C688" s="365" t="s">
        <v>159</v>
      </c>
      <c r="D688" s="365" t="s">
        <v>835</v>
      </c>
      <c r="E688" s="365"/>
      <c r="F688" s="311">
        <f t="shared" si="122"/>
        <v>0</v>
      </c>
      <c r="G688" s="311">
        <f t="shared" si="122"/>
        <v>0</v>
      </c>
    </row>
    <row r="689" spans="1:7" ht="39.75" hidden="1" customHeight="1" x14ac:dyDescent="0.25">
      <c r="A689" s="24" t="s">
        <v>191</v>
      </c>
      <c r="B689" s="365" t="s">
        <v>187</v>
      </c>
      <c r="C689" s="365" t="s">
        <v>159</v>
      </c>
      <c r="D689" s="365" t="s">
        <v>835</v>
      </c>
      <c r="E689" s="365" t="s">
        <v>192</v>
      </c>
      <c r="F689" s="311">
        <f t="shared" si="122"/>
        <v>0</v>
      </c>
      <c r="G689" s="311">
        <f t="shared" si="122"/>
        <v>0</v>
      </c>
    </row>
    <row r="690" spans="1:7" ht="19.5" hidden="1" customHeight="1" x14ac:dyDescent="0.25">
      <c r="A690" s="24" t="s">
        <v>193</v>
      </c>
      <c r="B690" s="365" t="s">
        <v>187</v>
      </c>
      <c r="C690" s="365" t="s">
        <v>159</v>
      </c>
      <c r="D690" s="365" t="s">
        <v>835</v>
      </c>
      <c r="E690" s="365" t="s">
        <v>194</v>
      </c>
      <c r="F690" s="311">
        <f>'Пр.4 ведом.22'!G787</f>
        <v>0</v>
      </c>
      <c r="G690" s="311">
        <f>'Пр.4 ведом.22'!H787</f>
        <v>0</v>
      </c>
    </row>
    <row r="691" spans="1:7" ht="33" customHeight="1" x14ac:dyDescent="0.25">
      <c r="A691" s="145" t="s">
        <v>515</v>
      </c>
      <c r="B691" s="316" t="s">
        <v>187</v>
      </c>
      <c r="C691" s="316" t="s">
        <v>159</v>
      </c>
      <c r="D691" s="316" t="s">
        <v>773</v>
      </c>
      <c r="E691" s="316"/>
      <c r="F691" s="310">
        <f>F692</f>
        <v>1204</v>
      </c>
      <c r="G691" s="310">
        <f>G692</f>
        <v>1204</v>
      </c>
    </row>
    <row r="692" spans="1:7" ht="38.1" customHeight="1" x14ac:dyDescent="0.25">
      <c r="A692" s="31" t="s">
        <v>344</v>
      </c>
      <c r="B692" s="365" t="s">
        <v>187</v>
      </c>
      <c r="C692" s="365" t="s">
        <v>159</v>
      </c>
      <c r="D692" s="365" t="s">
        <v>774</v>
      </c>
      <c r="E692" s="365"/>
      <c r="F692" s="311">
        <f>F693</f>
        <v>1204</v>
      </c>
      <c r="G692" s="311">
        <f>G693</f>
        <v>1204</v>
      </c>
    </row>
    <row r="693" spans="1:7" ht="31.5" x14ac:dyDescent="0.25">
      <c r="A693" s="364" t="s">
        <v>191</v>
      </c>
      <c r="B693" s="365" t="s">
        <v>187</v>
      </c>
      <c r="C693" s="365" t="s">
        <v>159</v>
      </c>
      <c r="D693" s="365" t="s">
        <v>774</v>
      </c>
      <c r="E693" s="365" t="s">
        <v>192</v>
      </c>
      <c r="F693" s="311">
        <f t="shared" ref="F693:G693" si="123">F694</f>
        <v>1204</v>
      </c>
      <c r="G693" s="311">
        <f t="shared" si="123"/>
        <v>1204</v>
      </c>
    </row>
    <row r="694" spans="1:7" ht="15.75" x14ac:dyDescent="0.25">
      <c r="A694" s="24" t="s">
        <v>193</v>
      </c>
      <c r="B694" s="365" t="s">
        <v>187</v>
      </c>
      <c r="C694" s="365" t="s">
        <v>159</v>
      </c>
      <c r="D694" s="365" t="s">
        <v>774</v>
      </c>
      <c r="E694" s="365" t="s">
        <v>194</v>
      </c>
      <c r="F694" s="311">
        <f>'Пр.4.1 ведом.23-24 '!G791</f>
        <v>1204</v>
      </c>
      <c r="G694" s="311">
        <f>'Пр.4.1 ведом.23-24 '!H791</f>
        <v>1204</v>
      </c>
    </row>
    <row r="695" spans="1:7" ht="34.5" customHeight="1" x14ac:dyDescent="0.25">
      <c r="A695" s="315" t="s">
        <v>868</v>
      </c>
      <c r="B695" s="316" t="s">
        <v>187</v>
      </c>
      <c r="C695" s="316" t="s">
        <v>159</v>
      </c>
      <c r="D695" s="316" t="s">
        <v>189</v>
      </c>
      <c r="E695" s="316"/>
      <c r="F695" s="310">
        <f>F696+F707+F716+F720</f>
        <v>20500.099999999999</v>
      </c>
      <c r="G695" s="310">
        <f>G696+G707+G716+G720</f>
        <v>20500.099999999999</v>
      </c>
    </row>
    <row r="696" spans="1:7" ht="36" customHeight="1" x14ac:dyDescent="0.25">
      <c r="A696" s="315" t="s">
        <v>814</v>
      </c>
      <c r="B696" s="316" t="s">
        <v>187</v>
      </c>
      <c r="C696" s="316" t="s">
        <v>159</v>
      </c>
      <c r="D696" s="316" t="s">
        <v>743</v>
      </c>
      <c r="E696" s="316"/>
      <c r="F696" s="310">
        <f>F697+F704</f>
        <v>19489.8</v>
      </c>
      <c r="G696" s="310">
        <f>G697+G704</f>
        <v>19489.8</v>
      </c>
    </row>
    <row r="697" spans="1:7" ht="15.75" x14ac:dyDescent="0.25">
      <c r="A697" s="364" t="s">
        <v>378</v>
      </c>
      <c r="B697" s="365" t="s">
        <v>187</v>
      </c>
      <c r="C697" s="365" t="s">
        <v>159</v>
      </c>
      <c r="D697" s="365" t="s">
        <v>744</v>
      </c>
      <c r="E697" s="365"/>
      <c r="F697" s="311">
        <f>F698+F700+F702</f>
        <v>19489.8</v>
      </c>
      <c r="G697" s="311">
        <f>G698+G700+G702</f>
        <v>19489.8</v>
      </c>
    </row>
    <row r="698" spans="1:7" ht="78.75" x14ac:dyDescent="0.25">
      <c r="A698" s="364" t="s">
        <v>119</v>
      </c>
      <c r="B698" s="365" t="s">
        <v>187</v>
      </c>
      <c r="C698" s="365" t="s">
        <v>159</v>
      </c>
      <c r="D698" s="365" t="s">
        <v>744</v>
      </c>
      <c r="E698" s="365" t="s">
        <v>120</v>
      </c>
      <c r="F698" s="311">
        <f>F699</f>
        <v>17566.099999999999</v>
      </c>
      <c r="G698" s="311">
        <f>G699</f>
        <v>17566.099999999999</v>
      </c>
    </row>
    <row r="699" spans="1:7" ht="21.2" customHeight="1" x14ac:dyDescent="0.25">
      <c r="A699" s="32" t="s">
        <v>212</v>
      </c>
      <c r="B699" s="365" t="s">
        <v>187</v>
      </c>
      <c r="C699" s="365" t="s">
        <v>159</v>
      </c>
      <c r="D699" s="365" t="s">
        <v>744</v>
      </c>
      <c r="E699" s="365" t="s">
        <v>156</v>
      </c>
      <c r="F699" s="311">
        <f>'Пр.4.1 ведом.23-24 '!G309</f>
        <v>17566.099999999999</v>
      </c>
      <c r="G699" s="311">
        <f>'Пр.4.1 ведом.23-24 '!H309</f>
        <v>17566.099999999999</v>
      </c>
    </row>
    <row r="700" spans="1:7" ht="31.5" x14ac:dyDescent="0.25">
      <c r="A700" s="364" t="s">
        <v>123</v>
      </c>
      <c r="B700" s="365" t="s">
        <v>187</v>
      </c>
      <c r="C700" s="365" t="s">
        <v>159</v>
      </c>
      <c r="D700" s="365" t="s">
        <v>744</v>
      </c>
      <c r="E700" s="365" t="s">
        <v>124</v>
      </c>
      <c r="F700" s="311">
        <f>F701</f>
        <v>1850.7</v>
      </c>
      <c r="G700" s="311">
        <f>G701</f>
        <v>1850.7</v>
      </c>
    </row>
    <row r="701" spans="1:7" ht="31.5" x14ac:dyDescent="0.25">
      <c r="A701" s="364" t="s">
        <v>125</v>
      </c>
      <c r="B701" s="365" t="s">
        <v>187</v>
      </c>
      <c r="C701" s="365" t="s">
        <v>159</v>
      </c>
      <c r="D701" s="365" t="s">
        <v>744</v>
      </c>
      <c r="E701" s="365" t="s">
        <v>126</v>
      </c>
      <c r="F701" s="311">
        <f>'Пр.4.1 ведом.23-24 '!G311</f>
        <v>1850.7</v>
      </c>
      <c r="G701" s="311">
        <f>'Пр.4.1 ведом.23-24 '!H311</f>
        <v>1850.7</v>
      </c>
    </row>
    <row r="702" spans="1:7" ht="15.75" x14ac:dyDescent="0.25">
      <c r="A702" s="364" t="s">
        <v>127</v>
      </c>
      <c r="B702" s="365" t="s">
        <v>187</v>
      </c>
      <c r="C702" s="365" t="s">
        <v>159</v>
      </c>
      <c r="D702" s="365" t="s">
        <v>744</v>
      </c>
      <c r="E702" s="365" t="s">
        <v>134</v>
      </c>
      <c r="F702" s="311">
        <f>F703</f>
        <v>73</v>
      </c>
      <c r="G702" s="311">
        <f>G703</f>
        <v>73</v>
      </c>
    </row>
    <row r="703" spans="1:7" ht="15.75" x14ac:dyDescent="0.25">
      <c r="A703" s="364" t="s">
        <v>338</v>
      </c>
      <c r="B703" s="365" t="s">
        <v>187</v>
      </c>
      <c r="C703" s="365" t="s">
        <v>159</v>
      </c>
      <c r="D703" s="365" t="s">
        <v>744</v>
      </c>
      <c r="E703" s="365" t="s">
        <v>130</v>
      </c>
      <c r="F703" s="311">
        <f>'Пр.4.1 ведом.23-24 '!G313</f>
        <v>73</v>
      </c>
      <c r="G703" s="311">
        <f>'Пр.4.1 ведом.23-24 '!H313</f>
        <v>73</v>
      </c>
    </row>
    <row r="704" spans="1:7" ht="31.5" hidden="1" x14ac:dyDescent="0.25">
      <c r="A704" s="24" t="s">
        <v>968</v>
      </c>
      <c r="B704" s="365" t="s">
        <v>187</v>
      </c>
      <c r="C704" s="365" t="s">
        <v>159</v>
      </c>
      <c r="D704" s="365" t="s">
        <v>962</v>
      </c>
      <c r="E704" s="365"/>
      <c r="F704" s="311">
        <f>F705</f>
        <v>0</v>
      </c>
      <c r="G704" s="311">
        <f>G705</f>
        <v>0</v>
      </c>
    </row>
    <row r="705" spans="1:7" ht="78.75" hidden="1" x14ac:dyDescent="0.25">
      <c r="A705" s="364" t="s">
        <v>119</v>
      </c>
      <c r="B705" s="365" t="s">
        <v>187</v>
      </c>
      <c r="C705" s="365" t="s">
        <v>159</v>
      </c>
      <c r="D705" s="365" t="s">
        <v>962</v>
      </c>
      <c r="E705" s="365" t="s">
        <v>120</v>
      </c>
      <c r="F705" s="311">
        <f>F706</f>
        <v>0</v>
      </c>
      <c r="G705" s="311">
        <f>G706</f>
        <v>0</v>
      </c>
    </row>
    <row r="706" spans="1:7" ht="15.75" hidden="1" x14ac:dyDescent="0.25">
      <c r="A706" s="364" t="s">
        <v>155</v>
      </c>
      <c r="B706" s="365" t="s">
        <v>187</v>
      </c>
      <c r="C706" s="365" t="s">
        <v>159</v>
      </c>
      <c r="D706" s="365" t="s">
        <v>962</v>
      </c>
      <c r="E706" s="365" t="s">
        <v>156</v>
      </c>
      <c r="F706" s="311">
        <f>'Пр.4 ведом.22'!G315</f>
        <v>0</v>
      </c>
      <c r="G706" s="311">
        <f>'Пр.4 ведом.22'!H315</f>
        <v>0</v>
      </c>
    </row>
    <row r="707" spans="1:7" ht="31.5" x14ac:dyDescent="0.25">
      <c r="A707" s="142" t="s">
        <v>817</v>
      </c>
      <c r="B707" s="316" t="s">
        <v>187</v>
      </c>
      <c r="C707" s="316" t="s">
        <v>159</v>
      </c>
      <c r="D707" s="316" t="s">
        <v>745</v>
      </c>
      <c r="E707" s="316"/>
      <c r="F707" s="310">
        <f>F708+F711</f>
        <v>292</v>
      </c>
      <c r="G707" s="310">
        <f>G708+G711</f>
        <v>292</v>
      </c>
    </row>
    <row r="708" spans="1:7" ht="31.5" x14ac:dyDescent="0.25">
      <c r="A708" s="123" t="s">
        <v>377</v>
      </c>
      <c r="B708" s="365" t="s">
        <v>187</v>
      </c>
      <c r="C708" s="365" t="s">
        <v>159</v>
      </c>
      <c r="D708" s="365" t="s">
        <v>746</v>
      </c>
      <c r="E708" s="365"/>
      <c r="F708" s="311">
        <f>F709</f>
        <v>42</v>
      </c>
      <c r="G708" s="311">
        <f>G709</f>
        <v>42</v>
      </c>
    </row>
    <row r="709" spans="1:7" ht="20.25" customHeight="1" x14ac:dyDescent="0.25">
      <c r="A709" s="364" t="s">
        <v>177</v>
      </c>
      <c r="B709" s="365" t="s">
        <v>187</v>
      </c>
      <c r="C709" s="365" t="s">
        <v>159</v>
      </c>
      <c r="D709" s="365" t="s">
        <v>746</v>
      </c>
      <c r="E709" s="365" t="s">
        <v>178</v>
      </c>
      <c r="F709" s="311">
        <f>F710</f>
        <v>42</v>
      </c>
      <c r="G709" s="311">
        <f>G710</f>
        <v>42</v>
      </c>
    </row>
    <row r="710" spans="1:7" ht="15.75" x14ac:dyDescent="0.25">
      <c r="A710" s="364" t="s">
        <v>398</v>
      </c>
      <c r="B710" s="365" t="s">
        <v>187</v>
      </c>
      <c r="C710" s="365" t="s">
        <v>159</v>
      </c>
      <c r="D710" s="365" t="s">
        <v>746</v>
      </c>
      <c r="E710" s="365" t="s">
        <v>397</v>
      </c>
      <c r="F710" s="311">
        <f>'Пр.4.1 ведом.23-24 '!G320</f>
        <v>42</v>
      </c>
      <c r="G710" s="311">
        <f>'Пр.4.1 ведом.23-24 '!H320</f>
        <v>42</v>
      </c>
    </row>
    <row r="711" spans="1:7" ht="31.5" x14ac:dyDescent="0.25">
      <c r="A711" s="24" t="s">
        <v>394</v>
      </c>
      <c r="B711" s="365" t="s">
        <v>187</v>
      </c>
      <c r="C711" s="365" t="s">
        <v>159</v>
      </c>
      <c r="D711" s="365" t="s">
        <v>747</v>
      </c>
      <c r="E711" s="365"/>
      <c r="F711" s="311">
        <f>F712+F714</f>
        <v>250</v>
      </c>
      <c r="G711" s="311">
        <f>G712+G714</f>
        <v>250</v>
      </c>
    </row>
    <row r="712" spans="1:7" ht="78.75" x14ac:dyDescent="0.25">
      <c r="A712" s="364" t="s">
        <v>119</v>
      </c>
      <c r="B712" s="365" t="s">
        <v>187</v>
      </c>
      <c r="C712" s="365" t="s">
        <v>159</v>
      </c>
      <c r="D712" s="365" t="s">
        <v>747</v>
      </c>
      <c r="E712" s="365" t="s">
        <v>120</v>
      </c>
      <c r="F712" s="311">
        <f>F713</f>
        <v>250</v>
      </c>
      <c r="G712" s="311">
        <f>G713</f>
        <v>250</v>
      </c>
    </row>
    <row r="713" spans="1:7" ht="18.75" customHeight="1" x14ac:dyDescent="0.25">
      <c r="A713" s="32" t="s">
        <v>212</v>
      </c>
      <c r="B713" s="365" t="s">
        <v>187</v>
      </c>
      <c r="C713" s="365" t="s">
        <v>159</v>
      </c>
      <c r="D713" s="365" t="s">
        <v>747</v>
      </c>
      <c r="E713" s="365" t="s">
        <v>156</v>
      </c>
      <c r="F713" s="311">
        <f>'Пр.4.1 ведом.23-24 '!G323</f>
        <v>250</v>
      </c>
      <c r="G713" s="311">
        <f>'Пр.4.1 ведом.23-24 '!H323</f>
        <v>250</v>
      </c>
    </row>
    <row r="714" spans="1:7" ht="31.5" hidden="1" x14ac:dyDescent="0.25">
      <c r="A714" s="364" t="s">
        <v>123</v>
      </c>
      <c r="B714" s="365" t="s">
        <v>187</v>
      </c>
      <c r="C714" s="365" t="s">
        <v>159</v>
      </c>
      <c r="D714" s="365" t="s">
        <v>747</v>
      </c>
      <c r="E714" s="365" t="s">
        <v>124</v>
      </c>
      <c r="F714" s="311">
        <f>F715</f>
        <v>0</v>
      </c>
      <c r="G714" s="311">
        <f>G715</f>
        <v>0</v>
      </c>
    </row>
    <row r="715" spans="1:7" ht="31.5" hidden="1" x14ac:dyDescent="0.25">
      <c r="A715" s="364" t="s">
        <v>125</v>
      </c>
      <c r="B715" s="365" t="s">
        <v>187</v>
      </c>
      <c r="C715" s="365" t="s">
        <v>159</v>
      </c>
      <c r="D715" s="365" t="s">
        <v>747</v>
      </c>
      <c r="E715" s="365" t="s">
        <v>126</v>
      </c>
      <c r="F715" s="311">
        <f>'Пр.4 ведом.22'!G324</f>
        <v>0</v>
      </c>
      <c r="G715" s="311">
        <f>'Пр.4 ведом.22'!H324</f>
        <v>0</v>
      </c>
    </row>
    <row r="716" spans="1:7" ht="31.5" x14ac:dyDescent="0.25">
      <c r="A716" s="315" t="s">
        <v>514</v>
      </c>
      <c r="B716" s="316" t="s">
        <v>187</v>
      </c>
      <c r="C716" s="316" t="s">
        <v>159</v>
      </c>
      <c r="D716" s="316" t="s">
        <v>748</v>
      </c>
      <c r="E716" s="316"/>
      <c r="F716" s="310">
        <f t="shared" ref="F716:G718" si="124">F717</f>
        <v>473</v>
      </c>
      <c r="G716" s="310">
        <f t="shared" si="124"/>
        <v>473</v>
      </c>
    </row>
    <row r="717" spans="1:7" ht="47.25" x14ac:dyDescent="0.25">
      <c r="A717" s="364" t="s">
        <v>416</v>
      </c>
      <c r="B717" s="365" t="s">
        <v>187</v>
      </c>
      <c r="C717" s="365" t="s">
        <v>159</v>
      </c>
      <c r="D717" s="365" t="s">
        <v>749</v>
      </c>
      <c r="E717" s="365"/>
      <c r="F717" s="311">
        <f t="shared" si="124"/>
        <v>473</v>
      </c>
      <c r="G717" s="311">
        <f t="shared" si="124"/>
        <v>473</v>
      </c>
    </row>
    <row r="718" spans="1:7" ht="78.75" x14ac:dyDescent="0.25">
      <c r="A718" s="364" t="s">
        <v>119</v>
      </c>
      <c r="B718" s="365" t="s">
        <v>187</v>
      </c>
      <c r="C718" s="365" t="s">
        <v>159</v>
      </c>
      <c r="D718" s="365" t="s">
        <v>749</v>
      </c>
      <c r="E718" s="365" t="s">
        <v>120</v>
      </c>
      <c r="F718" s="311">
        <f t="shared" si="124"/>
        <v>473</v>
      </c>
      <c r="G718" s="311">
        <f t="shared" si="124"/>
        <v>473</v>
      </c>
    </row>
    <row r="719" spans="1:7" ht="31.5" x14ac:dyDescent="0.25">
      <c r="A719" s="364" t="s">
        <v>121</v>
      </c>
      <c r="B719" s="365" t="s">
        <v>187</v>
      </c>
      <c r="C719" s="365" t="s">
        <v>159</v>
      </c>
      <c r="D719" s="365" t="s">
        <v>749</v>
      </c>
      <c r="E719" s="365" t="s">
        <v>156</v>
      </c>
      <c r="F719" s="311">
        <f>'Пр.4.1 ведом.23-24 '!G329</f>
        <v>473</v>
      </c>
      <c r="G719" s="311">
        <f>'Пр.4.1 ведом.23-24 '!H329</f>
        <v>473</v>
      </c>
    </row>
    <row r="720" spans="1:7" ht="47.25" x14ac:dyDescent="0.25">
      <c r="A720" s="315" t="s">
        <v>471</v>
      </c>
      <c r="B720" s="316" t="s">
        <v>187</v>
      </c>
      <c r="C720" s="316" t="s">
        <v>159</v>
      </c>
      <c r="D720" s="316" t="s">
        <v>750</v>
      </c>
      <c r="E720" s="316"/>
      <c r="F720" s="310">
        <f>F721+F724</f>
        <v>245.29999999999998</v>
      </c>
      <c r="G720" s="310">
        <f>G721+G724</f>
        <v>245.29999999999998</v>
      </c>
    </row>
    <row r="721" spans="1:7" ht="94.5" hidden="1" x14ac:dyDescent="0.25">
      <c r="A721" s="24" t="s">
        <v>200</v>
      </c>
      <c r="B721" s="365" t="s">
        <v>187</v>
      </c>
      <c r="C721" s="365" t="s">
        <v>159</v>
      </c>
      <c r="D721" s="365" t="s">
        <v>897</v>
      </c>
      <c r="E721" s="365"/>
      <c r="F721" s="311">
        <f>F722</f>
        <v>0</v>
      </c>
      <c r="G721" s="311">
        <f>G722</f>
        <v>0</v>
      </c>
    </row>
    <row r="722" spans="1:7" ht="78.75" hidden="1" x14ac:dyDescent="0.25">
      <c r="A722" s="364" t="s">
        <v>119</v>
      </c>
      <c r="B722" s="365" t="s">
        <v>187</v>
      </c>
      <c r="C722" s="365" t="s">
        <v>159</v>
      </c>
      <c r="D722" s="365" t="s">
        <v>897</v>
      </c>
      <c r="E722" s="365" t="s">
        <v>120</v>
      </c>
      <c r="F722" s="311">
        <f>F723</f>
        <v>0</v>
      </c>
      <c r="G722" s="311">
        <f>G723</f>
        <v>0</v>
      </c>
    </row>
    <row r="723" spans="1:7" ht="22.7" hidden="1" customHeight="1" x14ac:dyDescent="0.25">
      <c r="A723" s="32" t="s">
        <v>212</v>
      </c>
      <c r="B723" s="365" t="s">
        <v>187</v>
      </c>
      <c r="C723" s="365" t="s">
        <v>159</v>
      </c>
      <c r="D723" s="365" t="s">
        <v>897</v>
      </c>
      <c r="E723" s="365" t="s">
        <v>156</v>
      </c>
      <c r="F723" s="311">
        <f>'Пр.4.1 ведом.23-24 '!G333</f>
        <v>0</v>
      </c>
      <c r="G723" s="311">
        <f>'Пр.4.1 ведом.23-24 '!H333</f>
        <v>0</v>
      </c>
    </row>
    <row r="724" spans="1:7" ht="47.25" x14ac:dyDescent="0.25">
      <c r="A724" s="364" t="s">
        <v>1147</v>
      </c>
      <c r="B724" s="365" t="s">
        <v>187</v>
      </c>
      <c r="C724" s="365" t="s">
        <v>159</v>
      </c>
      <c r="D724" s="365" t="s">
        <v>1149</v>
      </c>
      <c r="E724" s="365"/>
      <c r="F724" s="311">
        <f>F725</f>
        <v>245.29999999999998</v>
      </c>
      <c r="G724" s="311">
        <f>G725</f>
        <v>245.29999999999998</v>
      </c>
    </row>
    <row r="725" spans="1:7" ht="78.75" x14ac:dyDescent="0.25">
      <c r="A725" s="364" t="s">
        <v>119</v>
      </c>
      <c r="B725" s="365" t="s">
        <v>187</v>
      </c>
      <c r="C725" s="365" t="s">
        <v>159</v>
      </c>
      <c r="D725" s="365" t="s">
        <v>1149</v>
      </c>
      <c r="E725" s="365" t="s">
        <v>120</v>
      </c>
      <c r="F725" s="311">
        <f>F726</f>
        <v>245.29999999999998</v>
      </c>
      <c r="G725" s="311">
        <f>G726</f>
        <v>245.29999999999998</v>
      </c>
    </row>
    <row r="726" spans="1:7" ht="21.2" customHeight="1" x14ac:dyDescent="0.25">
      <c r="A726" s="32" t="s">
        <v>212</v>
      </c>
      <c r="B726" s="365" t="s">
        <v>187</v>
      </c>
      <c r="C726" s="365" t="s">
        <v>159</v>
      </c>
      <c r="D726" s="365" t="s">
        <v>1149</v>
      </c>
      <c r="E726" s="365" t="s">
        <v>156</v>
      </c>
      <c r="F726" s="311">
        <f>'Пр.4.1 ведом.23-24 '!G336</f>
        <v>245.29999999999998</v>
      </c>
      <c r="G726" s="311">
        <f>'Пр.4.1 ведом.23-24 '!H336</f>
        <v>245.29999999999998</v>
      </c>
    </row>
    <row r="727" spans="1:7" ht="45.75" customHeight="1" x14ac:dyDescent="0.25">
      <c r="A727" s="26" t="s">
        <v>859</v>
      </c>
      <c r="B727" s="316" t="s">
        <v>187</v>
      </c>
      <c r="C727" s="316" t="s">
        <v>159</v>
      </c>
      <c r="D727" s="316" t="s">
        <v>206</v>
      </c>
      <c r="E727" s="316"/>
      <c r="F727" s="314">
        <f>F729</f>
        <v>6</v>
      </c>
      <c r="G727" s="314">
        <f>G729</f>
        <v>6</v>
      </c>
    </row>
    <row r="728" spans="1:7" ht="63.2" customHeight="1" x14ac:dyDescent="0.25">
      <c r="A728" s="26" t="s">
        <v>588</v>
      </c>
      <c r="B728" s="316" t="s">
        <v>187</v>
      </c>
      <c r="C728" s="316" t="s">
        <v>159</v>
      </c>
      <c r="D728" s="316" t="s">
        <v>504</v>
      </c>
      <c r="E728" s="316"/>
      <c r="F728" s="314">
        <f>F731</f>
        <v>6</v>
      </c>
      <c r="G728" s="314">
        <f>G731</f>
        <v>6</v>
      </c>
    </row>
    <row r="729" spans="1:7" ht="51" customHeight="1" x14ac:dyDescent="0.25">
      <c r="A729" s="24" t="s">
        <v>634</v>
      </c>
      <c r="B729" s="365" t="s">
        <v>187</v>
      </c>
      <c r="C729" s="365" t="s">
        <v>159</v>
      </c>
      <c r="D729" s="365" t="s">
        <v>589</v>
      </c>
      <c r="E729" s="365"/>
      <c r="F729" s="318">
        <f>F730</f>
        <v>6</v>
      </c>
      <c r="G729" s="318">
        <f>G730</f>
        <v>6</v>
      </c>
    </row>
    <row r="730" spans="1:7" ht="39.4" customHeight="1" x14ac:dyDescent="0.25">
      <c r="A730" s="364" t="s">
        <v>123</v>
      </c>
      <c r="B730" s="365" t="s">
        <v>187</v>
      </c>
      <c r="C730" s="365" t="s">
        <v>159</v>
      </c>
      <c r="D730" s="365" t="s">
        <v>589</v>
      </c>
      <c r="E730" s="365" t="s">
        <v>124</v>
      </c>
      <c r="F730" s="318">
        <f>F731</f>
        <v>6</v>
      </c>
      <c r="G730" s="318">
        <f>G731</f>
        <v>6</v>
      </c>
    </row>
    <row r="731" spans="1:7" ht="35.450000000000003" customHeight="1" x14ac:dyDescent="0.25">
      <c r="A731" s="364" t="s">
        <v>125</v>
      </c>
      <c r="B731" s="365" t="s">
        <v>187</v>
      </c>
      <c r="C731" s="365" t="s">
        <v>159</v>
      </c>
      <c r="D731" s="365" t="s">
        <v>589</v>
      </c>
      <c r="E731" s="365" t="s">
        <v>126</v>
      </c>
      <c r="F731" s="318">
        <f>'Пр.4.1 ведом.23-24 '!G341</f>
        <v>6</v>
      </c>
      <c r="G731" s="318">
        <f>'Пр.4.1 ведом.23-24 '!H341</f>
        <v>6</v>
      </c>
    </row>
    <row r="732" spans="1:7" ht="47.25" x14ac:dyDescent="0.25">
      <c r="A732" s="359" t="s">
        <v>855</v>
      </c>
      <c r="B732" s="316" t="s">
        <v>187</v>
      </c>
      <c r="C732" s="316" t="s">
        <v>159</v>
      </c>
      <c r="D732" s="316" t="s">
        <v>339</v>
      </c>
      <c r="E732" s="316"/>
      <c r="F732" s="310">
        <f>F733</f>
        <v>793.3</v>
      </c>
      <c r="G732" s="310">
        <f>G733</f>
        <v>793.3</v>
      </c>
    </row>
    <row r="733" spans="1:7" ht="47.25" x14ac:dyDescent="0.25">
      <c r="A733" s="359" t="s">
        <v>463</v>
      </c>
      <c r="B733" s="316" t="s">
        <v>187</v>
      </c>
      <c r="C733" s="316" t="s">
        <v>159</v>
      </c>
      <c r="D733" s="316" t="s">
        <v>461</v>
      </c>
      <c r="E733" s="316"/>
      <c r="F733" s="310">
        <f>F734+F737</f>
        <v>793.3</v>
      </c>
      <c r="G733" s="310">
        <f>G734+G737</f>
        <v>793.3</v>
      </c>
    </row>
    <row r="734" spans="1:7" ht="35.450000000000003" customHeight="1" x14ac:dyDescent="0.25">
      <c r="A734" s="70" t="s">
        <v>567</v>
      </c>
      <c r="B734" s="365" t="s">
        <v>187</v>
      </c>
      <c r="C734" s="365" t="s">
        <v>159</v>
      </c>
      <c r="D734" s="365" t="s">
        <v>462</v>
      </c>
      <c r="E734" s="319"/>
      <c r="F734" s="311">
        <f>F735</f>
        <v>490.9</v>
      </c>
      <c r="G734" s="311">
        <f>G735</f>
        <v>490.9</v>
      </c>
    </row>
    <row r="735" spans="1:7" ht="31.5" x14ac:dyDescent="0.25">
      <c r="A735" s="364" t="s">
        <v>123</v>
      </c>
      <c r="B735" s="365" t="s">
        <v>187</v>
      </c>
      <c r="C735" s="365" t="s">
        <v>159</v>
      </c>
      <c r="D735" s="365" t="s">
        <v>462</v>
      </c>
      <c r="E735" s="319" t="s">
        <v>124</v>
      </c>
      <c r="F735" s="311">
        <f>F736</f>
        <v>490.9</v>
      </c>
      <c r="G735" s="311">
        <f>G736</f>
        <v>490.9</v>
      </c>
    </row>
    <row r="736" spans="1:7" ht="36.75" customHeight="1" x14ac:dyDescent="0.25">
      <c r="A736" s="364" t="s">
        <v>125</v>
      </c>
      <c r="B736" s="365" t="s">
        <v>187</v>
      </c>
      <c r="C736" s="365" t="s">
        <v>159</v>
      </c>
      <c r="D736" s="365" t="s">
        <v>462</v>
      </c>
      <c r="E736" s="319" t="s">
        <v>126</v>
      </c>
      <c r="F736" s="311">
        <f>'Пр.4.1 ведом.23-24 '!G346</f>
        <v>490.9</v>
      </c>
      <c r="G736" s="311">
        <f>'Пр.4.1 ведом.23-24 '!H346</f>
        <v>490.9</v>
      </c>
    </row>
    <row r="737" spans="1:7" ht="47.25" x14ac:dyDescent="0.25">
      <c r="A737" s="70" t="s">
        <v>359</v>
      </c>
      <c r="B737" s="365" t="s">
        <v>187</v>
      </c>
      <c r="C737" s="365" t="s">
        <v>159</v>
      </c>
      <c r="D737" s="365" t="s">
        <v>506</v>
      </c>
      <c r="E737" s="319"/>
      <c r="F737" s="311">
        <f>F738</f>
        <v>302.39999999999998</v>
      </c>
      <c r="G737" s="311">
        <f>G738</f>
        <v>302.39999999999998</v>
      </c>
    </row>
    <row r="738" spans="1:7" ht="31.5" x14ac:dyDescent="0.25">
      <c r="A738" s="22" t="s">
        <v>191</v>
      </c>
      <c r="B738" s="365" t="s">
        <v>187</v>
      </c>
      <c r="C738" s="365" t="s">
        <v>159</v>
      </c>
      <c r="D738" s="365" t="s">
        <v>506</v>
      </c>
      <c r="E738" s="319" t="s">
        <v>192</v>
      </c>
      <c r="F738" s="311">
        <f>F739</f>
        <v>302.39999999999998</v>
      </c>
      <c r="G738" s="311">
        <f>G739</f>
        <v>302.39999999999998</v>
      </c>
    </row>
    <row r="739" spans="1:7" ht="15.75" x14ac:dyDescent="0.25">
      <c r="A739" s="111" t="s">
        <v>193</v>
      </c>
      <c r="B739" s="365" t="s">
        <v>187</v>
      </c>
      <c r="C739" s="365" t="s">
        <v>159</v>
      </c>
      <c r="D739" s="365" t="s">
        <v>506</v>
      </c>
      <c r="E739" s="319" t="s">
        <v>194</v>
      </c>
      <c r="F739" s="311">
        <f>'Пр.4.1 ведом.23-24 '!G800</f>
        <v>302.39999999999998</v>
      </c>
      <c r="G739" s="311">
        <f>'Пр.4.1 ведом.23-24 '!H800</f>
        <v>302.39999999999998</v>
      </c>
    </row>
    <row r="740" spans="1:7" ht="15.75" x14ac:dyDescent="0.25">
      <c r="A740" s="315" t="s">
        <v>246</v>
      </c>
      <c r="B740" s="316" t="s">
        <v>187</v>
      </c>
      <c r="C740" s="316" t="s">
        <v>187</v>
      </c>
      <c r="D740" s="316"/>
      <c r="E740" s="323"/>
      <c r="F740" s="310">
        <f>F741+F760</f>
        <v>8438.6</v>
      </c>
      <c r="G740" s="310">
        <f>G741+G760</f>
        <v>8609.7000000000007</v>
      </c>
    </row>
    <row r="741" spans="1:7" ht="47.25" x14ac:dyDescent="0.25">
      <c r="A741" s="315" t="s">
        <v>877</v>
      </c>
      <c r="B741" s="316" t="s">
        <v>187</v>
      </c>
      <c r="C741" s="316" t="s">
        <v>187</v>
      </c>
      <c r="D741" s="316" t="s">
        <v>213</v>
      </c>
      <c r="E741" s="316"/>
      <c r="F741" s="310">
        <f>F742</f>
        <v>760.1</v>
      </c>
      <c r="G741" s="310">
        <f>G742</f>
        <v>760.1</v>
      </c>
    </row>
    <row r="742" spans="1:7" ht="31.5" x14ac:dyDescent="0.25">
      <c r="A742" s="315" t="s">
        <v>214</v>
      </c>
      <c r="B742" s="316" t="s">
        <v>187</v>
      </c>
      <c r="C742" s="316" t="s">
        <v>187</v>
      </c>
      <c r="D742" s="316" t="s">
        <v>215</v>
      </c>
      <c r="E742" s="316"/>
      <c r="F742" s="310">
        <f>F743+F750+F756</f>
        <v>760.1</v>
      </c>
      <c r="G742" s="310">
        <f>G743+G750+G756</f>
        <v>760.1</v>
      </c>
    </row>
    <row r="743" spans="1:7" ht="47.25" x14ac:dyDescent="0.25">
      <c r="A743" s="358" t="s">
        <v>591</v>
      </c>
      <c r="B743" s="316" t="s">
        <v>187</v>
      </c>
      <c r="C743" s="316" t="s">
        <v>187</v>
      </c>
      <c r="D743" s="316" t="s">
        <v>465</v>
      </c>
      <c r="E743" s="316"/>
      <c r="F743" s="310">
        <f>F744+F747</f>
        <v>280</v>
      </c>
      <c r="G743" s="310">
        <f>G744+G747</f>
        <v>280</v>
      </c>
    </row>
    <row r="744" spans="1:7" ht="31.5" x14ac:dyDescent="0.25">
      <c r="A744" s="70" t="s">
        <v>597</v>
      </c>
      <c r="B744" s="365" t="s">
        <v>187</v>
      </c>
      <c r="C744" s="365" t="s">
        <v>187</v>
      </c>
      <c r="D744" s="365" t="s">
        <v>466</v>
      </c>
      <c r="E744" s="365"/>
      <c r="F744" s="311">
        <f>F745</f>
        <v>280</v>
      </c>
      <c r="G744" s="311">
        <f>G745</f>
        <v>280</v>
      </c>
    </row>
    <row r="745" spans="1:7" ht="78.75" x14ac:dyDescent="0.25">
      <c r="A745" s="364" t="s">
        <v>119</v>
      </c>
      <c r="B745" s="365" t="s">
        <v>187</v>
      </c>
      <c r="C745" s="365" t="s">
        <v>187</v>
      </c>
      <c r="D745" s="365" t="s">
        <v>466</v>
      </c>
      <c r="E745" s="365" t="s">
        <v>120</v>
      </c>
      <c r="F745" s="311">
        <f>F746</f>
        <v>280</v>
      </c>
      <c r="G745" s="311">
        <f>G746</f>
        <v>280</v>
      </c>
    </row>
    <row r="746" spans="1:7" ht="17.45" customHeight="1" x14ac:dyDescent="0.25">
      <c r="A746" s="364" t="s">
        <v>212</v>
      </c>
      <c r="B746" s="365" t="s">
        <v>187</v>
      </c>
      <c r="C746" s="365" t="s">
        <v>187</v>
      </c>
      <c r="D746" s="365" t="s">
        <v>466</v>
      </c>
      <c r="E746" s="365" t="s">
        <v>156</v>
      </c>
      <c r="F746" s="311">
        <f>'Пр.4.1 ведом.23-24 '!G353</f>
        <v>280</v>
      </c>
      <c r="G746" s="311">
        <f>'Пр.4.1 ведом.23-24 '!H353</f>
        <v>280</v>
      </c>
    </row>
    <row r="747" spans="1:7" ht="19.5" hidden="1" customHeight="1" x14ac:dyDescent="0.25">
      <c r="A747" s="364" t="s">
        <v>592</v>
      </c>
      <c r="B747" s="365" t="s">
        <v>187</v>
      </c>
      <c r="C747" s="365" t="s">
        <v>187</v>
      </c>
      <c r="D747" s="365" t="s">
        <v>607</v>
      </c>
      <c r="E747" s="365"/>
      <c r="F747" s="311">
        <f>F748</f>
        <v>0</v>
      </c>
      <c r="G747" s="311">
        <f>G748</f>
        <v>0</v>
      </c>
    </row>
    <row r="748" spans="1:7" ht="31.5" hidden="1" x14ac:dyDescent="0.25">
      <c r="A748" s="364" t="s">
        <v>123</v>
      </c>
      <c r="B748" s="365" t="s">
        <v>187</v>
      </c>
      <c r="C748" s="365" t="s">
        <v>187</v>
      </c>
      <c r="D748" s="365" t="s">
        <v>607</v>
      </c>
      <c r="E748" s="365" t="s">
        <v>124</v>
      </c>
      <c r="F748" s="311">
        <f>F749</f>
        <v>0</v>
      </c>
      <c r="G748" s="311">
        <f>G749</f>
        <v>0</v>
      </c>
    </row>
    <row r="749" spans="1:7" ht="31.5" hidden="1" x14ac:dyDescent="0.25">
      <c r="A749" s="364" t="s">
        <v>125</v>
      </c>
      <c r="B749" s="365" t="s">
        <v>187</v>
      </c>
      <c r="C749" s="365" t="s">
        <v>187</v>
      </c>
      <c r="D749" s="365" t="s">
        <v>607</v>
      </c>
      <c r="E749" s="365" t="s">
        <v>126</v>
      </c>
      <c r="F749" s="311">
        <f>'Пр.4 ведом.22'!G355</f>
        <v>0</v>
      </c>
      <c r="G749" s="311">
        <f>'Пр.4 ведом.22'!H355</f>
        <v>0</v>
      </c>
    </row>
    <row r="750" spans="1:7" ht="63" x14ac:dyDescent="0.25">
      <c r="A750" s="315" t="s">
        <v>593</v>
      </c>
      <c r="B750" s="316" t="s">
        <v>187</v>
      </c>
      <c r="C750" s="316" t="s">
        <v>187</v>
      </c>
      <c r="D750" s="316" t="s">
        <v>467</v>
      </c>
      <c r="E750" s="316"/>
      <c r="F750" s="310">
        <f>F751</f>
        <v>455.1</v>
      </c>
      <c r="G750" s="310">
        <f>G751</f>
        <v>455.1</v>
      </c>
    </row>
    <row r="751" spans="1:7" ht="15.75" x14ac:dyDescent="0.25">
      <c r="A751" s="364" t="s">
        <v>594</v>
      </c>
      <c r="B751" s="365" t="s">
        <v>187</v>
      </c>
      <c r="C751" s="365" t="s">
        <v>187</v>
      </c>
      <c r="D751" s="365" t="s">
        <v>472</v>
      </c>
      <c r="E751" s="365"/>
      <c r="F751" s="311">
        <f>F752+F754</f>
        <v>455.1</v>
      </c>
      <c r="G751" s="311">
        <f>G752+G754</f>
        <v>455.1</v>
      </c>
    </row>
    <row r="752" spans="1:7" ht="78.75" x14ac:dyDescent="0.25">
      <c r="A752" s="364" t="s">
        <v>119</v>
      </c>
      <c r="B752" s="365" t="s">
        <v>187</v>
      </c>
      <c r="C752" s="365" t="s">
        <v>187</v>
      </c>
      <c r="D752" s="365" t="s">
        <v>472</v>
      </c>
      <c r="E752" s="365" t="s">
        <v>120</v>
      </c>
      <c r="F752" s="311">
        <f>F753</f>
        <v>40.1</v>
      </c>
      <c r="G752" s="311">
        <f>G753</f>
        <v>40.1</v>
      </c>
    </row>
    <row r="753" spans="1:7" ht="18.75" customHeight="1" x14ac:dyDescent="0.25">
      <c r="A753" s="364" t="s">
        <v>212</v>
      </c>
      <c r="B753" s="365" t="s">
        <v>187</v>
      </c>
      <c r="C753" s="365" t="s">
        <v>187</v>
      </c>
      <c r="D753" s="365" t="s">
        <v>472</v>
      </c>
      <c r="E753" s="365" t="s">
        <v>156</v>
      </c>
      <c r="F753" s="311">
        <f>'Пр.4.1 ведом.23-24 '!G360</f>
        <v>40.1</v>
      </c>
      <c r="G753" s="311">
        <f>'Пр.4.1 ведом.23-24 '!H360</f>
        <v>40.1</v>
      </c>
    </row>
    <row r="754" spans="1:7" ht="31.5" x14ac:dyDescent="0.25">
      <c r="A754" s="364" t="s">
        <v>123</v>
      </c>
      <c r="B754" s="365" t="s">
        <v>187</v>
      </c>
      <c r="C754" s="365" t="s">
        <v>187</v>
      </c>
      <c r="D754" s="365" t="s">
        <v>472</v>
      </c>
      <c r="E754" s="365" t="s">
        <v>124</v>
      </c>
      <c r="F754" s="311">
        <f>F755</f>
        <v>415</v>
      </c>
      <c r="G754" s="311">
        <f>G755</f>
        <v>415</v>
      </c>
    </row>
    <row r="755" spans="1:7" ht="31.5" x14ac:dyDescent="0.25">
      <c r="A755" s="364" t="s">
        <v>125</v>
      </c>
      <c r="B755" s="365" t="s">
        <v>187</v>
      </c>
      <c r="C755" s="365" t="s">
        <v>187</v>
      </c>
      <c r="D755" s="365" t="s">
        <v>472</v>
      </c>
      <c r="E755" s="365" t="s">
        <v>126</v>
      </c>
      <c r="F755" s="311">
        <f>'Пр.4.1 ведом.23-24 '!G362</f>
        <v>415</v>
      </c>
      <c r="G755" s="311">
        <f>'Пр.4.1 ведом.23-24 '!H362</f>
        <v>415</v>
      </c>
    </row>
    <row r="756" spans="1:7" ht="31.5" x14ac:dyDescent="0.25">
      <c r="A756" s="315" t="s">
        <v>900</v>
      </c>
      <c r="B756" s="316" t="s">
        <v>187</v>
      </c>
      <c r="C756" s="316" t="s">
        <v>187</v>
      </c>
      <c r="D756" s="316" t="s">
        <v>595</v>
      </c>
      <c r="E756" s="316"/>
      <c r="F756" s="310">
        <f t="shared" ref="F756:G758" si="125">F757</f>
        <v>25</v>
      </c>
      <c r="G756" s="310">
        <f t="shared" si="125"/>
        <v>25</v>
      </c>
    </row>
    <row r="757" spans="1:7" ht="47.25" x14ac:dyDescent="0.25">
      <c r="A757" s="155" t="s">
        <v>596</v>
      </c>
      <c r="B757" s="365" t="s">
        <v>187</v>
      </c>
      <c r="C757" s="365" t="s">
        <v>187</v>
      </c>
      <c r="D757" s="365" t="s">
        <v>608</v>
      </c>
      <c r="E757" s="365"/>
      <c r="F757" s="311">
        <f t="shared" si="125"/>
        <v>25</v>
      </c>
      <c r="G757" s="311">
        <f t="shared" si="125"/>
        <v>25</v>
      </c>
    </row>
    <row r="758" spans="1:7" ht="21.2" customHeight="1" x14ac:dyDescent="0.25">
      <c r="A758" s="364" t="s">
        <v>177</v>
      </c>
      <c r="B758" s="365" t="s">
        <v>187</v>
      </c>
      <c r="C758" s="365" t="s">
        <v>187</v>
      </c>
      <c r="D758" s="365" t="s">
        <v>608</v>
      </c>
      <c r="E758" s="365" t="s">
        <v>178</v>
      </c>
      <c r="F758" s="311">
        <f t="shared" si="125"/>
        <v>25</v>
      </c>
      <c r="G758" s="311">
        <f t="shared" si="125"/>
        <v>25</v>
      </c>
    </row>
    <row r="759" spans="1:7" ht="31.5" x14ac:dyDescent="0.25">
      <c r="A759" s="364" t="s">
        <v>216</v>
      </c>
      <c r="B759" s="365" t="s">
        <v>187</v>
      </c>
      <c r="C759" s="365" t="s">
        <v>187</v>
      </c>
      <c r="D759" s="365" t="s">
        <v>608</v>
      </c>
      <c r="E759" s="365" t="s">
        <v>217</v>
      </c>
      <c r="F759" s="311">
        <f>'Пр.4.1 ведом.23-24 '!G366</f>
        <v>25</v>
      </c>
      <c r="G759" s="311">
        <f>'Пр.4.1 ведом.23-24 '!H366</f>
        <v>25</v>
      </c>
    </row>
    <row r="760" spans="1:7" ht="36.75" customHeight="1" x14ac:dyDescent="0.25">
      <c r="A760" s="315" t="s">
        <v>858</v>
      </c>
      <c r="B760" s="316" t="s">
        <v>187</v>
      </c>
      <c r="C760" s="316" t="s">
        <v>187</v>
      </c>
      <c r="D760" s="316" t="s">
        <v>237</v>
      </c>
      <c r="E760" s="316"/>
      <c r="F760" s="310">
        <f t="shared" ref="F760:G763" si="126">F761</f>
        <v>7678.5</v>
      </c>
      <c r="G760" s="310">
        <f t="shared" si="126"/>
        <v>7849.6</v>
      </c>
    </row>
    <row r="761" spans="1:7" ht="31.5" x14ac:dyDescent="0.25">
      <c r="A761" s="315" t="s">
        <v>511</v>
      </c>
      <c r="B761" s="316" t="s">
        <v>187</v>
      </c>
      <c r="C761" s="316" t="s">
        <v>187</v>
      </c>
      <c r="D761" s="316" t="s">
        <v>772</v>
      </c>
      <c r="E761" s="316"/>
      <c r="F761" s="310">
        <f t="shared" si="126"/>
        <v>7678.5</v>
      </c>
      <c r="G761" s="310">
        <f t="shared" si="126"/>
        <v>7849.6</v>
      </c>
    </row>
    <row r="762" spans="1:7" ht="42" customHeight="1" x14ac:dyDescent="0.25">
      <c r="A762" s="24" t="s">
        <v>617</v>
      </c>
      <c r="B762" s="365" t="s">
        <v>187</v>
      </c>
      <c r="C762" s="365" t="s">
        <v>187</v>
      </c>
      <c r="D762" s="365" t="s">
        <v>789</v>
      </c>
      <c r="E762" s="365"/>
      <c r="F762" s="311">
        <f t="shared" si="126"/>
        <v>7678.5</v>
      </c>
      <c r="G762" s="311">
        <f t="shared" si="126"/>
        <v>7849.6</v>
      </c>
    </row>
    <row r="763" spans="1:7" ht="35.450000000000003" customHeight="1" x14ac:dyDescent="0.25">
      <c r="A763" s="364" t="s">
        <v>191</v>
      </c>
      <c r="B763" s="365" t="s">
        <v>187</v>
      </c>
      <c r="C763" s="365" t="s">
        <v>187</v>
      </c>
      <c r="D763" s="365" t="s">
        <v>789</v>
      </c>
      <c r="E763" s="365" t="s">
        <v>192</v>
      </c>
      <c r="F763" s="311">
        <f t="shared" si="126"/>
        <v>7678.5</v>
      </c>
      <c r="G763" s="311">
        <f t="shared" si="126"/>
        <v>7849.6</v>
      </c>
    </row>
    <row r="764" spans="1:7" ht="15.75" x14ac:dyDescent="0.25">
      <c r="A764" s="364" t="s">
        <v>193</v>
      </c>
      <c r="B764" s="365" t="s">
        <v>187</v>
      </c>
      <c r="C764" s="365" t="s">
        <v>187</v>
      </c>
      <c r="D764" s="365" t="s">
        <v>789</v>
      </c>
      <c r="E764" s="365" t="s">
        <v>194</v>
      </c>
      <c r="F764" s="311">
        <f>'Пр.4.1 ведом.23-24 '!G806</f>
        <v>7678.5</v>
      </c>
      <c r="G764" s="311">
        <f>'Пр.4.1 ведом.23-24 '!H806</f>
        <v>7849.6</v>
      </c>
    </row>
    <row r="765" spans="1:7" ht="15" customHeight="1" x14ac:dyDescent="0.25">
      <c r="A765" s="315" t="s">
        <v>201</v>
      </c>
      <c r="B765" s="316" t="s">
        <v>187</v>
      </c>
      <c r="C765" s="316" t="s">
        <v>161</v>
      </c>
      <c r="D765" s="316"/>
      <c r="E765" s="316"/>
      <c r="F765" s="310">
        <f>F766+F783</f>
        <v>22178.25</v>
      </c>
      <c r="G765" s="310">
        <f>G766+G783</f>
        <v>22339.95</v>
      </c>
    </row>
    <row r="766" spans="1:7" ht="31.5" x14ac:dyDescent="0.25">
      <c r="A766" s="315" t="s">
        <v>488</v>
      </c>
      <c r="B766" s="316" t="s">
        <v>187</v>
      </c>
      <c r="C766" s="316" t="s">
        <v>161</v>
      </c>
      <c r="D766" s="316" t="s">
        <v>434</v>
      </c>
      <c r="E766" s="316"/>
      <c r="F766" s="310">
        <f>F767</f>
        <v>21678.25</v>
      </c>
      <c r="G766" s="310">
        <f>G767</f>
        <v>21839.95</v>
      </c>
    </row>
    <row r="767" spans="1:7" ht="15.75" x14ac:dyDescent="0.25">
      <c r="A767" s="315" t="s">
        <v>489</v>
      </c>
      <c r="B767" s="316" t="s">
        <v>187</v>
      </c>
      <c r="C767" s="316" t="s">
        <v>161</v>
      </c>
      <c r="D767" s="316" t="s">
        <v>435</v>
      </c>
      <c r="E767" s="316"/>
      <c r="F767" s="310">
        <f>F768+F780+F773</f>
        <v>21678.25</v>
      </c>
      <c r="G767" s="310">
        <f>G768+G780+G773</f>
        <v>21839.95</v>
      </c>
    </row>
    <row r="768" spans="1:7" ht="31.5" x14ac:dyDescent="0.25">
      <c r="A768" s="364" t="s">
        <v>468</v>
      </c>
      <c r="B768" s="365" t="s">
        <v>187</v>
      </c>
      <c r="C768" s="365" t="s">
        <v>161</v>
      </c>
      <c r="D768" s="365" t="s">
        <v>436</v>
      </c>
      <c r="E768" s="365"/>
      <c r="F768" s="311">
        <f>F769+F771</f>
        <v>6215.4</v>
      </c>
      <c r="G768" s="311">
        <f>G769+G771</f>
        <v>6334.1</v>
      </c>
    </row>
    <row r="769" spans="1:7" ht="78.75" x14ac:dyDescent="0.25">
      <c r="A769" s="364" t="s">
        <v>119</v>
      </c>
      <c r="B769" s="365" t="s">
        <v>187</v>
      </c>
      <c r="C769" s="365" t="s">
        <v>161</v>
      </c>
      <c r="D769" s="365" t="s">
        <v>436</v>
      </c>
      <c r="E769" s="365" t="s">
        <v>120</v>
      </c>
      <c r="F769" s="311">
        <f>F770</f>
        <v>5965.4</v>
      </c>
      <c r="G769" s="311">
        <f>G770</f>
        <v>6084.1</v>
      </c>
    </row>
    <row r="770" spans="1:7" ht="36.75" customHeight="1" x14ac:dyDescent="0.25">
      <c r="A770" s="364" t="s">
        <v>121</v>
      </c>
      <c r="B770" s="365" t="s">
        <v>187</v>
      </c>
      <c r="C770" s="365" t="s">
        <v>161</v>
      </c>
      <c r="D770" s="365" t="s">
        <v>436</v>
      </c>
      <c r="E770" s="365" t="s">
        <v>122</v>
      </c>
      <c r="F770" s="311">
        <f>'Пр.4.1 ведом.23-24 '!G812</f>
        <v>5965.4</v>
      </c>
      <c r="G770" s="311">
        <f>'Пр.4.1 ведом.23-24 '!H812</f>
        <v>6084.1</v>
      </c>
    </row>
    <row r="771" spans="1:7" ht="31.5" x14ac:dyDescent="0.25">
      <c r="A771" s="364" t="s">
        <v>123</v>
      </c>
      <c r="B771" s="365" t="s">
        <v>187</v>
      </c>
      <c r="C771" s="365" t="s">
        <v>161</v>
      </c>
      <c r="D771" s="365" t="s">
        <v>436</v>
      </c>
      <c r="E771" s="365" t="s">
        <v>124</v>
      </c>
      <c r="F771" s="311">
        <f>F772</f>
        <v>250</v>
      </c>
      <c r="G771" s="311">
        <f>G772</f>
        <v>250</v>
      </c>
    </row>
    <row r="772" spans="1:7" ht="31.5" x14ac:dyDescent="0.25">
      <c r="A772" s="364" t="s">
        <v>125</v>
      </c>
      <c r="B772" s="365" t="s">
        <v>187</v>
      </c>
      <c r="C772" s="365" t="s">
        <v>161</v>
      </c>
      <c r="D772" s="365" t="s">
        <v>436</v>
      </c>
      <c r="E772" s="365" t="s">
        <v>126</v>
      </c>
      <c r="F772" s="311">
        <f>'Пр.4.1 ведом.23-24 '!G814</f>
        <v>250</v>
      </c>
      <c r="G772" s="311">
        <f>'Пр.4.1 ведом.23-24 '!H814</f>
        <v>250</v>
      </c>
    </row>
    <row r="773" spans="1:7" ht="31.5" x14ac:dyDescent="0.25">
      <c r="A773" s="364" t="s">
        <v>417</v>
      </c>
      <c r="B773" s="365" t="s">
        <v>187</v>
      </c>
      <c r="C773" s="365" t="s">
        <v>161</v>
      </c>
      <c r="D773" s="365" t="s">
        <v>437</v>
      </c>
      <c r="E773" s="365"/>
      <c r="F773" s="311">
        <f>F774+F776+F778</f>
        <v>14987.85</v>
      </c>
      <c r="G773" s="311">
        <f>G774+G776+G778</f>
        <v>14987.85</v>
      </c>
    </row>
    <row r="774" spans="1:7" ht="78.75" x14ac:dyDescent="0.25">
      <c r="A774" s="364" t="s">
        <v>119</v>
      </c>
      <c r="B774" s="365" t="s">
        <v>187</v>
      </c>
      <c r="C774" s="365" t="s">
        <v>161</v>
      </c>
      <c r="D774" s="365" t="s">
        <v>437</v>
      </c>
      <c r="E774" s="365" t="s">
        <v>120</v>
      </c>
      <c r="F774" s="311">
        <f>F775</f>
        <v>13536.2</v>
      </c>
      <c r="G774" s="311">
        <f>G775</f>
        <v>13536.2</v>
      </c>
    </row>
    <row r="775" spans="1:7" ht="31.5" x14ac:dyDescent="0.25">
      <c r="A775" s="364" t="s">
        <v>121</v>
      </c>
      <c r="B775" s="365" t="s">
        <v>187</v>
      </c>
      <c r="C775" s="365" t="s">
        <v>161</v>
      </c>
      <c r="D775" s="365" t="s">
        <v>437</v>
      </c>
      <c r="E775" s="365" t="s">
        <v>122</v>
      </c>
      <c r="F775" s="311">
        <f>'Пр.4.1 ведом.23-24 '!G817</f>
        <v>13536.2</v>
      </c>
      <c r="G775" s="311">
        <f>'Пр.4.1 ведом.23-24 '!H817</f>
        <v>13536.2</v>
      </c>
    </row>
    <row r="776" spans="1:7" ht="31.5" x14ac:dyDescent="0.25">
      <c r="A776" s="364" t="s">
        <v>123</v>
      </c>
      <c r="B776" s="365" t="s">
        <v>187</v>
      </c>
      <c r="C776" s="365" t="s">
        <v>161</v>
      </c>
      <c r="D776" s="365" t="s">
        <v>437</v>
      </c>
      <c r="E776" s="365" t="s">
        <v>124</v>
      </c>
      <c r="F776" s="311">
        <f>F777</f>
        <v>1437.65</v>
      </c>
      <c r="G776" s="311">
        <f>G777</f>
        <v>1437.65</v>
      </c>
    </row>
    <row r="777" spans="1:7" ht="31.5" x14ac:dyDescent="0.25">
      <c r="A777" s="364" t="s">
        <v>125</v>
      </c>
      <c r="B777" s="365" t="s">
        <v>187</v>
      </c>
      <c r="C777" s="365" t="s">
        <v>161</v>
      </c>
      <c r="D777" s="365" t="s">
        <v>437</v>
      </c>
      <c r="E777" s="365" t="s">
        <v>126</v>
      </c>
      <c r="F777" s="311">
        <f>'Пр.4.1 ведом.23-24 '!G819</f>
        <v>1437.65</v>
      </c>
      <c r="G777" s="311">
        <f>'Пр.4.1 ведом.23-24 '!H819</f>
        <v>1437.65</v>
      </c>
    </row>
    <row r="778" spans="1:7" ht="15.75" x14ac:dyDescent="0.25">
      <c r="A778" s="364" t="s">
        <v>127</v>
      </c>
      <c r="B778" s="365" t="s">
        <v>187</v>
      </c>
      <c r="C778" s="365" t="s">
        <v>161</v>
      </c>
      <c r="D778" s="365" t="s">
        <v>437</v>
      </c>
      <c r="E778" s="365" t="s">
        <v>134</v>
      </c>
      <c r="F778" s="311">
        <f>F779</f>
        <v>14</v>
      </c>
      <c r="G778" s="311">
        <f>G779</f>
        <v>14</v>
      </c>
    </row>
    <row r="779" spans="1:7" ht="15.75" x14ac:dyDescent="0.25">
      <c r="A779" s="364" t="s">
        <v>280</v>
      </c>
      <c r="B779" s="365" t="s">
        <v>187</v>
      </c>
      <c r="C779" s="365" t="s">
        <v>161</v>
      </c>
      <c r="D779" s="365" t="s">
        <v>437</v>
      </c>
      <c r="E779" s="365" t="s">
        <v>130</v>
      </c>
      <c r="F779" s="311">
        <f>'Пр.4.1 ведом.23-24 '!G821</f>
        <v>14</v>
      </c>
      <c r="G779" s="311">
        <f>'Пр.4.1 ведом.23-24 '!H821</f>
        <v>14</v>
      </c>
    </row>
    <row r="780" spans="1:7" ht="47.25" x14ac:dyDescent="0.25">
      <c r="A780" s="364" t="s">
        <v>416</v>
      </c>
      <c r="B780" s="365" t="s">
        <v>187</v>
      </c>
      <c r="C780" s="365" t="s">
        <v>161</v>
      </c>
      <c r="D780" s="365" t="s">
        <v>438</v>
      </c>
      <c r="E780" s="365"/>
      <c r="F780" s="311">
        <f>F781</f>
        <v>475</v>
      </c>
      <c r="G780" s="311">
        <f>G781</f>
        <v>518</v>
      </c>
    </row>
    <row r="781" spans="1:7" ht="78.75" x14ac:dyDescent="0.25">
      <c r="A781" s="364" t="s">
        <v>119</v>
      </c>
      <c r="B781" s="365" t="s">
        <v>187</v>
      </c>
      <c r="C781" s="365" t="s">
        <v>161</v>
      </c>
      <c r="D781" s="365" t="s">
        <v>438</v>
      </c>
      <c r="E781" s="365" t="s">
        <v>120</v>
      </c>
      <c r="F781" s="311">
        <f>F782</f>
        <v>475</v>
      </c>
      <c r="G781" s="311">
        <f>G782</f>
        <v>518</v>
      </c>
    </row>
    <row r="782" spans="1:7" ht="31.5" x14ac:dyDescent="0.25">
      <c r="A782" s="364" t="s">
        <v>121</v>
      </c>
      <c r="B782" s="365" t="s">
        <v>187</v>
      </c>
      <c r="C782" s="365" t="s">
        <v>161</v>
      </c>
      <c r="D782" s="365" t="s">
        <v>438</v>
      </c>
      <c r="E782" s="365" t="s">
        <v>122</v>
      </c>
      <c r="F782" s="311">
        <f>'Пр.4.1 ведом.23-24 '!G824</f>
        <v>475</v>
      </c>
      <c r="G782" s="311">
        <f>'Пр.4.1 ведом.23-24 '!H824</f>
        <v>518</v>
      </c>
    </row>
    <row r="783" spans="1:7" ht="15.75" x14ac:dyDescent="0.25">
      <c r="A783" s="315" t="s">
        <v>133</v>
      </c>
      <c r="B783" s="316" t="s">
        <v>187</v>
      </c>
      <c r="C783" s="316" t="s">
        <v>161</v>
      </c>
      <c r="D783" s="316" t="s">
        <v>442</v>
      </c>
      <c r="E783" s="316"/>
      <c r="F783" s="310">
        <f>F784+F793</f>
        <v>500</v>
      </c>
      <c r="G783" s="310">
        <f>G784+G793</f>
        <v>500</v>
      </c>
    </row>
    <row r="784" spans="1:7" ht="31.5" x14ac:dyDescent="0.25">
      <c r="A784" s="315" t="s">
        <v>446</v>
      </c>
      <c r="B784" s="316" t="s">
        <v>187</v>
      </c>
      <c r="C784" s="316" t="s">
        <v>161</v>
      </c>
      <c r="D784" s="316" t="s">
        <v>441</v>
      </c>
      <c r="E784" s="316"/>
      <c r="F784" s="310">
        <f>F788+F785</f>
        <v>500</v>
      </c>
      <c r="G784" s="310">
        <f>G788+G785</f>
        <v>500</v>
      </c>
    </row>
    <row r="785" spans="1:7" ht="47.25" hidden="1" x14ac:dyDescent="0.25">
      <c r="A785" s="24" t="s">
        <v>1057</v>
      </c>
      <c r="B785" s="365" t="s">
        <v>187</v>
      </c>
      <c r="C785" s="365" t="s">
        <v>161</v>
      </c>
      <c r="D785" s="365" t="s">
        <v>1056</v>
      </c>
      <c r="E785" s="365"/>
      <c r="F785" s="311">
        <f>F786</f>
        <v>0</v>
      </c>
      <c r="G785" s="311">
        <f>G786</f>
        <v>0</v>
      </c>
    </row>
    <row r="786" spans="1:7" ht="31.5" hidden="1" x14ac:dyDescent="0.25">
      <c r="A786" s="364" t="s">
        <v>123</v>
      </c>
      <c r="B786" s="365" t="s">
        <v>187</v>
      </c>
      <c r="C786" s="365" t="s">
        <v>161</v>
      </c>
      <c r="D786" s="365" t="s">
        <v>1056</v>
      </c>
      <c r="E786" s="365" t="s">
        <v>124</v>
      </c>
      <c r="F786" s="311">
        <f>F787</f>
        <v>0</v>
      </c>
      <c r="G786" s="311">
        <f>G787</f>
        <v>0</v>
      </c>
    </row>
    <row r="787" spans="1:7" ht="31.5" hidden="1" x14ac:dyDescent="0.25">
      <c r="A787" s="364" t="s">
        <v>125</v>
      </c>
      <c r="B787" s="365" t="s">
        <v>187</v>
      </c>
      <c r="C787" s="365" t="s">
        <v>161</v>
      </c>
      <c r="D787" s="365" t="s">
        <v>1056</v>
      </c>
      <c r="E787" s="365" t="s">
        <v>126</v>
      </c>
      <c r="F787" s="311">
        <f>'Пр.4 ведом.22'!G370</f>
        <v>0</v>
      </c>
      <c r="G787" s="311">
        <f>'Пр.4 ведом.22'!H370</f>
        <v>0</v>
      </c>
    </row>
    <row r="788" spans="1:7" ht="15.75" x14ac:dyDescent="0.25">
      <c r="A788" s="364" t="s">
        <v>247</v>
      </c>
      <c r="B788" s="365" t="s">
        <v>187</v>
      </c>
      <c r="C788" s="365" t="s">
        <v>161</v>
      </c>
      <c r="D788" s="365" t="s">
        <v>512</v>
      </c>
      <c r="E788" s="365"/>
      <c r="F788" s="311">
        <f>F789+F791</f>
        <v>500</v>
      </c>
      <c r="G788" s="311">
        <f>G789+G791</f>
        <v>500</v>
      </c>
    </row>
    <row r="789" spans="1:7" ht="78.75" hidden="1" x14ac:dyDescent="0.25">
      <c r="A789" s="364" t="s">
        <v>119</v>
      </c>
      <c r="B789" s="365" t="s">
        <v>187</v>
      </c>
      <c r="C789" s="365" t="s">
        <v>161</v>
      </c>
      <c r="D789" s="365" t="s">
        <v>512</v>
      </c>
      <c r="E789" s="365" t="s">
        <v>120</v>
      </c>
      <c r="F789" s="311">
        <f>F790</f>
        <v>0</v>
      </c>
      <c r="G789" s="311">
        <f>G790</f>
        <v>0</v>
      </c>
    </row>
    <row r="790" spans="1:7" ht="31.5" hidden="1" x14ac:dyDescent="0.25">
      <c r="A790" s="364" t="s">
        <v>212</v>
      </c>
      <c r="B790" s="365" t="s">
        <v>187</v>
      </c>
      <c r="C790" s="365" t="s">
        <v>161</v>
      </c>
      <c r="D790" s="365" t="s">
        <v>512</v>
      </c>
      <c r="E790" s="365" t="s">
        <v>156</v>
      </c>
      <c r="F790" s="311">
        <f>'Пр.4 ведом.22'!G829</f>
        <v>0</v>
      </c>
      <c r="G790" s="311">
        <f>'Пр.4 ведом.22'!H829</f>
        <v>0</v>
      </c>
    </row>
    <row r="791" spans="1:7" ht="31.5" x14ac:dyDescent="0.25">
      <c r="A791" s="364" t="s">
        <v>123</v>
      </c>
      <c r="B791" s="365" t="s">
        <v>187</v>
      </c>
      <c r="C791" s="365" t="s">
        <v>161</v>
      </c>
      <c r="D791" s="365" t="s">
        <v>512</v>
      </c>
      <c r="E791" s="365" t="s">
        <v>124</v>
      </c>
      <c r="F791" s="311">
        <f>F792</f>
        <v>500</v>
      </c>
      <c r="G791" s="311">
        <f>G792</f>
        <v>500</v>
      </c>
    </row>
    <row r="792" spans="1:7" ht="39.75" customHeight="1" x14ac:dyDescent="0.25">
      <c r="A792" s="364" t="s">
        <v>125</v>
      </c>
      <c r="B792" s="365" t="s">
        <v>187</v>
      </c>
      <c r="C792" s="365" t="s">
        <v>161</v>
      </c>
      <c r="D792" s="365" t="s">
        <v>512</v>
      </c>
      <c r="E792" s="365" t="s">
        <v>126</v>
      </c>
      <c r="F792" s="311">
        <f>'Пр.4.1 ведом.23-24 '!G831</f>
        <v>500</v>
      </c>
      <c r="G792" s="311">
        <f>'Пр.4.1 ведом.23-24 '!H831</f>
        <v>500</v>
      </c>
    </row>
    <row r="793" spans="1:7" ht="36.75" hidden="1" customHeight="1" x14ac:dyDescent="0.25">
      <c r="A793" s="315" t="s">
        <v>500</v>
      </c>
      <c r="B793" s="316" t="s">
        <v>187</v>
      </c>
      <c r="C793" s="316" t="s">
        <v>161</v>
      </c>
      <c r="D793" s="316" t="s">
        <v>485</v>
      </c>
      <c r="E793" s="316"/>
      <c r="F793" s="310">
        <f>F794+F801</f>
        <v>0</v>
      </c>
      <c r="G793" s="310">
        <f>G794+G801</f>
        <v>0</v>
      </c>
    </row>
    <row r="794" spans="1:7" ht="31.5" hidden="1" x14ac:dyDescent="0.25">
      <c r="A794" s="364" t="s">
        <v>474</v>
      </c>
      <c r="B794" s="365" t="s">
        <v>187</v>
      </c>
      <c r="C794" s="365" t="s">
        <v>161</v>
      </c>
      <c r="D794" s="365" t="s">
        <v>486</v>
      </c>
      <c r="E794" s="365"/>
      <c r="F794" s="255">
        <f>F795+F797+F799</f>
        <v>0</v>
      </c>
      <c r="G794" s="255">
        <f>G795+G797+G799</f>
        <v>0</v>
      </c>
    </row>
    <row r="795" spans="1:7" ht="78.75" hidden="1" x14ac:dyDescent="0.25">
      <c r="A795" s="364" t="s">
        <v>119</v>
      </c>
      <c r="B795" s="365" t="s">
        <v>187</v>
      </c>
      <c r="C795" s="365" t="s">
        <v>161</v>
      </c>
      <c r="D795" s="365" t="s">
        <v>486</v>
      </c>
      <c r="E795" s="365" t="s">
        <v>120</v>
      </c>
      <c r="F795" s="255">
        <f>F796</f>
        <v>0</v>
      </c>
      <c r="G795" s="255">
        <f>G796</f>
        <v>0</v>
      </c>
    </row>
    <row r="796" spans="1:7" ht="24" hidden="1" customHeight="1" x14ac:dyDescent="0.25">
      <c r="A796" s="364" t="s">
        <v>212</v>
      </c>
      <c r="B796" s="365" t="s">
        <v>187</v>
      </c>
      <c r="C796" s="365" t="s">
        <v>161</v>
      </c>
      <c r="D796" s="365" t="s">
        <v>486</v>
      </c>
      <c r="E796" s="365" t="s">
        <v>156</v>
      </c>
      <c r="F796" s="311">
        <f>'Пр.4.1 ведом.23-24 '!G835</f>
        <v>0</v>
      </c>
      <c r="G796" s="311">
        <f>'Пр.4.1 ведом.23-24 '!H835</f>
        <v>0</v>
      </c>
    </row>
    <row r="797" spans="1:7" ht="31.5" hidden="1" x14ac:dyDescent="0.25">
      <c r="A797" s="364" t="s">
        <v>123</v>
      </c>
      <c r="B797" s="365" t="s">
        <v>187</v>
      </c>
      <c r="C797" s="365" t="s">
        <v>161</v>
      </c>
      <c r="D797" s="365" t="s">
        <v>486</v>
      </c>
      <c r="E797" s="365" t="s">
        <v>124</v>
      </c>
      <c r="F797" s="311">
        <f>F798</f>
        <v>0</v>
      </c>
      <c r="G797" s="311">
        <f>G798</f>
        <v>0</v>
      </c>
    </row>
    <row r="798" spans="1:7" ht="31.7" hidden="1" customHeight="1" x14ac:dyDescent="0.25">
      <c r="A798" s="364" t="s">
        <v>125</v>
      </c>
      <c r="B798" s="365" t="s">
        <v>187</v>
      </c>
      <c r="C798" s="365" t="s">
        <v>161</v>
      </c>
      <c r="D798" s="365" t="s">
        <v>486</v>
      </c>
      <c r="E798" s="365" t="s">
        <v>126</v>
      </c>
      <c r="F798" s="311">
        <f>'Пр.4.1 ведом.23-24 '!G837</f>
        <v>0</v>
      </c>
      <c r="G798" s="311">
        <f>'Пр.4.1 ведом.23-24 '!H837</f>
        <v>0</v>
      </c>
    </row>
    <row r="799" spans="1:7" ht="22.7" hidden="1" customHeight="1" x14ac:dyDescent="0.25">
      <c r="A799" s="364" t="s">
        <v>127</v>
      </c>
      <c r="B799" s="365" t="s">
        <v>187</v>
      </c>
      <c r="C799" s="365" t="s">
        <v>161</v>
      </c>
      <c r="D799" s="365" t="s">
        <v>486</v>
      </c>
      <c r="E799" s="365" t="s">
        <v>134</v>
      </c>
      <c r="F799" s="311">
        <f t="shared" ref="F799:G799" si="127">F800</f>
        <v>0</v>
      </c>
      <c r="G799" s="311">
        <f t="shared" si="127"/>
        <v>0</v>
      </c>
    </row>
    <row r="800" spans="1:7" ht="15.75" hidden="1" customHeight="1" x14ac:dyDescent="0.25">
      <c r="A800" s="364" t="s">
        <v>280</v>
      </c>
      <c r="B800" s="365" t="s">
        <v>187</v>
      </c>
      <c r="C800" s="365" t="s">
        <v>161</v>
      </c>
      <c r="D800" s="365" t="s">
        <v>486</v>
      </c>
      <c r="E800" s="365" t="s">
        <v>130</v>
      </c>
      <c r="F800" s="311">
        <f>'Пр.4.1 ведом.23-24 '!G839</f>
        <v>0</v>
      </c>
      <c r="G800" s="311">
        <f>'Пр.4.1 ведом.23-24 '!H839</f>
        <v>0</v>
      </c>
    </row>
    <row r="801" spans="1:12" ht="47.25" hidden="1" customHeight="1" x14ac:dyDescent="0.25">
      <c r="A801" s="364" t="s">
        <v>416</v>
      </c>
      <c r="B801" s="365" t="s">
        <v>187</v>
      </c>
      <c r="C801" s="365" t="s">
        <v>161</v>
      </c>
      <c r="D801" s="365" t="s">
        <v>487</v>
      </c>
      <c r="E801" s="365"/>
      <c r="F801" s="311">
        <f>F802</f>
        <v>0</v>
      </c>
      <c r="G801" s="311">
        <f>G802</f>
        <v>0</v>
      </c>
    </row>
    <row r="802" spans="1:12" ht="78.75" hidden="1" x14ac:dyDescent="0.25">
      <c r="A802" s="364" t="s">
        <v>119</v>
      </c>
      <c r="B802" s="365" t="s">
        <v>187</v>
      </c>
      <c r="C802" s="365" t="s">
        <v>161</v>
      </c>
      <c r="D802" s="365" t="s">
        <v>487</v>
      </c>
      <c r="E802" s="365" t="s">
        <v>120</v>
      </c>
      <c r="F802" s="311">
        <f>F803</f>
        <v>0</v>
      </c>
      <c r="G802" s="311">
        <f>G803</f>
        <v>0</v>
      </c>
    </row>
    <row r="803" spans="1:12" ht="31.5" hidden="1" x14ac:dyDescent="0.25">
      <c r="A803" s="364" t="s">
        <v>121</v>
      </c>
      <c r="B803" s="365" t="s">
        <v>187</v>
      </c>
      <c r="C803" s="365" t="s">
        <v>161</v>
      </c>
      <c r="D803" s="365" t="s">
        <v>487</v>
      </c>
      <c r="E803" s="365" t="s">
        <v>122</v>
      </c>
      <c r="F803" s="311">
        <f>'Пр.4.1 ведом.23-24 '!G842</f>
        <v>0</v>
      </c>
      <c r="G803" s="311">
        <f>'Пр.4.1 ведом.23-24 '!H842</f>
        <v>0</v>
      </c>
    </row>
    <row r="804" spans="1:12" ht="15.75" x14ac:dyDescent="0.25">
      <c r="A804" s="359" t="s">
        <v>202</v>
      </c>
      <c r="B804" s="7" t="s">
        <v>203</v>
      </c>
      <c r="C804" s="7"/>
      <c r="D804" s="7"/>
      <c r="E804" s="7"/>
      <c r="F804" s="310">
        <f>F805+F887</f>
        <v>82217.399999999994</v>
      </c>
      <c r="G804" s="310">
        <f>G805+G887</f>
        <v>82221.299999999988</v>
      </c>
      <c r="H804" s="74"/>
      <c r="K804" s="154">
        <f>F804-F837-'Пр.4 ведом.22'!L1216-'Пр.4 ведом.22'!N1216-'Пр.4 ведом.22'!J1226-'Пр.4 ведом.22'!T1226</f>
        <v>79732.399999999994</v>
      </c>
      <c r="L804" s="156">
        <f>F818+F837+F851-'Пр.4 ведом.22'!L1215-'Пр.4 ведом.22'!N1215-'Пр.4 ведом.22'!J1225-'Пр.4 ведом.22'!T1225</f>
        <v>2488.5</v>
      </c>
    </row>
    <row r="805" spans="1:12" ht="15.75" x14ac:dyDescent="0.25">
      <c r="A805" s="359" t="s">
        <v>204</v>
      </c>
      <c r="B805" s="7" t="s">
        <v>203</v>
      </c>
      <c r="C805" s="7" t="s">
        <v>116</v>
      </c>
      <c r="D805" s="7"/>
      <c r="E805" s="7"/>
      <c r="F805" s="310">
        <f>F806+F871+F879</f>
        <v>60054.7</v>
      </c>
      <c r="G805" s="310">
        <f>G806+G871+G879</f>
        <v>60054.7</v>
      </c>
      <c r="H805" s="74"/>
      <c r="I805" s="74"/>
      <c r="J805" s="74"/>
    </row>
    <row r="806" spans="1:12" ht="34.5" customHeight="1" x14ac:dyDescent="0.25">
      <c r="A806" s="315" t="s">
        <v>854</v>
      </c>
      <c r="B806" s="316" t="s">
        <v>203</v>
      </c>
      <c r="C806" s="316" t="s">
        <v>116</v>
      </c>
      <c r="D806" s="316" t="s">
        <v>189</v>
      </c>
      <c r="E806" s="316"/>
      <c r="F806" s="310">
        <f>F807+F821+F830+F837+F846+F850+F861</f>
        <v>59166</v>
      </c>
      <c r="G806" s="310">
        <f>G807+G821+G830+G837+G846+G850+G861</f>
        <v>59166</v>
      </c>
      <c r="H806" s="126"/>
    </row>
    <row r="807" spans="1:12" ht="34.5" customHeight="1" x14ac:dyDescent="0.25">
      <c r="A807" s="315" t="s">
        <v>814</v>
      </c>
      <c r="B807" s="316" t="s">
        <v>203</v>
      </c>
      <c r="C807" s="316" t="s">
        <v>116</v>
      </c>
      <c r="D807" s="316" t="s">
        <v>743</v>
      </c>
      <c r="E807" s="316"/>
      <c r="F807" s="310">
        <f>F811+F818+F808</f>
        <v>55444.5</v>
      </c>
      <c r="G807" s="310">
        <f>G811+G818+G808</f>
        <v>55444.5</v>
      </c>
    </row>
    <row r="808" spans="1:12" ht="31.5" x14ac:dyDescent="0.25">
      <c r="A808" s="399" t="s">
        <v>205</v>
      </c>
      <c r="B808" s="365" t="s">
        <v>203</v>
      </c>
      <c r="C808" s="365" t="s">
        <v>116</v>
      </c>
      <c r="D808" s="402" t="s">
        <v>1192</v>
      </c>
      <c r="E808" s="365"/>
      <c r="F808" s="311">
        <f>F809</f>
        <v>30184.6</v>
      </c>
      <c r="G808" s="311">
        <f>G809</f>
        <v>30184.6</v>
      </c>
    </row>
    <row r="809" spans="1:12" ht="31.5" x14ac:dyDescent="0.25">
      <c r="A809" s="399" t="s">
        <v>191</v>
      </c>
      <c r="B809" s="365" t="s">
        <v>203</v>
      </c>
      <c r="C809" s="365" t="s">
        <v>116</v>
      </c>
      <c r="D809" s="402" t="s">
        <v>1192</v>
      </c>
      <c r="E809" s="365" t="s">
        <v>192</v>
      </c>
      <c r="F809" s="311">
        <f>F810</f>
        <v>30184.6</v>
      </c>
      <c r="G809" s="311">
        <f>G810</f>
        <v>30184.6</v>
      </c>
    </row>
    <row r="810" spans="1:12" ht="15.75" x14ac:dyDescent="0.25">
      <c r="A810" s="364" t="s">
        <v>193</v>
      </c>
      <c r="B810" s="365" t="s">
        <v>203</v>
      </c>
      <c r="C810" s="365" t="s">
        <v>116</v>
      </c>
      <c r="D810" s="402" t="s">
        <v>1192</v>
      </c>
      <c r="E810" s="365" t="s">
        <v>194</v>
      </c>
      <c r="F810" s="311">
        <f>'Пр.4.1 ведом.23-24 '!G378</f>
        <v>30184.6</v>
      </c>
      <c r="G810" s="311">
        <f>'Пр.4.1 ведом.23-24 '!H378</f>
        <v>30184.6</v>
      </c>
    </row>
    <row r="811" spans="1:12" ht="15.75" x14ac:dyDescent="0.25">
      <c r="A811" s="364" t="s">
        <v>378</v>
      </c>
      <c r="B811" s="365" t="s">
        <v>203</v>
      </c>
      <c r="C811" s="365" t="s">
        <v>116</v>
      </c>
      <c r="D811" s="365" t="s">
        <v>744</v>
      </c>
      <c r="E811" s="365"/>
      <c r="F811" s="311">
        <f>F812+F814+F816</f>
        <v>25259.9</v>
      </c>
      <c r="G811" s="311">
        <f>G812+G814+G816</f>
        <v>25259.9</v>
      </c>
    </row>
    <row r="812" spans="1:12" ht="78.75" x14ac:dyDescent="0.25">
      <c r="A812" s="364" t="s">
        <v>119</v>
      </c>
      <c r="B812" s="365" t="s">
        <v>203</v>
      </c>
      <c r="C812" s="365" t="s">
        <v>116</v>
      </c>
      <c r="D812" s="365" t="s">
        <v>744</v>
      </c>
      <c r="E812" s="365" t="s">
        <v>120</v>
      </c>
      <c r="F812" s="311">
        <f>F813</f>
        <v>21278</v>
      </c>
      <c r="G812" s="311">
        <f>G813</f>
        <v>21278</v>
      </c>
    </row>
    <row r="813" spans="1:12" ht="15.75" x14ac:dyDescent="0.25">
      <c r="A813" s="364" t="s">
        <v>155</v>
      </c>
      <c r="B813" s="365" t="s">
        <v>203</v>
      </c>
      <c r="C813" s="365" t="s">
        <v>116</v>
      </c>
      <c r="D813" s="365" t="s">
        <v>744</v>
      </c>
      <c r="E813" s="365" t="s">
        <v>156</v>
      </c>
      <c r="F813" s="311">
        <f>'Пр.4.1 ведом.23-24 '!G381</f>
        <v>21278</v>
      </c>
      <c r="G813" s="311">
        <f>'Пр.4.1 ведом.23-24 '!H381</f>
        <v>21278</v>
      </c>
    </row>
    <row r="814" spans="1:12" ht="31.5" x14ac:dyDescent="0.25">
      <c r="A814" s="364" t="s">
        <v>123</v>
      </c>
      <c r="B814" s="365" t="s">
        <v>203</v>
      </c>
      <c r="C814" s="365" t="s">
        <v>116</v>
      </c>
      <c r="D814" s="365" t="s">
        <v>744</v>
      </c>
      <c r="E814" s="365" t="s">
        <v>124</v>
      </c>
      <c r="F814" s="311">
        <f>F815</f>
        <v>3955.8999999999996</v>
      </c>
      <c r="G814" s="311">
        <f>G815</f>
        <v>3955.8999999999996</v>
      </c>
      <c r="L814" s="16"/>
    </row>
    <row r="815" spans="1:12" ht="31.5" x14ac:dyDescent="0.25">
      <c r="A815" s="364" t="s">
        <v>125</v>
      </c>
      <c r="B815" s="365" t="s">
        <v>203</v>
      </c>
      <c r="C815" s="365" t="s">
        <v>116</v>
      </c>
      <c r="D815" s="365" t="s">
        <v>744</v>
      </c>
      <c r="E815" s="365" t="s">
        <v>126</v>
      </c>
      <c r="F815" s="311">
        <f>'Пр.4.1 ведом.23-24 '!G383</f>
        <v>3955.8999999999996</v>
      </c>
      <c r="G815" s="311">
        <f>'Пр.4.1 ведом.23-24 '!H383</f>
        <v>3955.8999999999996</v>
      </c>
    </row>
    <row r="816" spans="1:12" ht="15.75" x14ac:dyDescent="0.25">
      <c r="A816" s="364" t="s">
        <v>127</v>
      </c>
      <c r="B816" s="365" t="s">
        <v>203</v>
      </c>
      <c r="C816" s="365" t="s">
        <v>116</v>
      </c>
      <c r="D816" s="365" t="s">
        <v>744</v>
      </c>
      <c r="E816" s="365" t="s">
        <v>134</v>
      </c>
      <c r="F816" s="311">
        <f t="shared" ref="F816:G816" si="128">F817</f>
        <v>26</v>
      </c>
      <c r="G816" s="311">
        <f t="shared" si="128"/>
        <v>26</v>
      </c>
    </row>
    <row r="817" spans="1:7" ht="15.75" x14ac:dyDescent="0.25">
      <c r="A817" s="364" t="s">
        <v>280</v>
      </c>
      <c r="B817" s="365" t="s">
        <v>203</v>
      </c>
      <c r="C817" s="365" t="s">
        <v>116</v>
      </c>
      <c r="D817" s="365" t="s">
        <v>744</v>
      </c>
      <c r="E817" s="365" t="s">
        <v>130</v>
      </c>
      <c r="F817" s="311">
        <f>'Пр.4.1 ведом.23-24 '!G385</f>
        <v>26</v>
      </c>
      <c r="G817" s="311">
        <f>'Пр.4.1 ведом.23-24 '!H385</f>
        <v>26</v>
      </c>
    </row>
    <row r="818" spans="1:7" ht="29.85" hidden="1" customHeight="1" x14ac:dyDescent="0.25">
      <c r="A818" s="24" t="s">
        <v>968</v>
      </c>
      <c r="B818" s="365" t="s">
        <v>203</v>
      </c>
      <c r="C818" s="365" t="s">
        <v>116</v>
      </c>
      <c r="D818" s="365" t="s">
        <v>962</v>
      </c>
      <c r="E818" s="365"/>
      <c r="F818" s="311">
        <f>F819</f>
        <v>0</v>
      </c>
      <c r="G818" s="311">
        <f>G819</f>
        <v>0</v>
      </c>
    </row>
    <row r="819" spans="1:7" ht="78.75" hidden="1" x14ac:dyDescent="0.25">
      <c r="A819" s="364" t="s">
        <v>119</v>
      </c>
      <c r="B819" s="365" t="s">
        <v>203</v>
      </c>
      <c r="C819" s="365" t="s">
        <v>116</v>
      </c>
      <c r="D819" s="365" t="s">
        <v>962</v>
      </c>
      <c r="E819" s="365" t="s">
        <v>120</v>
      </c>
      <c r="F819" s="311">
        <f>F820</f>
        <v>0</v>
      </c>
      <c r="G819" s="311">
        <f>G820</f>
        <v>0</v>
      </c>
    </row>
    <row r="820" spans="1:7" ht="15.75" hidden="1" x14ac:dyDescent="0.25">
      <c r="A820" s="364" t="s">
        <v>155</v>
      </c>
      <c r="B820" s="365" t="s">
        <v>203</v>
      </c>
      <c r="C820" s="365" t="s">
        <v>116</v>
      </c>
      <c r="D820" s="365" t="s">
        <v>962</v>
      </c>
      <c r="E820" s="365" t="s">
        <v>156</v>
      </c>
      <c r="F820" s="311">
        <f>'Пр.4 ведом.22'!G387</f>
        <v>0</v>
      </c>
      <c r="G820" s="311">
        <f>'Пр.4 ведом.22'!H387</f>
        <v>0</v>
      </c>
    </row>
    <row r="821" spans="1:7" ht="31.5" x14ac:dyDescent="0.25">
      <c r="A821" s="143" t="s">
        <v>816</v>
      </c>
      <c r="B821" s="316" t="s">
        <v>203</v>
      </c>
      <c r="C821" s="316" t="s">
        <v>116</v>
      </c>
      <c r="D821" s="316" t="s">
        <v>745</v>
      </c>
      <c r="E821" s="316"/>
      <c r="F821" s="310">
        <f>F822+F827</f>
        <v>280</v>
      </c>
      <c r="G821" s="310">
        <f>G822+G827</f>
        <v>280</v>
      </c>
    </row>
    <row r="822" spans="1:7" ht="31.5" hidden="1" x14ac:dyDescent="0.25">
      <c r="A822" s="24" t="s">
        <v>394</v>
      </c>
      <c r="B822" s="365" t="s">
        <v>203</v>
      </c>
      <c r="C822" s="365" t="s">
        <v>116</v>
      </c>
      <c r="D822" s="365" t="s">
        <v>747</v>
      </c>
      <c r="E822" s="365"/>
      <c r="F822" s="311">
        <f>F823+F825</f>
        <v>0</v>
      </c>
      <c r="G822" s="311">
        <f>G823+G825</f>
        <v>0</v>
      </c>
    </row>
    <row r="823" spans="1:7" ht="78.75" hidden="1" x14ac:dyDescent="0.25">
      <c r="A823" s="364" t="s">
        <v>119</v>
      </c>
      <c r="B823" s="365" t="s">
        <v>203</v>
      </c>
      <c r="C823" s="365" t="s">
        <v>116</v>
      </c>
      <c r="D823" s="365" t="s">
        <v>747</v>
      </c>
      <c r="E823" s="365" t="s">
        <v>120</v>
      </c>
      <c r="F823" s="311">
        <f>F824</f>
        <v>0</v>
      </c>
      <c r="G823" s="311">
        <f>G824</f>
        <v>0</v>
      </c>
    </row>
    <row r="824" spans="1:7" ht="15.75" hidden="1" x14ac:dyDescent="0.25">
      <c r="A824" s="364" t="s">
        <v>155</v>
      </c>
      <c r="B824" s="365" t="s">
        <v>203</v>
      </c>
      <c r="C824" s="365" t="s">
        <v>116</v>
      </c>
      <c r="D824" s="365" t="s">
        <v>747</v>
      </c>
      <c r="E824" s="365" t="s">
        <v>156</v>
      </c>
      <c r="F824" s="311">
        <f>'Пр.4.1 ведом.23-24 '!G392</f>
        <v>0</v>
      </c>
      <c r="G824" s="311">
        <f>'Пр.4.1 ведом.23-24 '!H392</f>
        <v>0</v>
      </c>
    </row>
    <row r="825" spans="1:7" ht="31.5" hidden="1" x14ac:dyDescent="0.25">
      <c r="A825" s="364" t="s">
        <v>123</v>
      </c>
      <c r="B825" s="365" t="s">
        <v>203</v>
      </c>
      <c r="C825" s="365" t="s">
        <v>116</v>
      </c>
      <c r="D825" s="365" t="s">
        <v>747</v>
      </c>
      <c r="E825" s="365" t="s">
        <v>124</v>
      </c>
      <c r="F825" s="311">
        <f>F826</f>
        <v>0</v>
      </c>
      <c r="G825" s="311">
        <f>G826</f>
        <v>0</v>
      </c>
    </row>
    <row r="826" spans="1:7" ht="31.5" hidden="1" x14ac:dyDescent="0.25">
      <c r="A826" s="364" t="s">
        <v>125</v>
      </c>
      <c r="B826" s="365" t="s">
        <v>203</v>
      </c>
      <c r="C826" s="365" t="s">
        <v>116</v>
      </c>
      <c r="D826" s="365" t="s">
        <v>747</v>
      </c>
      <c r="E826" s="365" t="s">
        <v>126</v>
      </c>
      <c r="F826" s="311">
        <f>'Пр.4 ведом.22'!G393</f>
        <v>0</v>
      </c>
      <c r="G826" s="311">
        <f>'Пр.4 ведом.22'!H393</f>
        <v>0</v>
      </c>
    </row>
    <row r="827" spans="1:7" ht="31.5" x14ac:dyDescent="0.25">
      <c r="A827" s="364" t="s">
        <v>1193</v>
      </c>
      <c r="B827" s="365" t="s">
        <v>203</v>
      </c>
      <c r="C827" s="365" t="s">
        <v>116</v>
      </c>
      <c r="D827" s="402" t="s">
        <v>1194</v>
      </c>
      <c r="E827" s="365"/>
      <c r="F827" s="311">
        <f>F828</f>
        <v>280</v>
      </c>
      <c r="G827" s="311">
        <f>G828</f>
        <v>280</v>
      </c>
    </row>
    <row r="828" spans="1:7" ht="31.5" x14ac:dyDescent="0.25">
      <c r="A828" s="364" t="s">
        <v>191</v>
      </c>
      <c r="B828" s="365" t="s">
        <v>203</v>
      </c>
      <c r="C828" s="365" t="s">
        <v>116</v>
      </c>
      <c r="D828" s="402" t="s">
        <v>1194</v>
      </c>
      <c r="E828" s="365" t="s">
        <v>192</v>
      </c>
      <c r="F828" s="311">
        <f>F829</f>
        <v>280</v>
      </c>
      <c r="G828" s="311">
        <f>G829</f>
        <v>280</v>
      </c>
    </row>
    <row r="829" spans="1:7" ht="15.75" x14ac:dyDescent="0.25">
      <c r="A829" s="364" t="s">
        <v>193</v>
      </c>
      <c r="B829" s="365" t="s">
        <v>203</v>
      </c>
      <c r="C829" s="365" t="s">
        <v>116</v>
      </c>
      <c r="D829" s="402" t="s">
        <v>1194</v>
      </c>
      <c r="E829" s="365" t="s">
        <v>194</v>
      </c>
      <c r="F829" s="311">
        <f>'Пр.4.1 ведом.23-24 '!G397</f>
        <v>280</v>
      </c>
      <c r="G829" s="311">
        <f>'Пр.4.1 ведом.23-24 '!H397</f>
        <v>280</v>
      </c>
    </row>
    <row r="830" spans="1:7" ht="31.5" x14ac:dyDescent="0.25">
      <c r="A830" s="315" t="s">
        <v>514</v>
      </c>
      <c r="B830" s="316" t="s">
        <v>203</v>
      </c>
      <c r="C830" s="316" t="s">
        <v>116</v>
      </c>
      <c r="D830" s="316" t="s">
        <v>748</v>
      </c>
      <c r="E830" s="316"/>
      <c r="F830" s="310">
        <f>F831+F834</f>
        <v>903</v>
      </c>
      <c r="G830" s="310">
        <f>G831+G834</f>
        <v>903</v>
      </c>
    </row>
    <row r="831" spans="1:7" ht="47.25" x14ac:dyDescent="0.25">
      <c r="A831" s="364" t="s">
        <v>416</v>
      </c>
      <c r="B831" s="365" t="s">
        <v>203</v>
      </c>
      <c r="C831" s="365" t="s">
        <v>116</v>
      </c>
      <c r="D831" s="365" t="s">
        <v>749</v>
      </c>
      <c r="E831" s="365"/>
      <c r="F831" s="311">
        <f t="shared" ref="F831:G832" si="129">F832</f>
        <v>473</v>
      </c>
      <c r="G831" s="311">
        <f t="shared" si="129"/>
        <v>473</v>
      </c>
    </row>
    <row r="832" spans="1:7" ht="78.75" x14ac:dyDescent="0.25">
      <c r="A832" s="364" t="s">
        <v>119</v>
      </c>
      <c r="B832" s="365" t="s">
        <v>203</v>
      </c>
      <c r="C832" s="365" t="s">
        <v>116</v>
      </c>
      <c r="D832" s="365" t="s">
        <v>749</v>
      </c>
      <c r="E832" s="365" t="s">
        <v>120</v>
      </c>
      <c r="F832" s="311">
        <f t="shared" si="129"/>
        <v>473</v>
      </c>
      <c r="G832" s="311">
        <f t="shared" si="129"/>
        <v>473</v>
      </c>
    </row>
    <row r="833" spans="1:7" ht="31.5" x14ac:dyDescent="0.25">
      <c r="A833" s="364" t="s">
        <v>121</v>
      </c>
      <c r="B833" s="365" t="s">
        <v>203</v>
      </c>
      <c r="C833" s="365" t="s">
        <v>116</v>
      </c>
      <c r="D833" s="365" t="s">
        <v>749</v>
      </c>
      <c r="E833" s="365" t="s">
        <v>156</v>
      </c>
      <c r="F833" s="311">
        <f>'Пр.4.1 ведом.23-24 '!G401</f>
        <v>473</v>
      </c>
      <c r="G833" s="311">
        <f>'Пр.4.1 ведом.23-24 '!H401</f>
        <v>473</v>
      </c>
    </row>
    <row r="834" spans="1:7" ht="31.5" x14ac:dyDescent="0.25">
      <c r="A834" s="399" t="s">
        <v>344</v>
      </c>
      <c r="B834" s="365" t="s">
        <v>203</v>
      </c>
      <c r="C834" s="365" t="s">
        <v>116</v>
      </c>
      <c r="D834" s="402" t="s">
        <v>1195</v>
      </c>
      <c r="E834" s="365"/>
      <c r="F834" s="311">
        <f>F835</f>
        <v>430</v>
      </c>
      <c r="G834" s="311">
        <f>G835</f>
        <v>430</v>
      </c>
    </row>
    <row r="835" spans="1:7" ht="31.5" x14ac:dyDescent="0.25">
      <c r="A835" s="399" t="s">
        <v>191</v>
      </c>
      <c r="B835" s="365" t="s">
        <v>203</v>
      </c>
      <c r="C835" s="365" t="s">
        <v>116</v>
      </c>
      <c r="D835" s="402" t="s">
        <v>1195</v>
      </c>
      <c r="E835" s="365" t="s">
        <v>192</v>
      </c>
      <c r="F835" s="311">
        <f>F836</f>
        <v>430</v>
      </c>
      <c r="G835" s="311">
        <f>G836</f>
        <v>430</v>
      </c>
    </row>
    <row r="836" spans="1:7" ht="15.75" x14ac:dyDescent="0.25">
      <c r="A836" s="364" t="s">
        <v>193</v>
      </c>
      <c r="B836" s="365" t="s">
        <v>203</v>
      </c>
      <c r="C836" s="365" t="s">
        <v>116</v>
      </c>
      <c r="D836" s="402" t="s">
        <v>1195</v>
      </c>
      <c r="E836" s="365" t="s">
        <v>194</v>
      </c>
      <c r="F836" s="311">
        <f>'Пр.4.1 ведом.23-24 '!G404</f>
        <v>430</v>
      </c>
      <c r="G836" s="311">
        <f>'Пр.4.1 ведом.23-24 '!H404</f>
        <v>430</v>
      </c>
    </row>
    <row r="837" spans="1:7" ht="47.25" x14ac:dyDescent="0.25">
      <c r="A837" s="144" t="s">
        <v>471</v>
      </c>
      <c r="B837" s="316" t="s">
        <v>203</v>
      </c>
      <c r="C837" s="316" t="s">
        <v>116</v>
      </c>
      <c r="D837" s="316" t="s">
        <v>750</v>
      </c>
      <c r="E837" s="316"/>
      <c r="F837" s="310">
        <f>F838+F843</f>
        <v>2485</v>
      </c>
      <c r="G837" s="310">
        <f>G838+G843</f>
        <v>2485</v>
      </c>
    </row>
    <row r="838" spans="1:7" ht="94.5" x14ac:dyDescent="0.25">
      <c r="A838" s="24" t="s">
        <v>200</v>
      </c>
      <c r="B838" s="365" t="s">
        <v>203</v>
      </c>
      <c r="C838" s="365" t="s">
        <v>116</v>
      </c>
      <c r="D838" s="365" t="s">
        <v>897</v>
      </c>
      <c r="E838" s="365"/>
      <c r="F838" s="311">
        <f>F839+F841</f>
        <v>2100.5</v>
      </c>
      <c r="G838" s="311">
        <f>G839+G841</f>
        <v>2100.5</v>
      </c>
    </row>
    <row r="839" spans="1:7" ht="78.75" x14ac:dyDescent="0.25">
      <c r="A839" s="364" t="s">
        <v>119</v>
      </c>
      <c r="B839" s="365" t="s">
        <v>203</v>
      </c>
      <c r="C839" s="365" t="s">
        <v>116</v>
      </c>
      <c r="D839" s="365" t="s">
        <v>897</v>
      </c>
      <c r="E839" s="365" t="s">
        <v>120</v>
      </c>
      <c r="F839" s="311">
        <f>F840</f>
        <v>1204.3</v>
      </c>
      <c r="G839" s="311">
        <f>G840</f>
        <v>1204.3</v>
      </c>
    </row>
    <row r="840" spans="1:7" ht="15.75" x14ac:dyDescent="0.25">
      <c r="A840" s="364" t="s">
        <v>155</v>
      </c>
      <c r="B840" s="365" t="s">
        <v>203</v>
      </c>
      <c r="C840" s="365" t="s">
        <v>116</v>
      </c>
      <c r="D840" s="365" t="s">
        <v>897</v>
      </c>
      <c r="E840" s="365" t="s">
        <v>156</v>
      </c>
      <c r="F840" s="311">
        <f>'Пр.4.1 ведом.23-24 '!G408</f>
        <v>1204.3</v>
      </c>
      <c r="G840" s="311">
        <f>'Пр.4.1 ведом.23-24 '!H408</f>
        <v>1204.3</v>
      </c>
    </row>
    <row r="841" spans="1:7" ht="31.5" x14ac:dyDescent="0.25">
      <c r="A841" s="364" t="s">
        <v>191</v>
      </c>
      <c r="B841" s="365" t="s">
        <v>203</v>
      </c>
      <c r="C841" s="365" t="s">
        <v>116</v>
      </c>
      <c r="D841" s="365" t="s">
        <v>897</v>
      </c>
      <c r="E841" s="365" t="s">
        <v>192</v>
      </c>
      <c r="F841" s="311">
        <f>F842</f>
        <v>896.19999999999993</v>
      </c>
      <c r="G841" s="311">
        <f>G842</f>
        <v>896.19999999999993</v>
      </c>
    </row>
    <row r="842" spans="1:7" ht="15.75" x14ac:dyDescent="0.25">
      <c r="A842" s="364" t="s">
        <v>193</v>
      </c>
      <c r="B842" s="365" t="s">
        <v>203</v>
      </c>
      <c r="C842" s="365" t="s">
        <v>116</v>
      </c>
      <c r="D842" s="365" t="s">
        <v>897</v>
      </c>
      <c r="E842" s="365" t="s">
        <v>194</v>
      </c>
      <c r="F842" s="311">
        <f>'Пр.4.1 ведом.23-24 '!G410</f>
        <v>896.19999999999993</v>
      </c>
      <c r="G842" s="311">
        <f>'Пр.4.1 ведом.23-24 '!H410</f>
        <v>896.19999999999993</v>
      </c>
    </row>
    <row r="843" spans="1:7" ht="78.75" x14ac:dyDescent="0.25">
      <c r="A843" s="364" t="s">
        <v>207</v>
      </c>
      <c r="B843" s="365" t="s">
        <v>203</v>
      </c>
      <c r="C843" s="365" t="s">
        <v>116</v>
      </c>
      <c r="D843" s="365" t="s">
        <v>808</v>
      </c>
      <c r="E843" s="365"/>
      <c r="F843" s="318">
        <f>F844</f>
        <v>384.5</v>
      </c>
      <c r="G843" s="318">
        <f>G844</f>
        <v>384.5</v>
      </c>
    </row>
    <row r="844" spans="1:7" ht="78.75" x14ac:dyDescent="0.25">
      <c r="A844" s="364" t="s">
        <v>119</v>
      </c>
      <c r="B844" s="365" t="s">
        <v>203</v>
      </c>
      <c r="C844" s="365" t="s">
        <v>116</v>
      </c>
      <c r="D844" s="365" t="s">
        <v>808</v>
      </c>
      <c r="E844" s="365" t="s">
        <v>120</v>
      </c>
      <c r="F844" s="318">
        <f>F845</f>
        <v>384.5</v>
      </c>
      <c r="G844" s="318">
        <f>G845</f>
        <v>384.5</v>
      </c>
    </row>
    <row r="845" spans="1:7" ht="15.75" x14ac:dyDescent="0.25">
      <c r="A845" s="364" t="s">
        <v>155</v>
      </c>
      <c r="B845" s="365" t="s">
        <v>203</v>
      </c>
      <c r="C845" s="365" t="s">
        <v>116</v>
      </c>
      <c r="D845" s="365" t="s">
        <v>808</v>
      </c>
      <c r="E845" s="365" t="s">
        <v>156</v>
      </c>
      <c r="F845" s="318">
        <f>'Пр.4.1 ведом.23-24 '!G413</f>
        <v>384.5</v>
      </c>
      <c r="G845" s="318">
        <f>'Пр.4.1 ведом.23-24 '!H413</f>
        <v>384.5</v>
      </c>
    </row>
    <row r="846" spans="1:7" ht="31.5" x14ac:dyDescent="0.25">
      <c r="A846" s="315" t="s">
        <v>473</v>
      </c>
      <c r="B846" s="316" t="s">
        <v>203</v>
      </c>
      <c r="C846" s="316" t="s">
        <v>116</v>
      </c>
      <c r="D846" s="316" t="s">
        <v>753</v>
      </c>
      <c r="E846" s="316"/>
      <c r="F846" s="310">
        <f t="shared" ref="F846:G848" si="130">F847</f>
        <v>50</v>
      </c>
      <c r="G846" s="310">
        <f t="shared" si="130"/>
        <v>50</v>
      </c>
    </row>
    <row r="847" spans="1:7" ht="31.5" x14ac:dyDescent="0.25">
      <c r="A847" s="364" t="s">
        <v>399</v>
      </c>
      <c r="B847" s="365" t="s">
        <v>203</v>
      </c>
      <c r="C847" s="365" t="s">
        <v>116</v>
      </c>
      <c r="D847" s="365" t="s">
        <v>754</v>
      </c>
      <c r="E847" s="365"/>
      <c r="F847" s="311">
        <f t="shared" si="130"/>
        <v>50</v>
      </c>
      <c r="G847" s="311">
        <f t="shared" si="130"/>
        <v>50</v>
      </c>
    </row>
    <row r="848" spans="1:7" ht="31.5" x14ac:dyDescent="0.25">
      <c r="A848" s="364" t="s">
        <v>123</v>
      </c>
      <c r="B848" s="365" t="s">
        <v>203</v>
      </c>
      <c r="C848" s="365" t="s">
        <v>116</v>
      </c>
      <c r="D848" s="365" t="s">
        <v>754</v>
      </c>
      <c r="E848" s="365" t="s">
        <v>124</v>
      </c>
      <c r="F848" s="311">
        <f t="shared" si="130"/>
        <v>50</v>
      </c>
      <c r="G848" s="311">
        <f t="shared" si="130"/>
        <v>50</v>
      </c>
    </row>
    <row r="849" spans="1:7" ht="31.5" x14ac:dyDescent="0.25">
      <c r="A849" s="364" t="s">
        <v>125</v>
      </c>
      <c r="B849" s="365" t="s">
        <v>203</v>
      </c>
      <c r="C849" s="365" t="s">
        <v>116</v>
      </c>
      <c r="D849" s="365" t="s">
        <v>754</v>
      </c>
      <c r="E849" s="365" t="s">
        <v>126</v>
      </c>
      <c r="F849" s="311">
        <f>'Пр.4.1 ведом.23-24 '!G417</f>
        <v>50</v>
      </c>
      <c r="G849" s="311">
        <f>'Пр.4.1 ведом.23-24 '!H417</f>
        <v>50</v>
      </c>
    </row>
    <row r="850" spans="1:7" ht="31.5" x14ac:dyDescent="0.25">
      <c r="A850" s="315" t="s">
        <v>573</v>
      </c>
      <c r="B850" s="316" t="s">
        <v>203</v>
      </c>
      <c r="C850" s="316" t="s">
        <v>116</v>
      </c>
      <c r="D850" s="316" t="s">
        <v>755</v>
      </c>
      <c r="E850" s="316"/>
      <c r="F850" s="310">
        <f>F851+F854</f>
        <v>3.5</v>
      </c>
      <c r="G850" s="310">
        <f>G851</f>
        <v>3.5</v>
      </c>
    </row>
    <row r="851" spans="1:7" ht="31.5" x14ac:dyDescent="0.25">
      <c r="A851" s="364" t="s">
        <v>963</v>
      </c>
      <c r="B851" s="365" t="s">
        <v>203</v>
      </c>
      <c r="C851" s="365" t="s">
        <v>116</v>
      </c>
      <c r="D851" s="365" t="s">
        <v>756</v>
      </c>
      <c r="E851" s="365"/>
      <c r="F851" s="311">
        <f>F852</f>
        <v>3.5</v>
      </c>
      <c r="G851" s="311">
        <f>G852</f>
        <v>3.5</v>
      </c>
    </row>
    <row r="852" spans="1:7" ht="31.5" x14ac:dyDescent="0.25">
      <c r="A852" s="364" t="s">
        <v>123</v>
      </c>
      <c r="B852" s="365" t="s">
        <v>203</v>
      </c>
      <c r="C852" s="365" t="s">
        <v>116</v>
      </c>
      <c r="D852" s="365" t="s">
        <v>756</v>
      </c>
      <c r="E852" s="365" t="s">
        <v>124</v>
      </c>
      <c r="F852" s="311">
        <f>F853</f>
        <v>3.5</v>
      </c>
      <c r="G852" s="311">
        <f>G853</f>
        <v>3.5</v>
      </c>
    </row>
    <row r="853" spans="1:7" ht="31.5" x14ac:dyDescent="0.25">
      <c r="A853" s="364" t="s">
        <v>125</v>
      </c>
      <c r="B853" s="365" t="s">
        <v>203</v>
      </c>
      <c r="C853" s="365" t="s">
        <v>116</v>
      </c>
      <c r="D853" s="365" t="s">
        <v>756</v>
      </c>
      <c r="E853" s="365" t="s">
        <v>126</v>
      </c>
      <c r="F853" s="311">
        <f>'Пр.4.1 ведом.23-24 '!G421</f>
        <v>3.5</v>
      </c>
      <c r="G853" s="311">
        <f>'Пр.4.1 ведом.23-24 '!H421</f>
        <v>3.5</v>
      </c>
    </row>
    <row r="854" spans="1:7" ht="31.5" hidden="1" x14ac:dyDescent="0.25">
      <c r="A854" s="364" t="s">
        <v>1137</v>
      </c>
      <c r="B854" s="365" t="s">
        <v>203</v>
      </c>
      <c r="C854" s="365" t="s">
        <v>116</v>
      </c>
      <c r="D854" s="365" t="s">
        <v>1138</v>
      </c>
      <c r="E854" s="365"/>
      <c r="F854" s="311">
        <f>F855</f>
        <v>0</v>
      </c>
      <c r="G854" s="311" t="str">
        <f>G855</f>
        <v>(-1,35)</v>
      </c>
    </row>
    <row r="855" spans="1:7" ht="31.5" hidden="1" x14ac:dyDescent="0.25">
      <c r="A855" s="364" t="s">
        <v>123</v>
      </c>
      <c r="B855" s="365" t="s">
        <v>203</v>
      </c>
      <c r="C855" s="365" t="s">
        <v>116</v>
      </c>
      <c r="D855" s="365" t="s">
        <v>1138</v>
      </c>
      <c r="E855" s="365" t="s">
        <v>124</v>
      </c>
      <c r="F855" s="311">
        <f>F856</f>
        <v>0</v>
      </c>
      <c r="G855" s="311" t="str">
        <f>G856</f>
        <v>(-1,35)</v>
      </c>
    </row>
    <row r="856" spans="1:7" ht="31.5" hidden="1" x14ac:dyDescent="0.25">
      <c r="A856" s="364" t="s">
        <v>125</v>
      </c>
      <c r="B856" s="365" t="s">
        <v>203</v>
      </c>
      <c r="C856" s="365" t="s">
        <v>116</v>
      </c>
      <c r="D856" s="365" t="s">
        <v>1138</v>
      </c>
      <c r="E856" s="365" t="s">
        <v>126</v>
      </c>
      <c r="F856" s="311">
        <f>'Пр.4.1 ведом.23-24 '!G424</f>
        <v>0</v>
      </c>
      <c r="G856" s="311" t="str">
        <f>'Пр.4 ведом.22'!H423</f>
        <v>(-1,35)</v>
      </c>
    </row>
    <row r="857" spans="1:7" ht="31.5" hidden="1" x14ac:dyDescent="0.25">
      <c r="A857" s="26" t="s">
        <v>1039</v>
      </c>
      <c r="B857" s="316" t="s">
        <v>203</v>
      </c>
      <c r="C857" s="316" t="s">
        <v>116</v>
      </c>
      <c r="D857" s="316" t="s">
        <v>1041</v>
      </c>
      <c r="E857" s="316"/>
      <c r="F857" s="310">
        <f t="shared" ref="F857:G859" si="131">F858</f>
        <v>0</v>
      </c>
      <c r="G857" s="310">
        <f t="shared" si="131"/>
        <v>0</v>
      </c>
    </row>
    <row r="858" spans="1:7" ht="63" hidden="1" x14ac:dyDescent="0.25">
      <c r="A858" s="24" t="s">
        <v>1040</v>
      </c>
      <c r="B858" s="365" t="s">
        <v>203</v>
      </c>
      <c r="C858" s="365" t="s">
        <v>116</v>
      </c>
      <c r="D858" s="365" t="s">
        <v>1042</v>
      </c>
      <c r="E858" s="365"/>
      <c r="F858" s="311">
        <f t="shared" si="131"/>
        <v>0</v>
      </c>
      <c r="G858" s="311">
        <f t="shared" si="131"/>
        <v>0</v>
      </c>
    </row>
    <row r="859" spans="1:7" ht="31.5" hidden="1" x14ac:dyDescent="0.25">
      <c r="A859" s="364" t="s">
        <v>123</v>
      </c>
      <c r="B859" s="365" t="s">
        <v>203</v>
      </c>
      <c r="C859" s="365" t="s">
        <v>116</v>
      </c>
      <c r="D859" s="365" t="s">
        <v>1042</v>
      </c>
      <c r="E859" s="365" t="s">
        <v>124</v>
      </c>
      <c r="F859" s="311">
        <f t="shared" si="131"/>
        <v>0</v>
      </c>
      <c r="G859" s="311">
        <f t="shared" si="131"/>
        <v>0</v>
      </c>
    </row>
    <row r="860" spans="1:7" ht="31.5" hidden="1" x14ac:dyDescent="0.25">
      <c r="A860" s="364" t="s">
        <v>125</v>
      </c>
      <c r="B860" s="365" t="s">
        <v>203</v>
      </c>
      <c r="C860" s="365" t="s">
        <v>116</v>
      </c>
      <c r="D860" s="365" t="s">
        <v>1042</v>
      </c>
      <c r="E860" s="365" t="s">
        <v>126</v>
      </c>
      <c r="F860" s="311">
        <f>'Пр.4 ведом.22'!G427</f>
        <v>0</v>
      </c>
      <c r="G860" s="311">
        <f>'Пр.4 ведом.22'!H427</f>
        <v>0</v>
      </c>
    </row>
    <row r="861" spans="1:7" ht="31.5" hidden="1" x14ac:dyDescent="0.25">
      <c r="A861" s="358" t="s">
        <v>725</v>
      </c>
      <c r="B861" s="316" t="s">
        <v>203</v>
      </c>
      <c r="C861" s="316" t="s">
        <v>116</v>
      </c>
      <c r="D861" s="316" t="s">
        <v>751</v>
      </c>
      <c r="E861" s="316"/>
      <c r="F861" s="314">
        <f>F865+F868+F862</f>
        <v>0</v>
      </c>
      <c r="G861" s="314">
        <f>G865+G868+G862</f>
        <v>0</v>
      </c>
    </row>
    <row r="862" spans="1:7" ht="47.25" hidden="1" x14ac:dyDescent="0.25">
      <c r="A862" s="354" t="s">
        <v>1103</v>
      </c>
      <c r="B862" s="365" t="s">
        <v>203</v>
      </c>
      <c r="C862" s="365" t="s">
        <v>116</v>
      </c>
      <c r="D862" s="365" t="s">
        <v>1102</v>
      </c>
      <c r="E862" s="365"/>
      <c r="F862" s="318">
        <f>F863</f>
        <v>0</v>
      </c>
      <c r="G862" s="318">
        <f>G863</f>
        <v>0</v>
      </c>
    </row>
    <row r="863" spans="1:7" ht="31.5" hidden="1" x14ac:dyDescent="0.25">
      <c r="A863" s="364" t="s">
        <v>123</v>
      </c>
      <c r="B863" s="365" t="s">
        <v>203</v>
      </c>
      <c r="C863" s="365" t="s">
        <v>116</v>
      </c>
      <c r="D863" s="365" t="s">
        <v>1102</v>
      </c>
      <c r="E863" s="365" t="s">
        <v>124</v>
      </c>
      <c r="F863" s="318">
        <f>F864</f>
        <v>0</v>
      </c>
      <c r="G863" s="318">
        <f>G864</f>
        <v>0</v>
      </c>
    </row>
    <row r="864" spans="1:7" ht="31.5" hidden="1" x14ac:dyDescent="0.25">
      <c r="A864" s="364" t="s">
        <v>125</v>
      </c>
      <c r="B864" s="365" t="s">
        <v>203</v>
      </c>
      <c r="C864" s="365" t="s">
        <v>116</v>
      </c>
      <c r="D864" s="365" t="s">
        <v>1102</v>
      </c>
      <c r="E864" s="365" t="s">
        <v>126</v>
      </c>
      <c r="F864" s="318">
        <f>'Пр.4 ведом.22'!G431</f>
        <v>0</v>
      </c>
      <c r="G864" s="318">
        <f>'Пр.4 ведом.22'!H431</f>
        <v>0</v>
      </c>
    </row>
    <row r="865" spans="1:8" ht="15.75" hidden="1" x14ac:dyDescent="0.25">
      <c r="A865" s="361" t="s">
        <v>1134</v>
      </c>
      <c r="B865" s="365" t="s">
        <v>203</v>
      </c>
      <c r="C865" s="365" t="s">
        <v>116</v>
      </c>
      <c r="D865" s="365" t="s">
        <v>1135</v>
      </c>
      <c r="E865" s="316"/>
      <c r="F865" s="318">
        <f>F866</f>
        <v>0</v>
      </c>
      <c r="G865" s="318">
        <f>G866</f>
        <v>0</v>
      </c>
    </row>
    <row r="866" spans="1:8" ht="31.5" hidden="1" x14ac:dyDescent="0.25">
      <c r="A866" s="364" t="s">
        <v>123</v>
      </c>
      <c r="B866" s="365" t="s">
        <v>203</v>
      </c>
      <c r="C866" s="365" t="s">
        <v>116</v>
      </c>
      <c r="D866" s="365" t="s">
        <v>1135</v>
      </c>
      <c r="E866" s="365" t="s">
        <v>124</v>
      </c>
      <c r="F866" s="318">
        <f>F867</f>
        <v>0</v>
      </c>
      <c r="G866" s="318">
        <f>G867</f>
        <v>0</v>
      </c>
    </row>
    <row r="867" spans="1:8" ht="31.5" hidden="1" x14ac:dyDescent="0.25">
      <c r="A867" s="364" t="s">
        <v>125</v>
      </c>
      <c r="B867" s="365" t="s">
        <v>203</v>
      </c>
      <c r="C867" s="365" t="s">
        <v>116</v>
      </c>
      <c r="D867" s="365" t="s">
        <v>1135</v>
      </c>
      <c r="E867" s="365" t="s">
        <v>126</v>
      </c>
      <c r="F867" s="318">
        <f>'Пр.4.1 ведом.23-24 '!G435</f>
        <v>0</v>
      </c>
      <c r="G867" s="318">
        <f>'Пр.4.1 ведом.23-24 '!H435</f>
        <v>0</v>
      </c>
    </row>
    <row r="868" spans="1:8" ht="15.75" hidden="1" x14ac:dyDescent="0.25">
      <c r="A868" s="70" t="s">
        <v>727</v>
      </c>
      <c r="B868" s="365" t="s">
        <v>203</v>
      </c>
      <c r="C868" s="365" t="s">
        <v>116</v>
      </c>
      <c r="D868" s="365" t="s">
        <v>752</v>
      </c>
      <c r="E868" s="365"/>
      <c r="F868" s="318">
        <f t="shared" ref="F868:G868" si="132">F869</f>
        <v>0</v>
      </c>
      <c r="G868" s="318">
        <f t="shared" si="132"/>
        <v>0</v>
      </c>
    </row>
    <row r="869" spans="1:8" ht="31.5" hidden="1" x14ac:dyDescent="0.25">
      <c r="A869" s="364" t="s">
        <v>123</v>
      </c>
      <c r="B869" s="365" t="s">
        <v>203</v>
      </c>
      <c r="C869" s="365" t="s">
        <v>116</v>
      </c>
      <c r="D869" s="365" t="s">
        <v>752</v>
      </c>
      <c r="E869" s="365" t="s">
        <v>124</v>
      </c>
      <c r="F869" s="318">
        <f>F870</f>
        <v>0</v>
      </c>
      <c r="G869" s="318">
        <f>G870</f>
        <v>0</v>
      </c>
    </row>
    <row r="870" spans="1:8" ht="31.5" hidden="1" x14ac:dyDescent="0.25">
      <c r="A870" s="364" t="s">
        <v>125</v>
      </c>
      <c r="B870" s="365" t="s">
        <v>203</v>
      </c>
      <c r="C870" s="365" t="s">
        <v>116</v>
      </c>
      <c r="D870" s="365" t="s">
        <v>752</v>
      </c>
      <c r="E870" s="365" t="s">
        <v>126</v>
      </c>
      <c r="F870" s="318">
        <f>'Пр.4.1 ведом.23-24 '!G438</f>
        <v>0</v>
      </c>
      <c r="G870" s="318">
        <f>'Пр.4.1 ведом.23-24 '!H438</f>
        <v>0</v>
      </c>
    </row>
    <row r="871" spans="1:8" ht="47.25" x14ac:dyDescent="0.25">
      <c r="A871" s="26" t="s">
        <v>859</v>
      </c>
      <c r="B871" s="316" t="s">
        <v>203</v>
      </c>
      <c r="C871" s="316" t="s">
        <v>116</v>
      </c>
      <c r="D871" s="316" t="s">
        <v>206</v>
      </c>
      <c r="E871" s="316"/>
      <c r="F871" s="257">
        <f t="shared" ref="F871:G874" si="133">F872</f>
        <v>10</v>
      </c>
      <c r="G871" s="257">
        <f t="shared" si="133"/>
        <v>10</v>
      </c>
    </row>
    <row r="872" spans="1:8" ht="63" x14ac:dyDescent="0.25">
      <c r="A872" s="26" t="s">
        <v>588</v>
      </c>
      <c r="B872" s="316" t="s">
        <v>203</v>
      </c>
      <c r="C872" s="316" t="s">
        <v>116</v>
      </c>
      <c r="D872" s="316" t="s">
        <v>504</v>
      </c>
      <c r="E872" s="316"/>
      <c r="F872" s="310">
        <f>F873+F876</f>
        <v>10</v>
      </c>
      <c r="G872" s="310">
        <f>G873+G876</f>
        <v>10</v>
      </c>
      <c r="H872" s="74"/>
    </row>
    <row r="873" spans="1:8" ht="47.25" x14ac:dyDescent="0.25">
      <c r="A873" s="24" t="s">
        <v>633</v>
      </c>
      <c r="B873" s="365" t="s">
        <v>203</v>
      </c>
      <c r="C873" s="365" t="s">
        <v>116</v>
      </c>
      <c r="D873" s="365" t="s">
        <v>589</v>
      </c>
      <c r="E873" s="365"/>
      <c r="F873" s="311">
        <f t="shared" si="133"/>
        <v>4</v>
      </c>
      <c r="G873" s="311">
        <f t="shared" si="133"/>
        <v>4</v>
      </c>
    </row>
    <row r="874" spans="1:8" ht="31.5" x14ac:dyDescent="0.25">
      <c r="A874" s="364" t="s">
        <v>123</v>
      </c>
      <c r="B874" s="365" t="s">
        <v>203</v>
      </c>
      <c r="C874" s="365" t="s">
        <v>116</v>
      </c>
      <c r="D874" s="365" t="s">
        <v>589</v>
      </c>
      <c r="E874" s="365" t="s">
        <v>124</v>
      </c>
      <c r="F874" s="311">
        <f t="shared" si="133"/>
        <v>4</v>
      </c>
      <c r="G874" s="311">
        <f t="shared" si="133"/>
        <v>4</v>
      </c>
    </row>
    <row r="875" spans="1:8" ht="31.5" x14ac:dyDescent="0.25">
      <c r="A875" s="364" t="s">
        <v>125</v>
      </c>
      <c r="B875" s="365" t="s">
        <v>203</v>
      </c>
      <c r="C875" s="365" t="s">
        <v>116</v>
      </c>
      <c r="D875" s="365" t="s">
        <v>589</v>
      </c>
      <c r="E875" s="365" t="s">
        <v>126</v>
      </c>
      <c r="F875" s="311">
        <f>'Пр.4.1 ведом.23-24 '!G443</f>
        <v>4</v>
      </c>
      <c r="G875" s="311">
        <f>'Пр.4.1 ведом.23-24 '!H443</f>
        <v>4</v>
      </c>
    </row>
    <row r="876" spans="1:8" ht="47.25" x14ac:dyDescent="0.25">
      <c r="A876" s="364" t="s">
        <v>571</v>
      </c>
      <c r="B876" s="365" t="s">
        <v>203</v>
      </c>
      <c r="C876" s="365" t="s">
        <v>116</v>
      </c>
      <c r="D876" s="402" t="s">
        <v>505</v>
      </c>
      <c r="E876" s="365"/>
      <c r="F876" s="311">
        <f>F877</f>
        <v>6</v>
      </c>
      <c r="G876" s="311">
        <f>G877</f>
        <v>6</v>
      </c>
    </row>
    <row r="877" spans="1:8" ht="31.5" x14ac:dyDescent="0.25">
      <c r="A877" s="364" t="s">
        <v>191</v>
      </c>
      <c r="B877" s="365" t="s">
        <v>203</v>
      </c>
      <c r="C877" s="365" t="s">
        <v>116</v>
      </c>
      <c r="D877" s="402" t="s">
        <v>505</v>
      </c>
      <c r="E877" s="365" t="s">
        <v>192</v>
      </c>
      <c r="F877" s="311">
        <f>F878</f>
        <v>6</v>
      </c>
      <c r="G877" s="311">
        <f>G878</f>
        <v>6</v>
      </c>
    </row>
    <row r="878" spans="1:8" ht="15.75" x14ac:dyDescent="0.25">
      <c r="A878" s="364" t="s">
        <v>193</v>
      </c>
      <c r="B878" s="365" t="s">
        <v>203</v>
      </c>
      <c r="C878" s="365" t="s">
        <v>116</v>
      </c>
      <c r="D878" s="402" t="s">
        <v>505</v>
      </c>
      <c r="E878" s="365" t="s">
        <v>194</v>
      </c>
      <c r="F878" s="311">
        <f>'Пр.4.1 ведом.23-24 '!G446</f>
        <v>6</v>
      </c>
      <c r="G878" s="311">
        <f>'Пр.4.1 ведом.23-24 '!H446</f>
        <v>6</v>
      </c>
    </row>
    <row r="879" spans="1:8" ht="47.25" x14ac:dyDescent="0.25">
      <c r="A879" s="359" t="s">
        <v>855</v>
      </c>
      <c r="B879" s="316" t="s">
        <v>203</v>
      </c>
      <c r="C879" s="316" t="s">
        <v>116</v>
      </c>
      <c r="D879" s="316" t="s">
        <v>339</v>
      </c>
      <c r="E879" s="323"/>
      <c r="F879" s="310">
        <f t="shared" ref="F879:G879" si="134">F880</f>
        <v>878.7</v>
      </c>
      <c r="G879" s="310">
        <f t="shared" si="134"/>
        <v>878.7</v>
      </c>
    </row>
    <row r="880" spans="1:8" ht="47.25" x14ac:dyDescent="0.25">
      <c r="A880" s="359" t="s">
        <v>463</v>
      </c>
      <c r="B880" s="316" t="s">
        <v>203</v>
      </c>
      <c r="C880" s="316" t="s">
        <v>116</v>
      </c>
      <c r="D880" s="316" t="s">
        <v>461</v>
      </c>
      <c r="E880" s="323"/>
      <c r="F880" s="310">
        <f>F881+F884</f>
        <v>878.7</v>
      </c>
      <c r="G880" s="310">
        <f>G881+G884</f>
        <v>878.7</v>
      </c>
      <c r="H880" s="321"/>
    </row>
    <row r="881" spans="1:7" ht="47.25" x14ac:dyDescent="0.25">
      <c r="A881" s="70" t="s">
        <v>585</v>
      </c>
      <c r="B881" s="365" t="s">
        <v>203</v>
      </c>
      <c r="C881" s="365" t="s">
        <v>116</v>
      </c>
      <c r="D881" s="365" t="s">
        <v>462</v>
      </c>
      <c r="E881" s="319"/>
      <c r="F881" s="255">
        <f t="shared" ref="F881:G882" si="135">F882</f>
        <v>506.80000000000007</v>
      </c>
      <c r="G881" s="255">
        <f t="shared" si="135"/>
        <v>506.80000000000007</v>
      </c>
    </row>
    <row r="882" spans="1:7" ht="31.5" x14ac:dyDescent="0.25">
      <c r="A882" s="364" t="s">
        <v>123</v>
      </c>
      <c r="B882" s="365" t="s">
        <v>203</v>
      </c>
      <c r="C882" s="365" t="s">
        <v>116</v>
      </c>
      <c r="D882" s="365" t="s">
        <v>462</v>
      </c>
      <c r="E882" s="319" t="s">
        <v>124</v>
      </c>
      <c r="F882" s="311">
        <f t="shared" si="135"/>
        <v>506.80000000000007</v>
      </c>
      <c r="G882" s="311">
        <f t="shared" si="135"/>
        <v>506.80000000000007</v>
      </c>
    </row>
    <row r="883" spans="1:7" ht="31.5" x14ac:dyDescent="0.25">
      <c r="A883" s="364" t="s">
        <v>125</v>
      </c>
      <c r="B883" s="365" t="s">
        <v>203</v>
      </c>
      <c r="C883" s="365" t="s">
        <v>116</v>
      </c>
      <c r="D883" s="365" t="s">
        <v>462</v>
      </c>
      <c r="E883" s="319" t="s">
        <v>126</v>
      </c>
      <c r="F883" s="311">
        <f>'Пр.4.1 ведом.23-24 '!G451</f>
        <v>506.80000000000007</v>
      </c>
      <c r="G883" s="311">
        <f>'Пр.4.1 ведом.23-24 '!H451</f>
        <v>506.80000000000007</v>
      </c>
    </row>
    <row r="884" spans="1:7" ht="47.25" x14ac:dyDescent="0.25">
      <c r="A884" s="399" t="s">
        <v>359</v>
      </c>
      <c r="B884" s="365" t="s">
        <v>203</v>
      </c>
      <c r="C884" s="365" t="s">
        <v>116</v>
      </c>
      <c r="D884" s="402" t="s">
        <v>506</v>
      </c>
      <c r="E884" s="319"/>
      <c r="F884" s="311">
        <f>F885</f>
        <v>371.9</v>
      </c>
      <c r="G884" s="311">
        <f>G885</f>
        <v>371.9</v>
      </c>
    </row>
    <row r="885" spans="1:7" ht="31.5" x14ac:dyDescent="0.25">
      <c r="A885" s="399" t="s">
        <v>191</v>
      </c>
      <c r="B885" s="365" t="s">
        <v>203</v>
      </c>
      <c r="C885" s="365" t="s">
        <v>116</v>
      </c>
      <c r="D885" s="402" t="s">
        <v>506</v>
      </c>
      <c r="E885" s="319" t="s">
        <v>192</v>
      </c>
      <c r="F885" s="311">
        <f>F886</f>
        <v>371.9</v>
      </c>
      <c r="G885" s="311">
        <f>G886</f>
        <v>371.9</v>
      </c>
    </row>
    <row r="886" spans="1:7" ht="15.75" x14ac:dyDescent="0.25">
      <c r="A886" s="364" t="s">
        <v>193</v>
      </c>
      <c r="B886" s="365" t="s">
        <v>203</v>
      </c>
      <c r="C886" s="365" t="s">
        <v>116</v>
      </c>
      <c r="D886" s="402" t="s">
        <v>506</v>
      </c>
      <c r="E886" s="319" t="s">
        <v>194</v>
      </c>
      <c r="F886" s="311">
        <f>'Пр.4.1 ведом.23-24 '!G454</f>
        <v>371.9</v>
      </c>
      <c r="G886" s="311">
        <f>'Пр.4.1 ведом.23-24 '!H454</f>
        <v>371.9</v>
      </c>
    </row>
    <row r="887" spans="1:7" ht="31.5" x14ac:dyDescent="0.25">
      <c r="A887" s="315" t="s">
        <v>208</v>
      </c>
      <c r="B887" s="316" t="s">
        <v>203</v>
      </c>
      <c r="C887" s="316" t="s">
        <v>139</v>
      </c>
      <c r="D887" s="316"/>
      <c r="E887" s="319"/>
      <c r="F887" s="310">
        <f>F888+F901+F917</f>
        <v>22162.699999999997</v>
      </c>
      <c r="G887" s="310">
        <f>G888+G901+G917+G923</f>
        <v>22166.6</v>
      </c>
    </row>
    <row r="888" spans="1:7" ht="31.5" x14ac:dyDescent="0.25">
      <c r="A888" s="315" t="s">
        <v>488</v>
      </c>
      <c r="B888" s="316" t="s">
        <v>203</v>
      </c>
      <c r="C888" s="316" t="s">
        <v>139</v>
      </c>
      <c r="D888" s="316" t="s">
        <v>434</v>
      </c>
      <c r="E888" s="319"/>
      <c r="F888" s="310">
        <f>F889</f>
        <v>9105.7999999999993</v>
      </c>
      <c r="G888" s="310">
        <f>G889</f>
        <v>9105.7000000000007</v>
      </c>
    </row>
    <row r="889" spans="1:7" ht="15.75" x14ac:dyDescent="0.25">
      <c r="A889" s="315" t="s">
        <v>489</v>
      </c>
      <c r="B889" s="316" t="s">
        <v>203</v>
      </c>
      <c r="C889" s="316" t="s">
        <v>139</v>
      </c>
      <c r="D889" s="316" t="s">
        <v>435</v>
      </c>
      <c r="E889" s="319"/>
      <c r="F889" s="310">
        <f>F890+F898+F895</f>
        <v>9105.7999999999993</v>
      </c>
      <c r="G889" s="310">
        <f>G890+G898+G895</f>
        <v>9105.7000000000007</v>
      </c>
    </row>
    <row r="890" spans="1:7" ht="31.5" x14ac:dyDescent="0.25">
      <c r="A890" s="364" t="s">
        <v>468</v>
      </c>
      <c r="B890" s="365" t="s">
        <v>203</v>
      </c>
      <c r="C890" s="365" t="s">
        <v>139</v>
      </c>
      <c r="D890" s="365" t="s">
        <v>436</v>
      </c>
      <c r="E890" s="319"/>
      <c r="F890" s="311">
        <f>F891+F893</f>
        <v>7689.7</v>
      </c>
      <c r="G890" s="311">
        <f>G891+G893</f>
        <v>7689.6</v>
      </c>
    </row>
    <row r="891" spans="1:7" ht="78.75" x14ac:dyDescent="0.25">
      <c r="A891" s="364" t="s">
        <v>119</v>
      </c>
      <c r="B891" s="365" t="s">
        <v>203</v>
      </c>
      <c r="C891" s="365" t="s">
        <v>139</v>
      </c>
      <c r="D891" s="365" t="s">
        <v>436</v>
      </c>
      <c r="E891" s="319" t="s">
        <v>120</v>
      </c>
      <c r="F891" s="311">
        <f>F892</f>
        <v>7689.7</v>
      </c>
      <c r="G891" s="311">
        <f>G892</f>
        <v>7689.6</v>
      </c>
    </row>
    <row r="892" spans="1:7" ht="31.5" x14ac:dyDescent="0.25">
      <c r="A892" s="364" t="s">
        <v>121</v>
      </c>
      <c r="B892" s="365" t="s">
        <v>203</v>
      </c>
      <c r="C892" s="365" t="s">
        <v>139</v>
      </c>
      <c r="D892" s="365" t="s">
        <v>436</v>
      </c>
      <c r="E892" s="360" t="s">
        <v>122</v>
      </c>
      <c r="F892" s="311">
        <f>'Пр.4.1 ведом.23-24 '!G460</f>
        <v>7689.7</v>
      </c>
      <c r="G892" s="311">
        <f>'Пр.4.1 ведом.23-24 '!H460</f>
        <v>7689.6</v>
      </c>
    </row>
    <row r="893" spans="1:7" ht="31.5" hidden="1" x14ac:dyDescent="0.25">
      <c r="A893" s="364" t="s">
        <v>123</v>
      </c>
      <c r="B893" s="365" t="s">
        <v>203</v>
      </c>
      <c r="C893" s="365" t="s">
        <v>139</v>
      </c>
      <c r="D893" s="365" t="s">
        <v>436</v>
      </c>
      <c r="E893" s="360" t="s">
        <v>124</v>
      </c>
      <c r="F893" s="311">
        <f>F894</f>
        <v>0</v>
      </c>
      <c r="G893" s="311">
        <f>G894</f>
        <v>0</v>
      </c>
    </row>
    <row r="894" spans="1:7" ht="31.5" hidden="1" x14ac:dyDescent="0.25">
      <c r="A894" s="364" t="s">
        <v>125</v>
      </c>
      <c r="B894" s="365" t="s">
        <v>203</v>
      </c>
      <c r="C894" s="365" t="s">
        <v>139</v>
      </c>
      <c r="D894" s="365" t="s">
        <v>436</v>
      </c>
      <c r="E894" s="360" t="s">
        <v>126</v>
      </c>
      <c r="F894" s="311">
        <f>'Пр.4.1 ведом.23-24 '!G462</f>
        <v>0</v>
      </c>
      <c r="G894" s="311">
        <f>'Пр.4.1 ведом.23-24 '!H462</f>
        <v>0</v>
      </c>
    </row>
    <row r="895" spans="1:7" ht="31.5" x14ac:dyDescent="0.25">
      <c r="A895" s="364" t="s">
        <v>417</v>
      </c>
      <c r="B895" s="365" t="s">
        <v>203</v>
      </c>
      <c r="C895" s="365" t="s">
        <v>139</v>
      </c>
      <c r="D895" s="365" t="s">
        <v>437</v>
      </c>
      <c r="E895" s="360"/>
      <c r="F895" s="311">
        <f>F896</f>
        <v>986.1</v>
      </c>
      <c r="G895" s="311">
        <f>G896</f>
        <v>986.1</v>
      </c>
    </row>
    <row r="896" spans="1:7" ht="78.75" x14ac:dyDescent="0.25">
      <c r="A896" s="364" t="s">
        <v>119</v>
      </c>
      <c r="B896" s="365" t="s">
        <v>203</v>
      </c>
      <c r="C896" s="365" t="s">
        <v>139</v>
      </c>
      <c r="D896" s="365" t="s">
        <v>437</v>
      </c>
      <c r="E896" s="360" t="s">
        <v>120</v>
      </c>
      <c r="F896" s="311">
        <f>F897</f>
        <v>986.1</v>
      </c>
      <c r="G896" s="311">
        <f>G897</f>
        <v>986.1</v>
      </c>
    </row>
    <row r="897" spans="1:7" ht="31.5" x14ac:dyDescent="0.25">
      <c r="A897" s="364" t="s">
        <v>121</v>
      </c>
      <c r="B897" s="365" t="s">
        <v>203</v>
      </c>
      <c r="C897" s="365" t="s">
        <v>139</v>
      </c>
      <c r="D897" s="365" t="s">
        <v>437</v>
      </c>
      <c r="E897" s="360" t="s">
        <v>122</v>
      </c>
      <c r="F897" s="311">
        <f>'Пр.4.1 ведом.23-24 '!G465</f>
        <v>986.1</v>
      </c>
      <c r="G897" s="311">
        <f>'Пр.4.1 ведом.23-24 '!H465</f>
        <v>986.1</v>
      </c>
    </row>
    <row r="898" spans="1:7" ht="47.25" x14ac:dyDescent="0.25">
      <c r="A898" s="364" t="s">
        <v>416</v>
      </c>
      <c r="B898" s="365" t="s">
        <v>203</v>
      </c>
      <c r="C898" s="365" t="s">
        <v>139</v>
      </c>
      <c r="D898" s="365" t="s">
        <v>438</v>
      </c>
      <c r="E898" s="360"/>
      <c r="F898" s="311">
        <f>F899</f>
        <v>430</v>
      </c>
      <c r="G898" s="311">
        <f>G899</f>
        <v>430</v>
      </c>
    </row>
    <row r="899" spans="1:7" ht="78.75" x14ac:dyDescent="0.25">
      <c r="A899" s="364" t="s">
        <v>119</v>
      </c>
      <c r="B899" s="365" t="s">
        <v>203</v>
      </c>
      <c r="C899" s="365" t="s">
        <v>139</v>
      </c>
      <c r="D899" s="365" t="s">
        <v>438</v>
      </c>
      <c r="E899" s="360" t="s">
        <v>120</v>
      </c>
      <c r="F899" s="311">
        <f t="shared" ref="F899:G899" si="136">F900</f>
        <v>430</v>
      </c>
      <c r="G899" s="311">
        <f t="shared" si="136"/>
        <v>430</v>
      </c>
    </row>
    <row r="900" spans="1:7" ht="31.5" x14ac:dyDescent="0.25">
      <c r="A900" s="364" t="s">
        <v>121</v>
      </c>
      <c r="B900" s="365" t="s">
        <v>203</v>
      </c>
      <c r="C900" s="365" t="s">
        <v>139</v>
      </c>
      <c r="D900" s="365" t="s">
        <v>438</v>
      </c>
      <c r="E900" s="360" t="s">
        <v>122</v>
      </c>
      <c r="F900" s="311">
        <f>'Пр.4.1 ведом.23-24 '!G468</f>
        <v>430</v>
      </c>
      <c r="G900" s="311">
        <f>'Пр.4.1 ведом.23-24 '!H468</f>
        <v>430</v>
      </c>
    </row>
    <row r="901" spans="1:7" ht="15.75" x14ac:dyDescent="0.25">
      <c r="A901" s="315" t="s">
        <v>497</v>
      </c>
      <c r="B901" s="316" t="s">
        <v>203</v>
      </c>
      <c r="C901" s="316" t="s">
        <v>139</v>
      </c>
      <c r="D901" s="316" t="s">
        <v>442</v>
      </c>
      <c r="E901" s="360"/>
      <c r="F901" s="310">
        <f>F902+F913</f>
        <v>12796.9</v>
      </c>
      <c r="G901" s="310">
        <f>G902+G913</f>
        <v>12796.9</v>
      </c>
    </row>
    <row r="902" spans="1:7" ht="15.75" x14ac:dyDescent="0.25">
      <c r="A902" s="315" t="s">
        <v>1105</v>
      </c>
      <c r="B902" s="316" t="s">
        <v>203</v>
      </c>
      <c r="C902" s="316" t="s">
        <v>139</v>
      </c>
      <c r="D902" s="316" t="s">
        <v>518</v>
      </c>
      <c r="E902" s="316"/>
      <c r="F902" s="311">
        <f>F903+F906</f>
        <v>12796.9</v>
      </c>
      <c r="G902" s="311">
        <f>G903+G906</f>
        <v>12796.9</v>
      </c>
    </row>
    <row r="903" spans="1:7" ht="47.25" x14ac:dyDescent="0.25">
      <c r="A903" s="364" t="s">
        <v>416</v>
      </c>
      <c r="B903" s="365" t="s">
        <v>203</v>
      </c>
      <c r="C903" s="365" t="s">
        <v>139</v>
      </c>
      <c r="D903" s="365" t="s">
        <v>521</v>
      </c>
      <c r="E903" s="365"/>
      <c r="F903" s="311">
        <f>F904</f>
        <v>215</v>
      </c>
      <c r="G903" s="311">
        <f>G904</f>
        <v>215</v>
      </c>
    </row>
    <row r="904" spans="1:7" ht="78.75" x14ac:dyDescent="0.25">
      <c r="A904" s="364" t="s">
        <v>119</v>
      </c>
      <c r="B904" s="365" t="s">
        <v>203</v>
      </c>
      <c r="C904" s="365" t="s">
        <v>139</v>
      </c>
      <c r="D904" s="365" t="s">
        <v>521</v>
      </c>
      <c r="E904" s="365" t="s">
        <v>120</v>
      </c>
      <c r="F904" s="311">
        <f>F905</f>
        <v>215</v>
      </c>
      <c r="G904" s="311">
        <f>G905</f>
        <v>215</v>
      </c>
    </row>
    <row r="905" spans="1:7" ht="31.5" x14ac:dyDescent="0.25">
      <c r="A905" s="364" t="s">
        <v>212</v>
      </c>
      <c r="B905" s="365" t="s">
        <v>203</v>
      </c>
      <c r="C905" s="365" t="s">
        <v>139</v>
      </c>
      <c r="D905" s="365" t="s">
        <v>521</v>
      </c>
      <c r="E905" s="365" t="s">
        <v>156</v>
      </c>
      <c r="F905" s="311">
        <f>'Пр.4.1 ведом.23-24 '!G477</f>
        <v>215</v>
      </c>
      <c r="G905" s="311">
        <f>'Пр.4.1 ведом.23-24 '!H477</f>
        <v>215</v>
      </c>
    </row>
    <row r="906" spans="1:7" ht="15.75" x14ac:dyDescent="0.25">
      <c r="A906" s="364" t="s">
        <v>379</v>
      </c>
      <c r="B906" s="365" t="s">
        <v>203</v>
      </c>
      <c r="C906" s="365" t="s">
        <v>139</v>
      </c>
      <c r="D906" s="365" t="s">
        <v>520</v>
      </c>
      <c r="E906" s="365"/>
      <c r="F906" s="311">
        <f>F907+F909+F911</f>
        <v>12581.9</v>
      </c>
      <c r="G906" s="311">
        <f>G907+G909+G911</f>
        <v>12581.9</v>
      </c>
    </row>
    <row r="907" spans="1:7" ht="78.75" x14ac:dyDescent="0.25">
      <c r="A907" s="364" t="s">
        <v>119</v>
      </c>
      <c r="B907" s="365" t="s">
        <v>203</v>
      </c>
      <c r="C907" s="365" t="s">
        <v>139</v>
      </c>
      <c r="D907" s="365" t="s">
        <v>520</v>
      </c>
      <c r="E907" s="365" t="s">
        <v>120</v>
      </c>
      <c r="F907" s="311">
        <f>F908</f>
        <v>10677.8</v>
      </c>
      <c r="G907" s="311">
        <f>G908</f>
        <v>10677.8</v>
      </c>
    </row>
    <row r="908" spans="1:7" ht="31.5" x14ac:dyDescent="0.25">
      <c r="A908" s="364" t="s">
        <v>212</v>
      </c>
      <c r="B908" s="365" t="s">
        <v>203</v>
      </c>
      <c r="C908" s="365" t="s">
        <v>139</v>
      </c>
      <c r="D908" s="365" t="s">
        <v>520</v>
      </c>
      <c r="E908" s="365" t="s">
        <v>156</v>
      </c>
      <c r="F908" s="311">
        <f>'Пр.4.1 ведом.23-24 '!G480</f>
        <v>10677.8</v>
      </c>
      <c r="G908" s="311">
        <f>'Пр.4.1 ведом.23-24 '!H480</f>
        <v>10677.8</v>
      </c>
    </row>
    <row r="909" spans="1:7" ht="31.5" x14ac:dyDescent="0.25">
      <c r="A909" s="364" t="s">
        <v>123</v>
      </c>
      <c r="B909" s="365" t="s">
        <v>203</v>
      </c>
      <c r="C909" s="365" t="s">
        <v>139</v>
      </c>
      <c r="D909" s="365" t="s">
        <v>520</v>
      </c>
      <c r="E909" s="365" t="s">
        <v>124</v>
      </c>
      <c r="F909" s="311">
        <f>F910</f>
        <v>1890.1</v>
      </c>
      <c r="G909" s="311">
        <f>G910</f>
        <v>1890.1</v>
      </c>
    </row>
    <row r="910" spans="1:7" ht="31.5" x14ac:dyDescent="0.25">
      <c r="A910" s="364" t="s">
        <v>125</v>
      </c>
      <c r="B910" s="365" t="s">
        <v>203</v>
      </c>
      <c r="C910" s="365" t="s">
        <v>139</v>
      </c>
      <c r="D910" s="365" t="s">
        <v>520</v>
      </c>
      <c r="E910" s="365" t="s">
        <v>126</v>
      </c>
      <c r="F910" s="311">
        <f>'Пр.4.1 ведом.23-24 '!G482</f>
        <v>1890.1</v>
      </c>
      <c r="G910" s="311">
        <f>'Пр.4.1 ведом.23-24 '!H482</f>
        <v>1890.1</v>
      </c>
    </row>
    <row r="911" spans="1:7" ht="15.75" x14ac:dyDescent="0.25">
      <c r="A911" s="364" t="s">
        <v>127</v>
      </c>
      <c r="B911" s="365" t="s">
        <v>203</v>
      </c>
      <c r="C911" s="365" t="s">
        <v>139</v>
      </c>
      <c r="D911" s="365" t="s">
        <v>520</v>
      </c>
      <c r="E911" s="365" t="s">
        <v>134</v>
      </c>
      <c r="F911" s="311">
        <f>F912</f>
        <v>14</v>
      </c>
      <c r="G911" s="311">
        <f>G912</f>
        <v>14</v>
      </c>
    </row>
    <row r="912" spans="1:7" ht="15.75" x14ac:dyDescent="0.25">
      <c r="A912" s="364" t="s">
        <v>280</v>
      </c>
      <c r="B912" s="365" t="s">
        <v>203</v>
      </c>
      <c r="C912" s="365" t="s">
        <v>139</v>
      </c>
      <c r="D912" s="365" t="s">
        <v>520</v>
      </c>
      <c r="E912" s="365" t="s">
        <v>130</v>
      </c>
      <c r="F912" s="311">
        <f>'Пр.4.1 ведом.23-24 '!G484</f>
        <v>14</v>
      </c>
      <c r="G912" s="311">
        <f>'Пр.4.1 ведом.23-24 '!H484</f>
        <v>14</v>
      </c>
    </row>
    <row r="913" spans="1:12" ht="31.5" hidden="1" x14ac:dyDescent="0.25">
      <c r="A913" s="26" t="s">
        <v>446</v>
      </c>
      <c r="B913" s="316" t="s">
        <v>203</v>
      </c>
      <c r="C913" s="316" t="s">
        <v>139</v>
      </c>
      <c r="D913" s="316" t="s">
        <v>441</v>
      </c>
      <c r="E913" s="7"/>
      <c r="F913" s="310">
        <f t="shared" ref="F913:G915" si="137">F914</f>
        <v>0</v>
      </c>
      <c r="G913" s="310">
        <f t="shared" si="137"/>
        <v>0</v>
      </c>
    </row>
    <row r="914" spans="1:12" ht="47.25" hidden="1" x14ac:dyDescent="0.25">
      <c r="A914" s="24" t="s">
        <v>1057</v>
      </c>
      <c r="B914" s="365" t="s">
        <v>203</v>
      </c>
      <c r="C914" s="365" t="s">
        <v>139</v>
      </c>
      <c r="D914" s="365" t="s">
        <v>1056</v>
      </c>
      <c r="E914" s="360"/>
      <c r="F914" s="311">
        <f t="shared" si="137"/>
        <v>0</v>
      </c>
      <c r="G914" s="311">
        <f t="shared" si="137"/>
        <v>0</v>
      </c>
    </row>
    <row r="915" spans="1:12" ht="31.5" hidden="1" x14ac:dyDescent="0.25">
      <c r="A915" s="364" t="s">
        <v>123</v>
      </c>
      <c r="B915" s="365" t="s">
        <v>203</v>
      </c>
      <c r="C915" s="365" t="s">
        <v>139</v>
      </c>
      <c r="D915" s="365" t="s">
        <v>1056</v>
      </c>
      <c r="E915" s="360" t="s">
        <v>124</v>
      </c>
      <c r="F915" s="311">
        <f t="shared" si="137"/>
        <v>0</v>
      </c>
      <c r="G915" s="311">
        <f t="shared" si="137"/>
        <v>0</v>
      </c>
    </row>
    <row r="916" spans="1:12" ht="31.5" hidden="1" x14ac:dyDescent="0.25">
      <c r="A916" s="364" t="s">
        <v>125</v>
      </c>
      <c r="B916" s="365" t="s">
        <v>203</v>
      </c>
      <c r="C916" s="365" t="s">
        <v>139</v>
      </c>
      <c r="D916" s="365" t="s">
        <v>1056</v>
      </c>
      <c r="E916" s="360" t="s">
        <v>126</v>
      </c>
      <c r="F916" s="311">
        <f>'Пр.4 ведом.22'!G473</f>
        <v>0</v>
      </c>
      <c r="G916" s="311">
        <f>'Пр.4 ведом.22'!H473</f>
        <v>0</v>
      </c>
    </row>
    <row r="917" spans="1:12" ht="47.25" x14ac:dyDescent="0.25">
      <c r="A917" s="315" t="s">
        <v>850</v>
      </c>
      <c r="B917" s="316" t="s">
        <v>203</v>
      </c>
      <c r="C917" s="316" t="s">
        <v>139</v>
      </c>
      <c r="D917" s="316" t="s">
        <v>213</v>
      </c>
      <c r="E917" s="360"/>
      <c r="F917" s="310">
        <f t="shared" ref="F917:G919" si="138">F918</f>
        <v>260</v>
      </c>
      <c r="G917" s="310">
        <f t="shared" si="138"/>
        <v>260</v>
      </c>
    </row>
    <row r="918" spans="1:12" ht="31.5" x14ac:dyDescent="0.25">
      <c r="A918" s="315" t="s">
        <v>220</v>
      </c>
      <c r="B918" s="316" t="s">
        <v>203</v>
      </c>
      <c r="C918" s="316" t="s">
        <v>139</v>
      </c>
      <c r="D918" s="316" t="s">
        <v>223</v>
      </c>
      <c r="E918" s="360"/>
      <c r="F918" s="310">
        <f t="shared" si="138"/>
        <v>260</v>
      </c>
      <c r="G918" s="310">
        <f t="shared" si="138"/>
        <v>260</v>
      </c>
    </row>
    <row r="919" spans="1:12" ht="31.5" x14ac:dyDescent="0.25">
      <c r="A919" s="315" t="s">
        <v>560</v>
      </c>
      <c r="B919" s="316" t="s">
        <v>203</v>
      </c>
      <c r="C919" s="316" t="s">
        <v>139</v>
      </c>
      <c r="D919" s="316" t="s">
        <v>757</v>
      </c>
      <c r="E919" s="360"/>
      <c r="F919" s="310">
        <f t="shared" si="138"/>
        <v>260</v>
      </c>
      <c r="G919" s="310">
        <f t="shared" si="138"/>
        <v>260</v>
      </c>
    </row>
    <row r="920" spans="1:12" ht="31.5" x14ac:dyDescent="0.25">
      <c r="A920" s="364" t="s">
        <v>559</v>
      </c>
      <c r="B920" s="365" t="s">
        <v>203</v>
      </c>
      <c r="C920" s="365" t="s">
        <v>139</v>
      </c>
      <c r="D920" s="365" t="s">
        <v>758</v>
      </c>
      <c r="E920" s="360"/>
      <c r="F920" s="311">
        <f t="shared" ref="F920:G920" si="139">F921</f>
        <v>260</v>
      </c>
      <c r="G920" s="311">
        <f t="shared" si="139"/>
        <v>260</v>
      </c>
    </row>
    <row r="921" spans="1:12" ht="31.5" x14ac:dyDescent="0.25">
      <c r="A921" s="364" t="s">
        <v>123</v>
      </c>
      <c r="B921" s="365" t="s">
        <v>203</v>
      </c>
      <c r="C921" s="365" t="s">
        <v>139</v>
      </c>
      <c r="D921" s="365" t="s">
        <v>758</v>
      </c>
      <c r="E921" s="360" t="s">
        <v>124</v>
      </c>
      <c r="F921" s="311">
        <f>F922</f>
        <v>260</v>
      </c>
      <c r="G921" s="311">
        <f>G922</f>
        <v>260</v>
      </c>
    </row>
    <row r="922" spans="1:12" ht="31.5" x14ac:dyDescent="0.25">
      <c r="A922" s="364" t="s">
        <v>125</v>
      </c>
      <c r="B922" s="365" t="s">
        <v>203</v>
      </c>
      <c r="C922" s="365" t="s">
        <v>139</v>
      </c>
      <c r="D922" s="365" t="s">
        <v>758</v>
      </c>
      <c r="E922" s="360" t="s">
        <v>126</v>
      </c>
      <c r="F922" s="311">
        <f>'Пр.4.1 ведом.23-24 '!G490</f>
        <v>260</v>
      </c>
      <c r="G922" s="311">
        <f>'Пр.4.1 ведом.23-24 '!H490</f>
        <v>260</v>
      </c>
    </row>
    <row r="923" spans="1:12" ht="47.25" hidden="1" x14ac:dyDescent="0.25">
      <c r="A923" s="26" t="s">
        <v>859</v>
      </c>
      <c r="B923" s="316" t="s">
        <v>203</v>
      </c>
      <c r="C923" s="316" t="s">
        <v>139</v>
      </c>
      <c r="D923" s="316" t="s">
        <v>206</v>
      </c>
      <c r="E923" s="316"/>
      <c r="F923" s="314">
        <f>F925</f>
        <v>0</v>
      </c>
      <c r="G923" s="314">
        <f>G925</f>
        <v>4</v>
      </c>
    </row>
    <row r="924" spans="1:12" ht="63" hidden="1" x14ac:dyDescent="0.25">
      <c r="A924" s="26" t="s">
        <v>588</v>
      </c>
      <c r="B924" s="316" t="s">
        <v>203</v>
      </c>
      <c r="C924" s="316" t="s">
        <v>139</v>
      </c>
      <c r="D924" s="316" t="s">
        <v>504</v>
      </c>
      <c r="E924" s="316"/>
      <c r="F924" s="314">
        <f>F927</f>
        <v>0</v>
      </c>
      <c r="G924" s="314">
        <f>G927</f>
        <v>4</v>
      </c>
    </row>
    <row r="925" spans="1:12" ht="47.25" hidden="1" x14ac:dyDescent="0.25">
      <c r="A925" s="24" t="s">
        <v>634</v>
      </c>
      <c r="B925" s="365" t="s">
        <v>203</v>
      </c>
      <c r="C925" s="365" t="s">
        <v>139</v>
      </c>
      <c r="D925" s="365" t="s">
        <v>589</v>
      </c>
      <c r="E925" s="365"/>
      <c r="F925" s="318">
        <f>F926</f>
        <v>0</v>
      </c>
      <c r="G925" s="318">
        <f>G926</f>
        <v>4</v>
      </c>
    </row>
    <row r="926" spans="1:12" ht="31.5" hidden="1" x14ac:dyDescent="0.25">
      <c r="A926" s="364" t="s">
        <v>123</v>
      </c>
      <c r="B926" s="365" t="s">
        <v>203</v>
      </c>
      <c r="C926" s="365" t="s">
        <v>139</v>
      </c>
      <c r="D926" s="365" t="s">
        <v>589</v>
      </c>
      <c r="E926" s="365" t="s">
        <v>124</v>
      </c>
      <c r="F926" s="318">
        <f>F927</f>
        <v>0</v>
      </c>
      <c r="G926" s="318">
        <f>G927</f>
        <v>4</v>
      </c>
    </row>
    <row r="927" spans="1:12" ht="31.5" hidden="1" x14ac:dyDescent="0.25">
      <c r="A927" s="364" t="s">
        <v>125</v>
      </c>
      <c r="B927" s="365" t="s">
        <v>203</v>
      </c>
      <c r="C927" s="365" t="s">
        <v>139</v>
      </c>
      <c r="D927" s="365" t="s">
        <v>589</v>
      </c>
      <c r="E927" s="365" t="s">
        <v>126</v>
      </c>
      <c r="F927" s="318">
        <f>'Пр.4.1 ведом.23-24 '!G495</f>
        <v>0</v>
      </c>
      <c r="G927" s="318">
        <f>'Пр.4.1 ведом.23-24 '!H495</f>
        <v>4</v>
      </c>
    </row>
    <row r="928" spans="1:12" ht="15.75" x14ac:dyDescent="0.25">
      <c r="A928" s="315" t="s">
        <v>173</v>
      </c>
      <c r="B928" s="316" t="s">
        <v>174</v>
      </c>
      <c r="C928" s="316"/>
      <c r="D928" s="316"/>
      <c r="E928" s="316"/>
      <c r="F928" s="310">
        <f>F929+F935+F969+F964</f>
        <v>15259.3</v>
      </c>
      <c r="G928" s="310">
        <f>G929+G935+G969+G964</f>
        <v>15374.45</v>
      </c>
      <c r="H928" s="74"/>
      <c r="K928" s="154">
        <f>F928-'Пр.4 ведом.22'!M1216-'Пр.4 ведом.22'!V1226-F965-F971</f>
        <v>11568.599999999999</v>
      </c>
      <c r="L928" s="156">
        <f>F961+F966+F972-'Пр.4 ведом.22'!M1215-'Пр.4 ведом.22'!V1225</f>
        <v>3700.7000000000003</v>
      </c>
    </row>
    <row r="929" spans="1:7" ht="15.75" x14ac:dyDescent="0.25">
      <c r="A929" s="315" t="s">
        <v>175</v>
      </c>
      <c r="B929" s="316" t="s">
        <v>174</v>
      </c>
      <c r="C929" s="316" t="s">
        <v>116</v>
      </c>
      <c r="D929" s="316"/>
      <c r="E929" s="316"/>
      <c r="F929" s="310">
        <f t="shared" ref="F929:G933" si="140">F930</f>
        <v>9913.5</v>
      </c>
      <c r="G929" s="310">
        <f t="shared" si="140"/>
        <v>9913.5</v>
      </c>
    </row>
    <row r="930" spans="1:7" ht="15.75" x14ac:dyDescent="0.25">
      <c r="A930" s="315" t="s">
        <v>133</v>
      </c>
      <c r="B930" s="316" t="s">
        <v>174</v>
      </c>
      <c r="C930" s="316" t="s">
        <v>116</v>
      </c>
      <c r="D930" s="316" t="s">
        <v>442</v>
      </c>
      <c r="E930" s="316"/>
      <c r="F930" s="310">
        <f t="shared" si="140"/>
        <v>9913.5</v>
      </c>
      <c r="G930" s="310">
        <f t="shared" si="140"/>
        <v>9913.5</v>
      </c>
    </row>
    <row r="931" spans="1:7" ht="31.5" x14ac:dyDescent="0.25">
      <c r="A931" s="315" t="s">
        <v>446</v>
      </c>
      <c r="B931" s="316" t="s">
        <v>174</v>
      </c>
      <c r="C931" s="316" t="s">
        <v>116</v>
      </c>
      <c r="D931" s="316" t="s">
        <v>441</v>
      </c>
      <c r="E931" s="316"/>
      <c r="F931" s="310">
        <f t="shared" si="140"/>
        <v>9913.5</v>
      </c>
      <c r="G931" s="310">
        <f t="shared" si="140"/>
        <v>9913.5</v>
      </c>
    </row>
    <row r="932" spans="1:7" ht="15.75" x14ac:dyDescent="0.25">
      <c r="A932" s="364" t="s">
        <v>176</v>
      </c>
      <c r="B932" s="365" t="s">
        <v>174</v>
      </c>
      <c r="C932" s="365" t="s">
        <v>116</v>
      </c>
      <c r="D932" s="365" t="s">
        <v>456</v>
      </c>
      <c r="E932" s="365"/>
      <c r="F932" s="311">
        <f t="shared" si="140"/>
        <v>9913.5</v>
      </c>
      <c r="G932" s="311">
        <f t="shared" si="140"/>
        <v>9913.5</v>
      </c>
    </row>
    <row r="933" spans="1:7" ht="18" customHeight="1" x14ac:dyDescent="0.25">
      <c r="A933" s="364" t="s">
        <v>177</v>
      </c>
      <c r="B933" s="365" t="s">
        <v>174</v>
      </c>
      <c r="C933" s="365" t="s">
        <v>116</v>
      </c>
      <c r="D933" s="365" t="s">
        <v>456</v>
      </c>
      <c r="E933" s="365" t="s">
        <v>178</v>
      </c>
      <c r="F933" s="311">
        <f t="shared" si="140"/>
        <v>9913.5</v>
      </c>
      <c r="G933" s="311">
        <f t="shared" si="140"/>
        <v>9913.5</v>
      </c>
    </row>
    <row r="934" spans="1:7" ht="31.5" x14ac:dyDescent="0.25">
      <c r="A934" s="364" t="s">
        <v>216</v>
      </c>
      <c r="B934" s="365" t="s">
        <v>174</v>
      </c>
      <c r="C934" s="365" t="s">
        <v>116</v>
      </c>
      <c r="D934" s="365" t="s">
        <v>456</v>
      </c>
      <c r="E934" s="365" t="s">
        <v>217</v>
      </c>
      <c r="F934" s="311">
        <f>'Пр.4.1 ведом.23-24 '!G231</f>
        <v>9913.5</v>
      </c>
      <c r="G934" s="311">
        <f>'Пр.4.1 ведом.23-24 '!H231</f>
        <v>9913.5</v>
      </c>
    </row>
    <row r="935" spans="1:7" ht="15.75" x14ac:dyDescent="0.25">
      <c r="A935" s="315" t="s">
        <v>181</v>
      </c>
      <c r="B935" s="316" t="s">
        <v>174</v>
      </c>
      <c r="C935" s="316" t="s">
        <v>159</v>
      </c>
      <c r="D935" s="316"/>
      <c r="E935" s="316"/>
      <c r="F935" s="310">
        <f>F936+F959</f>
        <v>1570</v>
      </c>
      <c r="G935" s="310">
        <f>G936+G959</f>
        <v>1534.35</v>
      </c>
    </row>
    <row r="936" spans="1:7" ht="28.5" customHeight="1" x14ac:dyDescent="0.25">
      <c r="A936" s="315" t="s">
        <v>871</v>
      </c>
      <c r="B936" s="316" t="s">
        <v>174</v>
      </c>
      <c r="C936" s="316" t="s">
        <v>159</v>
      </c>
      <c r="D936" s="316" t="s">
        <v>213</v>
      </c>
      <c r="E936" s="316"/>
      <c r="F936" s="310">
        <f>F937+F942</f>
        <v>1560</v>
      </c>
      <c r="G936" s="310">
        <f>G937+G942</f>
        <v>1524.35</v>
      </c>
    </row>
    <row r="937" spans="1:7" ht="28.5" customHeight="1" x14ac:dyDescent="0.25">
      <c r="A937" s="315" t="s">
        <v>218</v>
      </c>
      <c r="B937" s="316" t="s">
        <v>174</v>
      </c>
      <c r="C937" s="316" t="s">
        <v>159</v>
      </c>
      <c r="D937" s="316" t="s">
        <v>219</v>
      </c>
      <c r="E937" s="316"/>
      <c r="F937" s="310">
        <f t="shared" ref="F937:G937" si="141">F938</f>
        <v>253</v>
      </c>
      <c r="G937" s="310">
        <f t="shared" si="141"/>
        <v>217.35</v>
      </c>
    </row>
    <row r="938" spans="1:7" ht="28.5" customHeight="1" x14ac:dyDescent="0.25">
      <c r="A938" s="315" t="s">
        <v>476</v>
      </c>
      <c r="B938" s="316" t="s">
        <v>174</v>
      </c>
      <c r="C938" s="316" t="s">
        <v>159</v>
      </c>
      <c r="D938" s="316" t="s">
        <v>475</v>
      </c>
      <c r="E938" s="316"/>
      <c r="F938" s="310">
        <f>F939</f>
        <v>253</v>
      </c>
      <c r="G938" s="310">
        <f>G939</f>
        <v>217.35</v>
      </c>
    </row>
    <row r="939" spans="1:7" ht="28.5" customHeight="1" x14ac:dyDescent="0.25">
      <c r="A939" s="364" t="s">
        <v>401</v>
      </c>
      <c r="B939" s="365" t="s">
        <v>174</v>
      </c>
      <c r="C939" s="365" t="s">
        <v>159</v>
      </c>
      <c r="D939" s="365" t="s">
        <v>477</v>
      </c>
      <c r="E939" s="365"/>
      <c r="F939" s="311">
        <f>F940</f>
        <v>253</v>
      </c>
      <c r="G939" s="311">
        <f>G940</f>
        <v>217.35</v>
      </c>
    </row>
    <row r="940" spans="1:7" ht="28.5" customHeight="1" x14ac:dyDescent="0.25">
      <c r="A940" s="364" t="s">
        <v>177</v>
      </c>
      <c r="B940" s="365" t="s">
        <v>174</v>
      </c>
      <c r="C940" s="365" t="s">
        <v>159</v>
      </c>
      <c r="D940" s="365" t="s">
        <v>477</v>
      </c>
      <c r="E940" s="365" t="s">
        <v>178</v>
      </c>
      <c r="F940" s="311">
        <f t="shared" ref="F940:G940" si="142">F941</f>
        <v>253</v>
      </c>
      <c r="G940" s="311">
        <f t="shared" si="142"/>
        <v>217.35</v>
      </c>
    </row>
    <row r="941" spans="1:7" ht="28.5" customHeight="1" x14ac:dyDescent="0.25">
      <c r="A941" s="364" t="s">
        <v>179</v>
      </c>
      <c r="B941" s="365" t="s">
        <v>174</v>
      </c>
      <c r="C941" s="365" t="s">
        <v>159</v>
      </c>
      <c r="D941" s="365" t="s">
        <v>477</v>
      </c>
      <c r="E941" s="365" t="s">
        <v>180</v>
      </c>
      <c r="F941" s="311">
        <f>'Пр.4.1 ведом.23-24 '!G503</f>
        <v>253</v>
      </c>
      <c r="G941" s="311">
        <f>'Пр.4.1 ведом.23-24 '!H503</f>
        <v>217.35</v>
      </c>
    </row>
    <row r="942" spans="1:7" ht="28.5" customHeight="1" x14ac:dyDescent="0.25">
      <c r="A942" s="315" t="s">
        <v>220</v>
      </c>
      <c r="B942" s="312">
        <v>10</v>
      </c>
      <c r="C942" s="316" t="s">
        <v>159</v>
      </c>
      <c r="D942" s="316" t="s">
        <v>223</v>
      </c>
      <c r="E942" s="316"/>
      <c r="F942" s="310">
        <f>F943+F949+F955</f>
        <v>1307</v>
      </c>
      <c r="G942" s="310">
        <f>G943+G949+G955</f>
        <v>1307</v>
      </c>
    </row>
    <row r="943" spans="1:7" ht="31.5" x14ac:dyDescent="0.25">
      <c r="A943" s="315" t="s">
        <v>600</v>
      </c>
      <c r="B943" s="316" t="s">
        <v>174</v>
      </c>
      <c r="C943" s="316" t="s">
        <v>159</v>
      </c>
      <c r="D943" s="316" t="s">
        <v>484</v>
      </c>
      <c r="E943" s="316"/>
      <c r="F943" s="314">
        <f>F944</f>
        <v>630</v>
      </c>
      <c r="G943" s="314">
        <f>G944</f>
        <v>630</v>
      </c>
    </row>
    <row r="944" spans="1:7" ht="47.25" x14ac:dyDescent="0.25">
      <c r="A944" s="70" t="s">
        <v>601</v>
      </c>
      <c r="B944" s="365" t="s">
        <v>174</v>
      </c>
      <c r="C944" s="365" t="s">
        <v>159</v>
      </c>
      <c r="D944" s="365" t="s">
        <v>760</v>
      </c>
      <c r="E944" s="365"/>
      <c r="F944" s="318">
        <f>F947+F945</f>
        <v>630</v>
      </c>
      <c r="G944" s="318">
        <f>G947+G945</f>
        <v>630</v>
      </c>
    </row>
    <row r="945" spans="1:7" ht="31.5" hidden="1" x14ac:dyDescent="0.25">
      <c r="A945" s="364" t="s">
        <v>123</v>
      </c>
      <c r="B945" s="365" t="s">
        <v>174</v>
      </c>
      <c r="C945" s="365" t="s">
        <v>159</v>
      </c>
      <c r="D945" s="365" t="s">
        <v>760</v>
      </c>
      <c r="E945" s="365" t="s">
        <v>124</v>
      </c>
      <c r="F945" s="318">
        <f>F946</f>
        <v>0</v>
      </c>
      <c r="G945" s="318">
        <f>G946</f>
        <v>0</v>
      </c>
    </row>
    <row r="946" spans="1:7" ht="31.5" hidden="1" x14ac:dyDescent="0.25">
      <c r="A946" s="364" t="s">
        <v>125</v>
      </c>
      <c r="B946" s="365" t="s">
        <v>174</v>
      </c>
      <c r="C946" s="365" t="s">
        <v>159</v>
      </c>
      <c r="D946" s="365" t="s">
        <v>760</v>
      </c>
      <c r="E946" s="365" t="s">
        <v>126</v>
      </c>
      <c r="F946" s="318">
        <f>'Пр.4 ведом.22'!G508</f>
        <v>0</v>
      </c>
      <c r="G946" s="318">
        <f>'Пр.4 ведом.22'!H508</f>
        <v>0</v>
      </c>
    </row>
    <row r="947" spans="1:7" ht="18.75" customHeight="1" x14ac:dyDescent="0.25">
      <c r="A947" s="364" t="s">
        <v>177</v>
      </c>
      <c r="B947" s="365" t="s">
        <v>174</v>
      </c>
      <c r="C947" s="365" t="s">
        <v>159</v>
      </c>
      <c r="D947" s="365" t="s">
        <v>760</v>
      </c>
      <c r="E947" s="365" t="s">
        <v>178</v>
      </c>
      <c r="F947" s="318">
        <f>F948</f>
        <v>630</v>
      </c>
      <c r="G947" s="318">
        <f>G948</f>
        <v>630</v>
      </c>
    </row>
    <row r="948" spans="1:7" ht="31.7" customHeight="1" x14ac:dyDescent="0.25">
      <c r="A948" s="364" t="s">
        <v>216</v>
      </c>
      <c r="B948" s="365" t="s">
        <v>174</v>
      </c>
      <c r="C948" s="365" t="s">
        <v>159</v>
      </c>
      <c r="D948" s="365" t="s">
        <v>760</v>
      </c>
      <c r="E948" s="365" t="s">
        <v>217</v>
      </c>
      <c r="F948" s="318">
        <f>'Пр.4.1 ведом.23-24 '!G510</f>
        <v>630</v>
      </c>
      <c r="G948" s="318">
        <f>'Пр.4.1 ведом.23-24 '!H510</f>
        <v>630</v>
      </c>
    </row>
    <row r="949" spans="1:7" ht="31.5" x14ac:dyDescent="0.25">
      <c r="A949" s="315" t="s">
        <v>764</v>
      </c>
      <c r="B949" s="312">
        <v>10</v>
      </c>
      <c r="C949" s="316" t="s">
        <v>159</v>
      </c>
      <c r="D949" s="316" t="s">
        <v>762</v>
      </c>
      <c r="E949" s="316"/>
      <c r="F949" s="314">
        <f>F950</f>
        <v>257</v>
      </c>
      <c r="G949" s="314">
        <f>G950</f>
        <v>257</v>
      </c>
    </row>
    <row r="950" spans="1:7" ht="35.450000000000003" customHeight="1" x14ac:dyDescent="0.25">
      <c r="A950" s="364" t="s">
        <v>761</v>
      </c>
      <c r="B950" s="365" t="s">
        <v>174</v>
      </c>
      <c r="C950" s="365" t="s">
        <v>159</v>
      </c>
      <c r="D950" s="365" t="s">
        <v>763</v>
      </c>
      <c r="E950" s="365"/>
      <c r="F950" s="318">
        <f>F952+F954</f>
        <v>257</v>
      </c>
      <c r="G950" s="318">
        <f>G952+G954</f>
        <v>257</v>
      </c>
    </row>
    <row r="951" spans="1:7" ht="36" hidden="1" customHeight="1" x14ac:dyDescent="0.25">
      <c r="A951" s="364" t="s">
        <v>123</v>
      </c>
      <c r="B951" s="365" t="s">
        <v>174</v>
      </c>
      <c r="C951" s="365" t="s">
        <v>159</v>
      </c>
      <c r="D951" s="365" t="s">
        <v>763</v>
      </c>
      <c r="E951" s="365" t="s">
        <v>124</v>
      </c>
      <c r="F951" s="318">
        <f>F952</f>
        <v>0</v>
      </c>
      <c r="G951" s="318">
        <f>G952</f>
        <v>0</v>
      </c>
    </row>
    <row r="952" spans="1:7" ht="39.75" hidden="1" customHeight="1" x14ac:dyDescent="0.25">
      <c r="A952" s="364" t="s">
        <v>125</v>
      </c>
      <c r="B952" s="365" t="s">
        <v>174</v>
      </c>
      <c r="C952" s="365" t="s">
        <v>159</v>
      </c>
      <c r="D952" s="365" t="s">
        <v>763</v>
      </c>
      <c r="E952" s="365" t="s">
        <v>126</v>
      </c>
      <c r="F952" s="318">
        <f>'Пр.4 ведом.22'!G514</f>
        <v>0</v>
      </c>
      <c r="G952" s="318">
        <f>'Пр.4 ведом.22'!H514</f>
        <v>0</v>
      </c>
    </row>
    <row r="953" spans="1:7" ht="19.5" customHeight="1" x14ac:dyDescent="0.25">
      <c r="A953" s="364" t="s">
        <v>177</v>
      </c>
      <c r="B953" s="365" t="s">
        <v>174</v>
      </c>
      <c r="C953" s="365" t="s">
        <v>159</v>
      </c>
      <c r="D953" s="365" t="s">
        <v>763</v>
      </c>
      <c r="E953" s="365" t="s">
        <v>178</v>
      </c>
      <c r="F953" s="318">
        <f>F954</f>
        <v>257</v>
      </c>
      <c r="G953" s="318">
        <f>G954</f>
        <v>257</v>
      </c>
    </row>
    <row r="954" spans="1:7" ht="31.5" x14ac:dyDescent="0.25">
      <c r="A954" s="364" t="s">
        <v>216</v>
      </c>
      <c r="B954" s="365" t="s">
        <v>174</v>
      </c>
      <c r="C954" s="365" t="s">
        <v>159</v>
      </c>
      <c r="D954" s="365" t="s">
        <v>763</v>
      </c>
      <c r="E954" s="365" t="s">
        <v>217</v>
      </c>
      <c r="F954" s="318">
        <f>'Пр.4.1 ведом.23-24 '!G516</f>
        <v>257</v>
      </c>
      <c r="G954" s="318">
        <f>'Пр.4.1 ведом.23-24 '!H516</f>
        <v>257</v>
      </c>
    </row>
    <row r="955" spans="1:7" ht="31.5" x14ac:dyDescent="0.25">
      <c r="A955" s="315" t="s">
        <v>560</v>
      </c>
      <c r="B955" s="312">
        <v>10</v>
      </c>
      <c r="C955" s="316" t="s">
        <v>159</v>
      </c>
      <c r="D955" s="316" t="s">
        <v>757</v>
      </c>
      <c r="E955" s="316"/>
      <c r="F955" s="314">
        <f t="shared" ref="F955:G957" si="143">F956</f>
        <v>420</v>
      </c>
      <c r="G955" s="314">
        <f t="shared" si="143"/>
        <v>420</v>
      </c>
    </row>
    <row r="956" spans="1:7" ht="15.75" x14ac:dyDescent="0.25">
      <c r="A956" s="364" t="s">
        <v>598</v>
      </c>
      <c r="B956" s="365" t="s">
        <v>174</v>
      </c>
      <c r="C956" s="365" t="s">
        <v>159</v>
      </c>
      <c r="D956" s="365" t="s">
        <v>759</v>
      </c>
      <c r="E956" s="365"/>
      <c r="F956" s="318">
        <f t="shared" si="143"/>
        <v>420</v>
      </c>
      <c r="G956" s="318">
        <f t="shared" si="143"/>
        <v>420</v>
      </c>
    </row>
    <row r="957" spans="1:7" ht="21.75" customHeight="1" x14ac:dyDescent="0.25">
      <c r="A957" s="364" t="s">
        <v>177</v>
      </c>
      <c r="B957" s="365" t="s">
        <v>174</v>
      </c>
      <c r="C957" s="365" t="s">
        <v>159</v>
      </c>
      <c r="D957" s="365" t="s">
        <v>759</v>
      </c>
      <c r="E957" s="365" t="s">
        <v>178</v>
      </c>
      <c r="F957" s="318">
        <f t="shared" si="143"/>
        <v>420</v>
      </c>
      <c r="G957" s="318">
        <f t="shared" si="143"/>
        <v>420</v>
      </c>
    </row>
    <row r="958" spans="1:7" ht="31.5" x14ac:dyDescent="0.25">
      <c r="A958" s="364" t="s">
        <v>216</v>
      </c>
      <c r="B958" s="365" t="s">
        <v>174</v>
      </c>
      <c r="C958" s="365" t="s">
        <v>159</v>
      </c>
      <c r="D958" s="365" t="s">
        <v>759</v>
      </c>
      <c r="E958" s="365" t="s">
        <v>217</v>
      </c>
      <c r="F958" s="318">
        <f>'Пр.4.1 ведом.23-24 '!G520</f>
        <v>420</v>
      </c>
      <c r="G958" s="318">
        <f>'Пр.4.1 ведом.23-24 '!H520</f>
        <v>420</v>
      </c>
    </row>
    <row r="959" spans="1:7" ht="69" customHeight="1" x14ac:dyDescent="0.25">
      <c r="A959" s="315" t="s">
        <v>849</v>
      </c>
      <c r="B959" s="316" t="s">
        <v>174</v>
      </c>
      <c r="C959" s="316" t="s">
        <v>159</v>
      </c>
      <c r="D959" s="316" t="s">
        <v>182</v>
      </c>
      <c r="E959" s="316"/>
      <c r="F959" s="310">
        <f t="shared" ref="F959:G961" si="144">F960</f>
        <v>10</v>
      </c>
      <c r="G959" s="310">
        <f t="shared" si="144"/>
        <v>10</v>
      </c>
    </row>
    <row r="960" spans="1:7" ht="47.25" x14ac:dyDescent="0.25">
      <c r="A960" s="315" t="s">
        <v>459</v>
      </c>
      <c r="B960" s="316" t="s">
        <v>174</v>
      </c>
      <c r="C960" s="316" t="s">
        <v>159</v>
      </c>
      <c r="D960" s="316" t="s">
        <v>457</v>
      </c>
      <c r="E960" s="316"/>
      <c r="F960" s="310">
        <f>F961</f>
        <v>10</v>
      </c>
      <c r="G960" s="310">
        <f>G961</f>
        <v>10</v>
      </c>
    </row>
    <row r="961" spans="1:7" ht="31.5" x14ac:dyDescent="0.25">
      <c r="A961" s="364" t="s">
        <v>458</v>
      </c>
      <c r="B961" s="365" t="s">
        <v>174</v>
      </c>
      <c r="C961" s="365" t="s">
        <v>159</v>
      </c>
      <c r="D961" s="365" t="s">
        <v>728</v>
      </c>
      <c r="E961" s="365"/>
      <c r="F961" s="311">
        <f t="shared" si="144"/>
        <v>10</v>
      </c>
      <c r="G961" s="311">
        <f t="shared" si="144"/>
        <v>10</v>
      </c>
    </row>
    <row r="962" spans="1:7" ht="19.5" customHeight="1" x14ac:dyDescent="0.25">
      <c r="A962" s="364" t="s">
        <v>177</v>
      </c>
      <c r="B962" s="365" t="s">
        <v>174</v>
      </c>
      <c r="C962" s="365" t="s">
        <v>159</v>
      </c>
      <c r="D962" s="365" t="s">
        <v>728</v>
      </c>
      <c r="E962" s="365" t="s">
        <v>178</v>
      </c>
      <c r="F962" s="311">
        <v>10</v>
      </c>
      <c r="G962" s="311">
        <v>10</v>
      </c>
    </row>
    <row r="963" spans="1:7" ht="31.5" x14ac:dyDescent="0.25">
      <c r="A963" s="364" t="s">
        <v>179</v>
      </c>
      <c r="B963" s="365" t="s">
        <v>174</v>
      </c>
      <c r="C963" s="365" t="s">
        <v>159</v>
      </c>
      <c r="D963" s="365" t="s">
        <v>728</v>
      </c>
      <c r="E963" s="365" t="s">
        <v>180</v>
      </c>
      <c r="F963" s="311">
        <f>'Пр.4.1 ведом.23-24 '!G237</f>
        <v>10</v>
      </c>
      <c r="G963" s="311">
        <f>'Пр.4.1 ведом.23-24 '!H237</f>
        <v>10</v>
      </c>
    </row>
    <row r="964" spans="1:7" ht="15.75" hidden="1" x14ac:dyDescent="0.25">
      <c r="A964" s="315" t="s">
        <v>234</v>
      </c>
      <c r="B964" s="316" t="s">
        <v>174</v>
      </c>
      <c r="C964" s="316" t="s">
        <v>139</v>
      </c>
      <c r="D964" s="316"/>
      <c r="E964" s="316"/>
      <c r="F964" s="310">
        <f t="shared" ref="F964:G967" si="145">F965</f>
        <v>0</v>
      </c>
      <c r="G964" s="310">
        <f t="shared" si="145"/>
        <v>0</v>
      </c>
    </row>
    <row r="965" spans="1:7" ht="31.5" hidden="1" x14ac:dyDescent="0.25">
      <c r="A965" s="315" t="s">
        <v>460</v>
      </c>
      <c r="B965" s="316" t="s">
        <v>174</v>
      </c>
      <c r="C965" s="316" t="s">
        <v>139</v>
      </c>
      <c r="D965" s="316" t="s">
        <v>439</v>
      </c>
      <c r="E965" s="365"/>
      <c r="F965" s="314">
        <f t="shared" si="145"/>
        <v>0</v>
      </c>
      <c r="G965" s="314">
        <f t="shared" si="145"/>
        <v>0</v>
      </c>
    </row>
    <row r="966" spans="1:7" ht="47.25" hidden="1" x14ac:dyDescent="0.25">
      <c r="A966" s="364" t="s">
        <v>721</v>
      </c>
      <c r="B966" s="365" t="s">
        <v>174</v>
      </c>
      <c r="C966" s="365" t="s">
        <v>139</v>
      </c>
      <c r="D966" s="365" t="s">
        <v>720</v>
      </c>
      <c r="E966" s="365"/>
      <c r="F966" s="318">
        <f t="shared" si="145"/>
        <v>0</v>
      </c>
      <c r="G966" s="318">
        <f t="shared" si="145"/>
        <v>0</v>
      </c>
    </row>
    <row r="967" spans="1:7" ht="31.5" hidden="1" x14ac:dyDescent="0.25">
      <c r="A967" s="364" t="s">
        <v>123</v>
      </c>
      <c r="B967" s="365" t="s">
        <v>174</v>
      </c>
      <c r="C967" s="365" t="s">
        <v>139</v>
      </c>
      <c r="D967" s="365" t="s">
        <v>720</v>
      </c>
      <c r="E967" s="365" t="s">
        <v>124</v>
      </c>
      <c r="F967" s="318">
        <f t="shared" si="145"/>
        <v>0</v>
      </c>
      <c r="G967" s="318">
        <f t="shared" si="145"/>
        <v>0</v>
      </c>
    </row>
    <row r="968" spans="1:7" ht="31.5" hidden="1" x14ac:dyDescent="0.25">
      <c r="A968" s="364" t="s">
        <v>125</v>
      </c>
      <c r="B968" s="365" t="s">
        <v>174</v>
      </c>
      <c r="C968" s="365" t="s">
        <v>139</v>
      </c>
      <c r="D968" s="365" t="s">
        <v>720</v>
      </c>
      <c r="E968" s="365" t="s">
        <v>126</v>
      </c>
      <c r="F968" s="318">
        <f>'Пр.4 ведом.22'!G607</f>
        <v>0</v>
      </c>
      <c r="G968" s="318">
        <f>'Пр.4 ведом.22'!H607</f>
        <v>0</v>
      </c>
    </row>
    <row r="969" spans="1:7" ht="15.75" x14ac:dyDescent="0.25">
      <c r="A969" s="315" t="s">
        <v>183</v>
      </c>
      <c r="B969" s="316" t="s">
        <v>174</v>
      </c>
      <c r="C969" s="316" t="s">
        <v>118</v>
      </c>
      <c r="D969" s="316"/>
      <c r="E969" s="316"/>
      <c r="F969" s="310">
        <f>F970+F977</f>
        <v>3775.8</v>
      </c>
      <c r="G969" s="310">
        <f>G970+G977</f>
        <v>3926.6</v>
      </c>
    </row>
    <row r="970" spans="1:7" ht="31.5" x14ac:dyDescent="0.25">
      <c r="A970" s="315" t="s">
        <v>488</v>
      </c>
      <c r="B970" s="316" t="s">
        <v>174</v>
      </c>
      <c r="C970" s="316" t="s">
        <v>118</v>
      </c>
      <c r="D970" s="316" t="s">
        <v>434</v>
      </c>
      <c r="E970" s="316"/>
      <c r="F970" s="310">
        <f>F971</f>
        <v>3690.7000000000003</v>
      </c>
      <c r="G970" s="310">
        <f>G971</f>
        <v>3841.5</v>
      </c>
    </row>
    <row r="971" spans="1:7" ht="31.5" x14ac:dyDescent="0.25">
      <c r="A971" s="315" t="s">
        <v>460</v>
      </c>
      <c r="B971" s="316" t="s">
        <v>174</v>
      </c>
      <c r="C971" s="316" t="s">
        <v>118</v>
      </c>
      <c r="D971" s="316" t="s">
        <v>439</v>
      </c>
      <c r="E971" s="316"/>
      <c r="F971" s="310">
        <f>F972</f>
        <v>3690.7000000000003</v>
      </c>
      <c r="G971" s="310">
        <f>G972</f>
        <v>3841.5</v>
      </c>
    </row>
    <row r="972" spans="1:7" ht="43.5" customHeight="1" x14ac:dyDescent="0.25">
      <c r="A972" s="24" t="s">
        <v>184</v>
      </c>
      <c r="B972" s="365" t="s">
        <v>174</v>
      </c>
      <c r="C972" s="365" t="s">
        <v>118</v>
      </c>
      <c r="D972" s="365" t="s">
        <v>496</v>
      </c>
      <c r="E972" s="365"/>
      <c r="F972" s="311">
        <f>F973+F975</f>
        <v>3690.7000000000003</v>
      </c>
      <c r="G972" s="311">
        <f>G973+G975</f>
        <v>3841.5</v>
      </c>
    </row>
    <row r="973" spans="1:7" ht="78.75" x14ac:dyDescent="0.25">
      <c r="A973" s="364" t="s">
        <v>119</v>
      </c>
      <c r="B973" s="365" t="s">
        <v>174</v>
      </c>
      <c r="C973" s="365" t="s">
        <v>118</v>
      </c>
      <c r="D973" s="365" t="s">
        <v>496</v>
      </c>
      <c r="E973" s="365" t="s">
        <v>120</v>
      </c>
      <c r="F973" s="311">
        <f t="shared" ref="F973:G973" si="146">F974</f>
        <v>3555.4</v>
      </c>
      <c r="G973" s="311">
        <f t="shared" si="146"/>
        <v>3689.8</v>
      </c>
    </row>
    <row r="974" spans="1:7" ht="31.5" x14ac:dyDescent="0.25">
      <c r="A974" s="364" t="s">
        <v>121</v>
      </c>
      <c r="B974" s="365" t="s">
        <v>174</v>
      </c>
      <c r="C974" s="365" t="s">
        <v>118</v>
      </c>
      <c r="D974" s="365" t="s">
        <v>496</v>
      </c>
      <c r="E974" s="365" t="s">
        <v>122</v>
      </c>
      <c r="F974" s="311">
        <f>'Пр.4.1 ведом.23-24 '!G243</f>
        <v>3555.4</v>
      </c>
      <c r="G974" s="311">
        <f>'Пр.4.1 ведом.23-24 '!H243</f>
        <v>3689.8</v>
      </c>
    </row>
    <row r="975" spans="1:7" ht="32.25" customHeight="1" x14ac:dyDescent="0.25">
      <c r="A975" s="364" t="s">
        <v>123</v>
      </c>
      <c r="B975" s="365" t="s">
        <v>174</v>
      </c>
      <c r="C975" s="365" t="s">
        <v>118</v>
      </c>
      <c r="D975" s="365" t="s">
        <v>496</v>
      </c>
      <c r="E975" s="365" t="s">
        <v>124</v>
      </c>
      <c r="F975" s="311">
        <f t="shared" ref="F975:G975" si="147">F976</f>
        <v>135.30000000000001</v>
      </c>
      <c r="G975" s="311">
        <f t="shared" si="147"/>
        <v>151.69999999999999</v>
      </c>
    </row>
    <row r="976" spans="1:7" ht="31.7" customHeight="1" x14ac:dyDescent="0.25">
      <c r="A976" s="364" t="s">
        <v>125</v>
      </c>
      <c r="B976" s="365" t="s">
        <v>174</v>
      </c>
      <c r="C976" s="365" t="s">
        <v>118</v>
      </c>
      <c r="D976" s="365" t="s">
        <v>496</v>
      </c>
      <c r="E976" s="365" t="s">
        <v>126</v>
      </c>
      <c r="F976" s="311">
        <f>'Пр.4.1 ведом.23-24 '!G245</f>
        <v>135.30000000000001</v>
      </c>
      <c r="G976" s="311">
        <f>'Пр.4.1 ведом.23-24 '!H245</f>
        <v>151.69999999999999</v>
      </c>
    </row>
    <row r="977" spans="1:12" ht="15" customHeight="1" x14ac:dyDescent="0.25">
      <c r="A977" s="315" t="s">
        <v>133</v>
      </c>
      <c r="B977" s="316" t="s">
        <v>174</v>
      </c>
      <c r="C977" s="316" t="s">
        <v>118</v>
      </c>
      <c r="D977" s="316" t="s">
        <v>442</v>
      </c>
      <c r="E977" s="316"/>
      <c r="F977" s="310">
        <f t="shared" ref="F977:G980" si="148">F978</f>
        <v>85.1</v>
      </c>
      <c r="G977" s="310">
        <f t="shared" si="148"/>
        <v>85.1</v>
      </c>
    </row>
    <row r="978" spans="1:12" ht="37.5" customHeight="1" x14ac:dyDescent="0.25">
      <c r="A978" s="315" t="s">
        <v>446</v>
      </c>
      <c r="B978" s="316" t="s">
        <v>174</v>
      </c>
      <c r="C978" s="316" t="s">
        <v>118</v>
      </c>
      <c r="D978" s="316" t="s">
        <v>441</v>
      </c>
      <c r="E978" s="316"/>
      <c r="F978" s="310">
        <f t="shared" si="148"/>
        <v>85.1</v>
      </c>
      <c r="G978" s="310">
        <f t="shared" si="148"/>
        <v>85.1</v>
      </c>
    </row>
    <row r="979" spans="1:12" ht="15.75" customHeight="1" x14ac:dyDescent="0.25">
      <c r="A979" s="364" t="s">
        <v>283</v>
      </c>
      <c r="B979" s="365" t="s">
        <v>174</v>
      </c>
      <c r="C979" s="365" t="s">
        <v>118</v>
      </c>
      <c r="D979" s="365" t="s">
        <v>550</v>
      </c>
      <c r="E979" s="365"/>
      <c r="F979" s="311">
        <f t="shared" si="148"/>
        <v>85.1</v>
      </c>
      <c r="G979" s="311">
        <f t="shared" si="148"/>
        <v>85.1</v>
      </c>
    </row>
    <row r="980" spans="1:12" ht="31.7" customHeight="1" x14ac:dyDescent="0.25">
      <c r="A980" s="364" t="s">
        <v>123</v>
      </c>
      <c r="B980" s="365" t="s">
        <v>174</v>
      </c>
      <c r="C980" s="365" t="s">
        <v>118</v>
      </c>
      <c r="D980" s="365" t="s">
        <v>550</v>
      </c>
      <c r="E980" s="365" t="s">
        <v>124</v>
      </c>
      <c r="F980" s="311">
        <f t="shared" si="148"/>
        <v>85.1</v>
      </c>
      <c r="G980" s="311">
        <f t="shared" si="148"/>
        <v>85.1</v>
      </c>
    </row>
    <row r="981" spans="1:12" ht="35.450000000000003" customHeight="1" x14ac:dyDescent="0.25">
      <c r="A981" s="364" t="s">
        <v>125</v>
      </c>
      <c r="B981" s="365" t="s">
        <v>174</v>
      </c>
      <c r="C981" s="365" t="s">
        <v>118</v>
      </c>
      <c r="D981" s="365" t="s">
        <v>550</v>
      </c>
      <c r="E981" s="365" t="s">
        <v>126</v>
      </c>
      <c r="F981" s="311">
        <f>'Пр.4.1 ведом.23-24 '!G1193</f>
        <v>85.1</v>
      </c>
      <c r="G981" s="311">
        <f>'Пр.4.1 ведом.23-24 '!H1193</f>
        <v>85.1</v>
      </c>
    </row>
    <row r="982" spans="1:12" ht="15.75" x14ac:dyDescent="0.25">
      <c r="A982" s="359" t="s">
        <v>250</v>
      </c>
      <c r="B982" s="7" t="s">
        <v>251</v>
      </c>
      <c r="C982" s="360"/>
      <c r="D982" s="360"/>
      <c r="E982" s="360"/>
      <c r="F982" s="310">
        <f>F983+F1030</f>
        <v>70328.3</v>
      </c>
      <c r="G982" s="310">
        <f>G983+G1030</f>
        <v>70328.3</v>
      </c>
      <c r="H982" s="74">
        <f>G982-F982</f>
        <v>0</v>
      </c>
      <c r="K982" s="154">
        <f>F982-F1009-'Пр.4 ведом.22'!S1216</f>
        <v>69444.400000000009</v>
      </c>
      <c r="L982" s="156">
        <f>F1009+F1022-'Пр.4 ведом.22'!S1215</f>
        <v>883.9</v>
      </c>
    </row>
    <row r="983" spans="1:12" ht="15.75" x14ac:dyDescent="0.25">
      <c r="A983" s="315" t="s">
        <v>252</v>
      </c>
      <c r="B983" s="316" t="s">
        <v>251</v>
      </c>
      <c r="C983" s="316" t="s">
        <v>116</v>
      </c>
      <c r="D983" s="365"/>
      <c r="E983" s="365"/>
      <c r="F983" s="310">
        <f>F984+F1025</f>
        <v>56655.199999999997</v>
      </c>
      <c r="G983" s="310">
        <f>G984+G1025</f>
        <v>56655.199999999997</v>
      </c>
      <c r="H983" s="74"/>
      <c r="I983" s="74"/>
      <c r="J983" s="74"/>
    </row>
    <row r="984" spans="1:12" ht="47.25" x14ac:dyDescent="0.25">
      <c r="A984" s="315" t="s">
        <v>869</v>
      </c>
      <c r="B984" s="316" t="s">
        <v>251</v>
      </c>
      <c r="C984" s="316" t="s">
        <v>116</v>
      </c>
      <c r="D984" s="316" t="s">
        <v>249</v>
      </c>
      <c r="E984" s="316"/>
      <c r="F984" s="310">
        <f>F985+F989+F1002+F1009+F1021+F1013+F1017</f>
        <v>56076.1</v>
      </c>
      <c r="G984" s="310">
        <f>G985+G989+G1002+G1009+G1021+G1013+G1017</f>
        <v>56076.1</v>
      </c>
      <c r="H984" s="74"/>
    </row>
    <row r="985" spans="1:12" ht="31.5" x14ac:dyDescent="0.25">
      <c r="A985" s="315" t="s">
        <v>507</v>
      </c>
      <c r="B985" s="316" t="s">
        <v>251</v>
      </c>
      <c r="C985" s="316" t="s">
        <v>116</v>
      </c>
      <c r="D985" s="316" t="s">
        <v>790</v>
      </c>
      <c r="E985" s="316"/>
      <c r="F985" s="310">
        <f t="shared" ref="F985:G987" si="149">F986</f>
        <v>53866.2</v>
      </c>
      <c r="G985" s="310">
        <f t="shared" si="149"/>
        <v>53866.2</v>
      </c>
    </row>
    <row r="986" spans="1:12" ht="31.5" x14ac:dyDescent="0.25">
      <c r="A986" s="364" t="s">
        <v>810</v>
      </c>
      <c r="B986" s="365" t="s">
        <v>251</v>
      </c>
      <c r="C986" s="365" t="s">
        <v>116</v>
      </c>
      <c r="D986" s="365" t="s">
        <v>791</v>
      </c>
      <c r="E986" s="365"/>
      <c r="F986" s="311">
        <f t="shared" si="149"/>
        <v>53866.2</v>
      </c>
      <c r="G986" s="311">
        <f t="shared" si="149"/>
        <v>53866.2</v>
      </c>
    </row>
    <row r="987" spans="1:12" ht="31.5" x14ac:dyDescent="0.25">
      <c r="A987" s="364" t="s">
        <v>191</v>
      </c>
      <c r="B987" s="365" t="s">
        <v>251</v>
      </c>
      <c r="C987" s="365" t="s">
        <v>116</v>
      </c>
      <c r="D987" s="365" t="s">
        <v>791</v>
      </c>
      <c r="E987" s="365" t="s">
        <v>192</v>
      </c>
      <c r="F987" s="311">
        <f t="shared" si="149"/>
        <v>53866.2</v>
      </c>
      <c r="G987" s="311">
        <f t="shared" si="149"/>
        <v>53866.2</v>
      </c>
    </row>
    <row r="988" spans="1:12" ht="15.75" x14ac:dyDescent="0.25">
      <c r="A988" s="364" t="s">
        <v>193</v>
      </c>
      <c r="B988" s="365" t="s">
        <v>251</v>
      </c>
      <c r="C988" s="365" t="s">
        <v>116</v>
      </c>
      <c r="D988" s="365" t="s">
        <v>791</v>
      </c>
      <c r="E988" s="365" t="s">
        <v>194</v>
      </c>
      <c r="F988" s="311">
        <f>'Пр.4.1 ведом.23-24 '!G857</f>
        <v>53866.2</v>
      </c>
      <c r="G988" s="311">
        <f>'Пр.4.1 ведом.23-24 '!H857</f>
        <v>53866.2</v>
      </c>
      <c r="H988" s="74"/>
    </row>
    <row r="989" spans="1:12" ht="31.5" x14ac:dyDescent="0.25">
      <c r="A989" s="315" t="s">
        <v>513</v>
      </c>
      <c r="B989" s="316" t="s">
        <v>251</v>
      </c>
      <c r="C989" s="316" t="s">
        <v>116</v>
      </c>
      <c r="D989" s="316" t="s">
        <v>792</v>
      </c>
      <c r="E989" s="316"/>
      <c r="F989" s="310">
        <f>F990+F993+F996+F999</f>
        <v>36</v>
      </c>
      <c r="G989" s="310">
        <f>G990+G993+G996+G999</f>
        <v>36</v>
      </c>
    </row>
    <row r="990" spans="1:12" ht="31.5" hidden="1" x14ac:dyDescent="0.25">
      <c r="A990" s="364" t="s">
        <v>195</v>
      </c>
      <c r="B990" s="365" t="s">
        <v>251</v>
      </c>
      <c r="C990" s="365" t="s">
        <v>116</v>
      </c>
      <c r="D990" s="365" t="s">
        <v>831</v>
      </c>
      <c r="E990" s="365"/>
      <c r="F990" s="311">
        <f t="shared" ref="F990:G990" si="150">F991</f>
        <v>0</v>
      </c>
      <c r="G990" s="311">
        <f t="shared" si="150"/>
        <v>0</v>
      </c>
    </row>
    <row r="991" spans="1:12" ht="31.5" hidden="1" x14ac:dyDescent="0.25">
      <c r="A991" s="364" t="s">
        <v>191</v>
      </c>
      <c r="B991" s="365" t="s">
        <v>251</v>
      </c>
      <c r="C991" s="365" t="s">
        <v>116</v>
      </c>
      <c r="D991" s="365" t="s">
        <v>831</v>
      </c>
      <c r="E991" s="365" t="s">
        <v>192</v>
      </c>
      <c r="F991" s="311">
        <f>'Пр.4 ведом.22'!G861</f>
        <v>0</v>
      </c>
      <c r="G991" s="311">
        <f>'Пр.4 ведом.22'!H861</f>
        <v>0</v>
      </c>
    </row>
    <row r="992" spans="1:12" ht="20.25" hidden="1" customHeight="1" x14ac:dyDescent="0.25">
      <c r="A992" s="364" t="s">
        <v>193</v>
      </c>
      <c r="B992" s="365" t="s">
        <v>251</v>
      </c>
      <c r="C992" s="365" t="s">
        <v>116</v>
      </c>
      <c r="D992" s="365" t="s">
        <v>831</v>
      </c>
      <c r="E992" s="365" t="s">
        <v>194</v>
      </c>
      <c r="F992" s="311">
        <f>'Пр.4 ведом.22'!G861</f>
        <v>0</v>
      </c>
      <c r="G992" s="311">
        <f>'Пр.4 ведом.22'!H861</f>
        <v>0</v>
      </c>
    </row>
    <row r="993" spans="1:7" ht="33" hidden="1" customHeight="1" x14ac:dyDescent="0.25">
      <c r="A993" s="364" t="s">
        <v>196</v>
      </c>
      <c r="B993" s="365" t="s">
        <v>251</v>
      </c>
      <c r="C993" s="365" t="s">
        <v>116</v>
      </c>
      <c r="D993" s="365" t="s">
        <v>832</v>
      </c>
      <c r="E993" s="365"/>
      <c r="F993" s="311">
        <f t="shared" ref="F993:G993" si="151">F994</f>
        <v>0</v>
      </c>
      <c r="G993" s="311">
        <f t="shared" si="151"/>
        <v>0</v>
      </c>
    </row>
    <row r="994" spans="1:7" ht="37.5" hidden="1" customHeight="1" x14ac:dyDescent="0.25">
      <c r="A994" s="364" t="s">
        <v>191</v>
      </c>
      <c r="B994" s="365" t="s">
        <v>251</v>
      </c>
      <c r="C994" s="365" t="s">
        <v>116</v>
      </c>
      <c r="D994" s="365" t="s">
        <v>832</v>
      </c>
      <c r="E994" s="365" t="s">
        <v>192</v>
      </c>
      <c r="F994" s="311">
        <f>'Пр.4 ведом.22'!G864</f>
        <v>0</v>
      </c>
      <c r="G994" s="311">
        <f>'Пр.4 ведом.22'!H864</f>
        <v>0</v>
      </c>
    </row>
    <row r="995" spans="1:7" ht="15.75" hidden="1" customHeight="1" x14ac:dyDescent="0.25">
      <c r="A995" s="364" t="s">
        <v>193</v>
      </c>
      <c r="B995" s="365" t="s">
        <v>251</v>
      </c>
      <c r="C995" s="365" t="s">
        <v>116</v>
      </c>
      <c r="D995" s="365" t="s">
        <v>832</v>
      </c>
      <c r="E995" s="365" t="s">
        <v>194</v>
      </c>
      <c r="F995" s="311">
        <f>'Пр.4 ведом.22'!G864</f>
        <v>0</v>
      </c>
      <c r="G995" s="311">
        <f>'Пр.4 ведом.22'!H864</f>
        <v>0</v>
      </c>
    </row>
    <row r="996" spans="1:7" ht="20.25" customHeight="1" x14ac:dyDescent="0.25">
      <c r="A996" s="364" t="s">
        <v>407</v>
      </c>
      <c r="B996" s="365" t="s">
        <v>251</v>
      </c>
      <c r="C996" s="365" t="s">
        <v>116</v>
      </c>
      <c r="D996" s="365" t="s">
        <v>793</v>
      </c>
      <c r="E996" s="365"/>
      <c r="F996" s="311">
        <f>F997</f>
        <v>36</v>
      </c>
      <c r="G996" s="311">
        <f>G997</f>
        <v>36</v>
      </c>
    </row>
    <row r="997" spans="1:7" ht="33" customHeight="1" x14ac:dyDescent="0.25">
      <c r="A997" s="364" t="s">
        <v>191</v>
      </c>
      <c r="B997" s="365" t="s">
        <v>251</v>
      </c>
      <c r="C997" s="365" t="s">
        <v>116</v>
      </c>
      <c r="D997" s="365" t="s">
        <v>793</v>
      </c>
      <c r="E997" s="365" t="s">
        <v>192</v>
      </c>
      <c r="F997" s="311">
        <f>'Пр.4 ведом.22'!G867</f>
        <v>36</v>
      </c>
      <c r="G997" s="311">
        <f>G998</f>
        <v>36</v>
      </c>
    </row>
    <row r="998" spans="1:7" ht="20.25" customHeight="1" x14ac:dyDescent="0.25">
      <c r="A998" s="364" t="s">
        <v>193</v>
      </c>
      <c r="B998" s="365" t="s">
        <v>251</v>
      </c>
      <c r="C998" s="365" t="s">
        <v>116</v>
      </c>
      <c r="D998" s="365" t="s">
        <v>793</v>
      </c>
      <c r="E998" s="365" t="s">
        <v>194</v>
      </c>
      <c r="F998" s="311">
        <f>'Пр.4.1 ведом.23-24 '!G867</f>
        <v>36</v>
      </c>
      <c r="G998" s="311">
        <f>'Пр.4.1 ведом.23-24 '!H867</f>
        <v>36</v>
      </c>
    </row>
    <row r="999" spans="1:7" ht="39.75" hidden="1" customHeight="1" x14ac:dyDescent="0.25">
      <c r="A999" s="364" t="s">
        <v>199</v>
      </c>
      <c r="B999" s="365" t="s">
        <v>251</v>
      </c>
      <c r="C999" s="365" t="s">
        <v>116</v>
      </c>
      <c r="D999" s="365" t="s">
        <v>1079</v>
      </c>
      <c r="E999" s="365"/>
      <c r="F999" s="311">
        <f>F1000</f>
        <v>0</v>
      </c>
      <c r="G999" s="311">
        <f>G1000</f>
        <v>0</v>
      </c>
    </row>
    <row r="1000" spans="1:7" ht="35.25" hidden="1" customHeight="1" x14ac:dyDescent="0.25">
      <c r="A1000" s="364" t="s">
        <v>191</v>
      </c>
      <c r="B1000" s="365" t="s">
        <v>251</v>
      </c>
      <c r="C1000" s="365" t="s">
        <v>116</v>
      </c>
      <c r="D1000" s="365" t="s">
        <v>1079</v>
      </c>
      <c r="E1000" s="365" t="s">
        <v>192</v>
      </c>
      <c r="F1000" s="311">
        <f>F1001</f>
        <v>0</v>
      </c>
      <c r="G1000" s="311">
        <f>G1001</f>
        <v>0</v>
      </c>
    </row>
    <row r="1001" spans="1:7" ht="20.25" hidden="1" customHeight="1" x14ac:dyDescent="0.25">
      <c r="A1001" s="364" t="s">
        <v>193</v>
      </c>
      <c r="B1001" s="365" t="s">
        <v>251</v>
      </c>
      <c r="C1001" s="365" t="s">
        <v>116</v>
      </c>
      <c r="D1001" s="365" t="s">
        <v>1079</v>
      </c>
      <c r="E1001" s="365" t="s">
        <v>194</v>
      </c>
      <c r="F1001" s="311">
        <f>'Пр.4 ведом.22'!G870</f>
        <v>0</v>
      </c>
      <c r="G1001" s="311">
        <f>'Пр.4 ведом.22'!H870</f>
        <v>0</v>
      </c>
    </row>
    <row r="1002" spans="1:7" ht="33" customHeight="1" x14ac:dyDescent="0.25">
      <c r="A1002" s="315" t="s">
        <v>514</v>
      </c>
      <c r="B1002" s="316" t="s">
        <v>251</v>
      </c>
      <c r="C1002" s="316" t="s">
        <v>116</v>
      </c>
      <c r="D1002" s="316" t="s">
        <v>794</v>
      </c>
      <c r="E1002" s="316"/>
      <c r="F1002" s="310">
        <f>F1003+F1006</f>
        <v>1290</v>
      </c>
      <c r="G1002" s="310">
        <f>G1003+G1006</f>
        <v>1290</v>
      </c>
    </row>
    <row r="1003" spans="1:7" ht="39.200000000000003" hidden="1" customHeight="1" x14ac:dyDescent="0.25">
      <c r="A1003" s="364" t="s">
        <v>369</v>
      </c>
      <c r="B1003" s="365" t="s">
        <v>251</v>
      </c>
      <c r="C1003" s="365" t="s">
        <v>116</v>
      </c>
      <c r="D1003" s="365" t="s">
        <v>819</v>
      </c>
      <c r="E1003" s="365"/>
      <c r="F1003" s="311">
        <f>'Пр.4 ведом.22'!G874</f>
        <v>0</v>
      </c>
      <c r="G1003" s="311">
        <f>'Пр.4 ведом.22'!H874</f>
        <v>0</v>
      </c>
    </row>
    <row r="1004" spans="1:7" ht="40.700000000000003" hidden="1" customHeight="1" x14ac:dyDescent="0.25">
      <c r="A1004" s="364" t="s">
        <v>191</v>
      </c>
      <c r="B1004" s="365" t="s">
        <v>251</v>
      </c>
      <c r="C1004" s="365" t="s">
        <v>116</v>
      </c>
      <c r="D1004" s="365" t="s">
        <v>819</v>
      </c>
      <c r="E1004" s="365" t="s">
        <v>192</v>
      </c>
      <c r="F1004" s="311">
        <f t="shared" ref="F1004:G1004" si="152">F1005</f>
        <v>0</v>
      </c>
      <c r="G1004" s="311">
        <f t="shared" si="152"/>
        <v>0</v>
      </c>
    </row>
    <row r="1005" spans="1:7" ht="15.75" hidden="1" customHeight="1" x14ac:dyDescent="0.25">
      <c r="A1005" s="364" t="s">
        <v>193</v>
      </c>
      <c r="B1005" s="365" t="s">
        <v>251</v>
      </c>
      <c r="C1005" s="365" t="s">
        <v>116</v>
      </c>
      <c r="D1005" s="365" t="s">
        <v>819</v>
      </c>
      <c r="E1005" s="365" t="s">
        <v>194</v>
      </c>
      <c r="F1005" s="311">
        <f>'Пр.4 ведом.22'!G874</f>
        <v>0</v>
      </c>
      <c r="G1005" s="311">
        <f>'Пр.4 ведом.22'!H874</f>
        <v>0</v>
      </c>
    </row>
    <row r="1006" spans="1:7" ht="34.5" customHeight="1" x14ac:dyDescent="0.25">
      <c r="A1006" s="31" t="s">
        <v>344</v>
      </c>
      <c r="B1006" s="365" t="s">
        <v>251</v>
      </c>
      <c r="C1006" s="365" t="s">
        <v>116</v>
      </c>
      <c r="D1006" s="365" t="s">
        <v>795</v>
      </c>
      <c r="E1006" s="365"/>
      <c r="F1006" s="311">
        <f>'Пр.4 ведом.22'!G877</f>
        <v>1290</v>
      </c>
      <c r="G1006" s="311">
        <f>G1007</f>
        <v>1290</v>
      </c>
    </row>
    <row r="1007" spans="1:7" ht="39.75" customHeight="1" x14ac:dyDescent="0.25">
      <c r="A1007" s="24" t="s">
        <v>191</v>
      </c>
      <c r="B1007" s="365" t="s">
        <v>251</v>
      </c>
      <c r="C1007" s="365" t="s">
        <v>116</v>
      </c>
      <c r="D1007" s="365" t="s">
        <v>795</v>
      </c>
      <c r="E1007" s="365" t="s">
        <v>192</v>
      </c>
      <c r="F1007" s="311">
        <f>F1008</f>
        <v>1290</v>
      </c>
      <c r="G1007" s="311">
        <f>G1008</f>
        <v>1290</v>
      </c>
    </row>
    <row r="1008" spans="1:7" ht="15.75" x14ac:dyDescent="0.25">
      <c r="A1008" s="24" t="s">
        <v>193</v>
      </c>
      <c r="B1008" s="365" t="s">
        <v>251</v>
      </c>
      <c r="C1008" s="365" t="s">
        <v>116</v>
      </c>
      <c r="D1008" s="365" t="s">
        <v>795</v>
      </c>
      <c r="E1008" s="365" t="s">
        <v>194</v>
      </c>
      <c r="F1008" s="311">
        <f>'Пр.4.1 ведом.23-24 '!G877</f>
        <v>1290</v>
      </c>
      <c r="G1008" s="311">
        <f>'Пр.4.1 ведом.23-24 '!H877</f>
        <v>1290</v>
      </c>
    </row>
    <row r="1009" spans="1:7" ht="47.25" x14ac:dyDescent="0.25">
      <c r="A1009" s="315" t="s">
        <v>471</v>
      </c>
      <c r="B1009" s="316" t="s">
        <v>251</v>
      </c>
      <c r="C1009" s="316" t="s">
        <v>116</v>
      </c>
      <c r="D1009" s="316" t="s">
        <v>796</v>
      </c>
      <c r="E1009" s="316"/>
      <c r="F1009" s="310">
        <f>F1010</f>
        <v>883.9</v>
      </c>
      <c r="G1009" s="310">
        <f>G1010</f>
        <v>883.9</v>
      </c>
    </row>
    <row r="1010" spans="1:7" ht="94.5" x14ac:dyDescent="0.25">
      <c r="A1010" s="24" t="s">
        <v>245</v>
      </c>
      <c r="B1010" s="365" t="s">
        <v>251</v>
      </c>
      <c r="C1010" s="365" t="s">
        <v>116</v>
      </c>
      <c r="D1010" s="365" t="s">
        <v>896</v>
      </c>
      <c r="E1010" s="365"/>
      <c r="F1010" s="311">
        <f>F1011</f>
        <v>883.9</v>
      </c>
      <c r="G1010" s="311">
        <f>G1011</f>
        <v>883.9</v>
      </c>
    </row>
    <row r="1011" spans="1:7" ht="31.5" x14ac:dyDescent="0.25">
      <c r="A1011" s="364" t="s">
        <v>191</v>
      </c>
      <c r="B1011" s="365" t="s">
        <v>251</v>
      </c>
      <c r="C1011" s="365" t="s">
        <v>116</v>
      </c>
      <c r="D1011" s="365" t="s">
        <v>896</v>
      </c>
      <c r="E1011" s="365" t="s">
        <v>192</v>
      </c>
      <c r="F1011" s="311">
        <f t="shared" ref="F1011:G1025" si="153">F1012</f>
        <v>883.9</v>
      </c>
      <c r="G1011" s="311">
        <f t="shared" si="153"/>
        <v>883.9</v>
      </c>
    </row>
    <row r="1012" spans="1:7" ht="15.75" x14ac:dyDescent="0.25">
      <c r="A1012" s="364" t="s">
        <v>193</v>
      </c>
      <c r="B1012" s="365" t="s">
        <v>251</v>
      </c>
      <c r="C1012" s="365" t="s">
        <v>116</v>
      </c>
      <c r="D1012" s="365" t="s">
        <v>896</v>
      </c>
      <c r="E1012" s="365" t="s">
        <v>194</v>
      </c>
      <c r="F1012" s="311">
        <f>'Пр.4.1 ведом.23-24 '!G881</f>
        <v>883.9</v>
      </c>
      <c r="G1012" s="311">
        <f>'Пр.4.1 ведом.23-24 '!H881</f>
        <v>883.9</v>
      </c>
    </row>
    <row r="1013" spans="1:7" ht="47.25" hidden="1" x14ac:dyDescent="0.25">
      <c r="A1013" s="315" t="s">
        <v>1060</v>
      </c>
      <c r="B1013" s="316" t="s">
        <v>251</v>
      </c>
      <c r="C1013" s="316" t="s">
        <v>116</v>
      </c>
      <c r="D1013" s="316" t="s">
        <v>1058</v>
      </c>
      <c r="E1013" s="316"/>
      <c r="F1013" s="310">
        <f>F1014</f>
        <v>0</v>
      </c>
      <c r="G1013" s="310">
        <f>G1014</f>
        <v>0</v>
      </c>
    </row>
    <row r="1014" spans="1:7" ht="55.5" hidden="1" customHeight="1" x14ac:dyDescent="0.25">
      <c r="A1014" s="24" t="s">
        <v>1061</v>
      </c>
      <c r="B1014" s="365" t="s">
        <v>251</v>
      </c>
      <c r="C1014" s="365" t="s">
        <v>116</v>
      </c>
      <c r="D1014" s="365" t="s">
        <v>1059</v>
      </c>
      <c r="E1014" s="365"/>
      <c r="F1014" s="311">
        <f>F1015</f>
        <v>0</v>
      </c>
      <c r="G1014" s="311">
        <f>G1015</f>
        <v>0</v>
      </c>
    </row>
    <row r="1015" spans="1:7" ht="31.5" hidden="1" x14ac:dyDescent="0.25">
      <c r="A1015" s="364" t="s">
        <v>191</v>
      </c>
      <c r="B1015" s="365" t="s">
        <v>251</v>
      </c>
      <c r="C1015" s="365" t="s">
        <v>116</v>
      </c>
      <c r="D1015" s="365" t="s">
        <v>1059</v>
      </c>
      <c r="E1015" s="365" t="s">
        <v>192</v>
      </c>
      <c r="F1015" s="311">
        <f t="shared" si="153"/>
        <v>0</v>
      </c>
      <c r="G1015" s="311">
        <f t="shared" si="153"/>
        <v>0</v>
      </c>
    </row>
    <row r="1016" spans="1:7" ht="15.75" hidden="1" x14ac:dyDescent="0.25">
      <c r="A1016" s="364" t="s">
        <v>193</v>
      </c>
      <c r="B1016" s="365" t="s">
        <v>251</v>
      </c>
      <c r="C1016" s="365" t="s">
        <v>116</v>
      </c>
      <c r="D1016" s="365" t="s">
        <v>1059</v>
      </c>
      <c r="E1016" s="365" t="s">
        <v>194</v>
      </c>
      <c r="F1016" s="311">
        <f>'Пр.4.1 ведом.23-24 '!G885</f>
        <v>0</v>
      </c>
      <c r="G1016" s="311">
        <f>'Пр.4.1 ведом.23-24 '!H885</f>
        <v>0</v>
      </c>
    </row>
    <row r="1017" spans="1:7" ht="31.5" hidden="1" x14ac:dyDescent="0.25">
      <c r="A1017" s="359" t="s">
        <v>1122</v>
      </c>
      <c r="B1017" s="316" t="s">
        <v>251</v>
      </c>
      <c r="C1017" s="316" t="s">
        <v>116</v>
      </c>
      <c r="D1017" s="316" t="s">
        <v>1123</v>
      </c>
      <c r="E1017" s="316"/>
      <c r="F1017" s="310">
        <f t="shared" ref="F1017:G1019" si="154">F1018</f>
        <v>0</v>
      </c>
      <c r="G1017" s="310">
        <f t="shared" si="154"/>
        <v>0</v>
      </c>
    </row>
    <row r="1018" spans="1:7" ht="31.5" hidden="1" x14ac:dyDescent="0.25">
      <c r="A1018" s="22" t="s">
        <v>1125</v>
      </c>
      <c r="B1018" s="365" t="s">
        <v>251</v>
      </c>
      <c r="C1018" s="365" t="s">
        <v>116</v>
      </c>
      <c r="D1018" s="365" t="s">
        <v>1124</v>
      </c>
      <c r="E1018" s="365"/>
      <c r="F1018" s="311">
        <f t="shared" si="154"/>
        <v>0</v>
      </c>
      <c r="G1018" s="311">
        <f t="shared" si="154"/>
        <v>0</v>
      </c>
    </row>
    <row r="1019" spans="1:7" ht="31.5" hidden="1" x14ac:dyDescent="0.25">
      <c r="A1019" s="364" t="s">
        <v>191</v>
      </c>
      <c r="B1019" s="365" t="s">
        <v>251</v>
      </c>
      <c r="C1019" s="365" t="s">
        <v>116</v>
      </c>
      <c r="D1019" s="365" t="s">
        <v>1124</v>
      </c>
      <c r="E1019" s="365" t="s">
        <v>192</v>
      </c>
      <c r="F1019" s="311">
        <f t="shared" si="154"/>
        <v>0</v>
      </c>
      <c r="G1019" s="311">
        <f t="shared" si="154"/>
        <v>0</v>
      </c>
    </row>
    <row r="1020" spans="1:7" ht="15.75" hidden="1" x14ac:dyDescent="0.25">
      <c r="A1020" s="364" t="s">
        <v>193</v>
      </c>
      <c r="B1020" s="365" t="s">
        <v>251</v>
      </c>
      <c r="C1020" s="365" t="s">
        <v>116</v>
      </c>
      <c r="D1020" s="365" t="s">
        <v>1124</v>
      </c>
      <c r="E1020" s="365" t="s">
        <v>194</v>
      </c>
      <c r="F1020" s="311">
        <f>'Пр.4.1 ведом.23-24 '!G889</f>
        <v>0</v>
      </c>
      <c r="G1020" s="311">
        <f>'Пр.4.1 ведом.23-24 '!H889</f>
        <v>0</v>
      </c>
    </row>
    <row r="1021" spans="1:7" ht="63" hidden="1" x14ac:dyDescent="0.25">
      <c r="A1021" s="315" t="s">
        <v>732</v>
      </c>
      <c r="B1021" s="316" t="s">
        <v>251</v>
      </c>
      <c r="C1021" s="316" t="s">
        <v>116</v>
      </c>
      <c r="D1021" s="316" t="s">
        <v>797</v>
      </c>
      <c r="E1021" s="316"/>
      <c r="F1021" s="310">
        <f t="shared" ref="F1021:G1023" si="155">F1022</f>
        <v>0</v>
      </c>
      <c r="G1021" s="310">
        <f t="shared" si="155"/>
        <v>0</v>
      </c>
    </row>
    <row r="1022" spans="1:7" ht="63" hidden="1" x14ac:dyDescent="0.25">
      <c r="A1022" s="364" t="s">
        <v>734</v>
      </c>
      <c r="B1022" s="365" t="s">
        <v>251</v>
      </c>
      <c r="C1022" s="365" t="s">
        <v>116</v>
      </c>
      <c r="D1022" s="365" t="s">
        <v>833</v>
      </c>
      <c r="E1022" s="365"/>
      <c r="F1022" s="311">
        <f t="shared" si="155"/>
        <v>0</v>
      </c>
      <c r="G1022" s="311">
        <f t="shared" si="155"/>
        <v>0</v>
      </c>
    </row>
    <row r="1023" spans="1:7" ht="31.5" hidden="1" x14ac:dyDescent="0.25">
      <c r="A1023" s="364" t="s">
        <v>191</v>
      </c>
      <c r="B1023" s="365" t="s">
        <v>251</v>
      </c>
      <c r="C1023" s="365" t="s">
        <v>116</v>
      </c>
      <c r="D1023" s="365" t="s">
        <v>833</v>
      </c>
      <c r="E1023" s="365" t="s">
        <v>192</v>
      </c>
      <c r="F1023" s="311">
        <f t="shared" si="155"/>
        <v>0</v>
      </c>
      <c r="G1023" s="311">
        <f t="shared" si="155"/>
        <v>0</v>
      </c>
    </row>
    <row r="1024" spans="1:7" ht="15.75" hidden="1" x14ac:dyDescent="0.25">
      <c r="A1024" s="364" t="s">
        <v>193</v>
      </c>
      <c r="B1024" s="365" t="s">
        <v>251</v>
      </c>
      <c r="C1024" s="365" t="s">
        <v>116</v>
      </c>
      <c r="D1024" s="365" t="s">
        <v>833</v>
      </c>
      <c r="E1024" s="365" t="s">
        <v>194</v>
      </c>
      <c r="F1024" s="311">
        <f>'Пр.4 ведом.22'!G893</f>
        <v>0</v>
      </c>
      <c r="G1024" s="311">
        <f>'Пр.4 ведом.22'!H893</f>
        <v>0</v>
      </c>
    </row>
    <row r="1025" spans="1:12" ht="47.25" x14ac:dyDescent="0.25">
      <c r="A1025" s="359" t="s">
        <v>855</v>
      </c>
      <c r="B1025" s="316" t="s">
        <v>251</v>
      </c>
      <c r="C1025" s="316" t="s">
        <v>116</v>
      </c>
      <c r="D1025" s="316" t="s">
        <v>339</v>
      </c>
      <c r="E1025" s="323"/>
      <c r="F1025" s="310">
        <f t="shared" si="153"/>
        <v>579.1</v>
      </c>
      <c r="G1025" s="310">
        <f t="shared" si="153"/>
        <v>579.1</v>
      </c>
    </row>
    <row r="1026" spans="1:12" ht="47.25" x14ac:dyDescent="0.25">
      <c r="A1026" s="359" t="s">
        <v>463</v>
      </c>
      <c r="B1026" s="316" t="s">
        <v>251</v>
      </c>
      <c r="C1026" s="316" t="s">
        <v>116</v>
      </c>
      <c r="D1026" s="316" t="s">
        <v>461</v>
      </c>
      <c r="E1026" s="323"/>
      <c r="F1026" s="310">
        <f t="shared" ref="F1026:G1028" si="156">F1027</f>
        <v>579.1</v>
      </c>
      <c r="G1026" s="310">
        <f t="shared" si="156"/>
        <v>579.1</v>
      </c>
    </row>
    <row r="1027" spans="1:12" ht="47.25" x14ac:dyDescent="0.25">
      <c r="A1027" s="70" t="s">
        <v>359</v>
      </c>
      <c r="B1027" s="365" t="s">
        <v>251</v>
      </c>
      <c r="C1027" s="365" t="s">
        <v>116</v>
      </c>
      <c r="D1027" s="365" t="s">
        <v>506</v>
      </c>
      <c r="E1027" s="319"/>
      <c r="F1027" s="311">
        <f t="shared" si="156"/>
        <v>579.1</v>
      </c>
      <c r="G1027" s="311">
        <f t="shared" si="156"/>
        <v>579.1</v>
      </c>
    </row>
    <row r="1028" spans="1:12" ht="31.5" x14ac:dyDescent="0.25">
      <c r="A1028" s="22" t="s">
        <v>191</v>
      </c>
      <c r="B1028" s="365" t="s">
        <v>251</v>
      </c>
      <c r="C1028" s="365" t="s">
        <v>116</v>
      </c>
      <c r="D1028" s="365" t="s">
        <v>506</v>
      </c>
      <c r="E1028" s="319" t="s">
        <v>192</v>
      </c>
      <c r="F1028" s="311">
        <f t="shared" si="156"/>
        <v>579.1</v>
      </c>
      <c r="G1028" s="311">
        <f t="shared" si="156"/>
        <v>579.1</v>
      </c>
    </row>
    <row r="1029" spans="1:12" ht="15.75" x14ac:dyDescent="0.25">
      <c r="A1029" s="111" t="s">
        <v>193</v>
      </c>
      <c r="B1029" s="365" t="s">
        <v>251</v>
      </c>
      <c r="C1029" s="365" t="s">
        <v>116</v>
      </c>
      <c r="D1029" s="365" t="s">
        <v>506</v>
      </c>
      <c r="E1029" s="319" t="s">
        <v>194</v>
      </c>
      <c r="F1029" s="311">
        <f>'Пр.4.1 ведом.23-24 '!G898</f>
        <v>579.1</v>
      </c>
      <c r="G1029" s="311">
        <f>'Пр.4.1 ведом.23-24 '!H898</f>
        <v>579.1</v>
      </c>
    </row>
    <row r="1030" spans="1:12" ht="31.5" x14ac:dyDescent="0.25">
      <c r="A1030" s="315" t="s">
        <v>254</v>
      </c>
      <c r="B1030" s="316" t="s">
        <v>251</v>
      </c>
      <c r="C1030" s="316" t="s">
        <v>168</v>
      </c>
      <c r="D1030" s="316"/>
      <c r="E1030" s="316"/>
      <c r="F1030" s="310">
        <f>F1031+F1046+F1058</f>
        <v>13673.1</v>
      </c>
      <c r="G1030" s="310">
        <f>G1031+G1046+G1058</f>
        <v>13673.1</v>
      </c>
    </row>
    <row r="1031" spans="1:12" ht="31.5" x14ac:dyDescent="0.25">
      <c r="A1031" s="315" t="s">
        <v>488</v>
      </c>
      <c r="B1031" s="316" t="s">
        <v>251</v>
      </c>
      <c r="C1031" s="316" t="s">
        <v>168</v>
      </c>
      <c r="D1031" s="316" t="s">
        <v>434</v>
      </c>
      <c r="E1031" s="316"/>
      <c r="F1031" s="310">
        <f>F1032</f>
        <v>10973.1</v>
      </c>
      <c r="G1031" s="310">
        <f>G1032</f>
        <v>10973.1</v>
      </c>
    </row>
    <row r="1032" spans="1:12" ht="15.75" x14ac:dyDescent="0.25">
      <c r="A1032" s="315" t="s">
        <v>489</v>
      </c>
      <c r="B1032" s="316" t="s">
        <v>251</v>
      </c>
      <c r="C1032" s="316" t="s">
        <v>168</v>
      </c>
      <c r="D1032" s="316" t="s">
        <v>435</v>
      </c>
      <c r="E1032" s="316"/>
      <c r="F1032" s="310">
        <f>F1033+F1043+F1036</f>
        <v>10973.1</v>
      </c>
      <c r="G1032" s="310">
        <f>G1033+G1043+G1036</f>
        <v>10973.1</v>
      </c>
    </row>
    <row r="1033" spans="1:12" ht="31.5" x14ac:dyDescent="0.25">
      <c r="A1033" s="364" t="s">
        <v>468</v>
      </c>
      <c r="B1033" s="365" t="s">
        <v>251</v>
      </c>
      <c r="C1033" s="365" t="s">
        <v>168</v>
      </c>
      <c r="D1033" s="365" t="s">
        <v>436</v>
      </c>
      <c r="E1033" s="365"/>
      <c r="F1033" s="311">
        <f>F1034</f>
        <v>5113.3</v>
      </c>
      <c r="G1033" s="311">
        <f>G1034</f>
        <v>5113.3</v>
      </c>
    </row>
    <row r="1034" spans="1:12" s="363" customFormat="1" ht="78.75" x14ac:dyDescent="0.25">
      <c r="A1034" s="364" t="s">
        <v>119</v>
      </c>
      <c r="B1034" s="365" t="s">
        <v>251</v>
      </c>
      <c r="C1034" s="365" t="s">
        <v>168</v>
      </c>
      <c r="D1034" s="365" t="s">
        <v>436</v>
      </c>
      <c r="E1034" s="365" t="s">
        <v>120</v>
      </c>
      <c r="F1034" s="311">
        <f>F1035</f>
        <v>5113.3</v>
      </c>
      <c r="G1034" s="311">
        <f>G1035</f>
        <v>5113.3</v>
      </c>
      <c r="L1034" s="362"/>
    </row>
    <row r="1035" spans="1:12" s="363" customFormat="1" ht="31.5" x14ac:dyDescent="0.25">
      <c r="A1035" s="364" t="s">
        <v>121</v>
      </c>
      <c r="B1035" s="365" t="s">
        <v>251</v>
      </c>
      <c r="C1035" s="365" t="s">
        <v>168</v>
      </c>
      <c r="D1035" s="365" t="s">
        <v>436</v>
      </c>
      <c r="E1035" s="365" t="s">
        <v>122</v>
      </c>
      <c r="F1035" s="311">
        <f>'Пр.4.1 ведом.23-24 '!G904</f>
        <v>5113.3</v>
      </c>
      <c r="G1035" s="311">
        <f>'Пр.4.1 ведом.23-24 '!H904</f>
        <v>5113.3</v>
      </c>
      <c r="L1035" s="362"/>
    </row>
    <row r="1036" spans="1:12" s="363" customFormat="1" ht="31.5" x14ac:dyDescent="0.25">
      <c r="A1036" s="364" t="s">
        <v>417</v>
      </c>
      <c r="B1036" s="365" t="s">
        <v>251</v>
      </c>
      <c r="C1036" s="365" t="s">
        <v>168</v>
      </c>
      <c r="D1036" s="365" t="s">
        <v>437</v>
      </c>
      <c r="E1036" s="365"/>
      <c r="F1036" s="311">
        <f>F1037+F1039+F1041</f>
        <v>5214.8</v>
      </c>
      <c r="G1036" s="311">
        <f>G1037+G1039+G1041</f>
        <v>5214.8</v>
      </c>
      <c r="L1036" s="362"/>
    </row>
    <row r="1037" spans="1:12" s="363" customFormat="1" ht="78.75" x14ac:dyDescent="0.25">
      <c r="A1037" s="364" t="s">
        <v>119</v>
      </c>
      <c r="B1037" s="365" t="s">
        <v>251</v>
      </c>
      <c r="C1037" s="365" t="s">
        <v>168</v>
      </c>
      <c r="D1037" s="365" t="s">
        <v>437</v>
      </c>
      <c r="E1037" s="365" t="s">
        <v>120</v>
      </c>
      <c r="F1037" s="311">
        <f>F1038</f>
        <v>4888.5</v>
      </c>
      <c r="G1037" s="311">
        <f>G1038</f>
        <v>4888.5</v>
      </c>
      <c r="L1037" s="362"/>
    </row>
    <row r="1038" spans="1:12" s="363" customFormat="1" ht="31.5" x14ac:dyDescent="0.25">
      <c r="A1038" s="364" t="s">
        <v>121</v>
      </c>
      <c r="B1038" s="365" t="s">
        <v>251</v>
      </c>
      <c r="C1038" s="365" t="s">
        <v>168</v>
      </c>
      <c r="D1038" s="365" t="s">
        <v>437</v>
      </c>
      <c r="E1038" s="365" t="s">
        <v>122</v>
      </c>
      <c r="F1038" s="311">
        <f>'Пр.4.1 ведом.23-24 '!G907</f>
        <v>4888.5</v>
      </c>
      <c r="G1038" s="311">
        <f>'Пр.4.1 ведом.23-24 '!H907</f>
        <v>4888.5</v>
      </c>
      <c r="L1038" s="362"/>
    </row>
    <row r="1039" spans="1:12" s="363" customFormat="1" ht="31.5" x14ac:dyDescent="0.25">
      <c r="A1039" s="364" t="s">
        <v>123</v>
      </c>
      <c r="B1039" s="365" t="s">
        <v>251</v>
      </c>
      <c r="C1039" s="365" t="s">
        <v>168</v>
      </c>
      <c r="D1039" s="365" t="s">
        <v>437</v>
      </c>
      <c r="E1039" s="365" t="s">
        <v>124</v>
      </c>
      <c r="F1039" s="311">
        <f>F1040</f>
        <v>275.3</v>
      </c>
      <c r="G1039" s="311">
        <f>G1040</f>
        <v>275.3</v>
      </c>
      <c r="L1039" s="362"/>
    </row>
    <row r="1040" spans="1:12" s="363" customFormat="1" ht="31.5" x14ac:dyDescent="0.25">
      <c r="A1040" s="364" t="s">
        <v>125</v>
      </c>
      <c r="B1040" s="365" t="s">
        <v>251</v>
      </c>
      <c r="C1040" s="365" t="s">
        <v>168</v>
      </c>
      <c r="D1040" s="365" t="s">
        <v>437</v>
      </c>
      <c r="E1040" s="365" t="s">
        <v>126</v>
      </c>
      <c r="F1040" s="311">
        <f>'Пр.4.1 ведом.23-24 '!G909</f>
        <v>275.3</v>
      </c>
      <c r="G1040" s="311">
        <f>'Пр.4.1 ведом.23-24 '!H909</f>
        <v>275.3</v>
      </c>
      <c r="L1040" s="362"/>
    </row>
    <row r="1041" spans="1:12" s="363" customFormat="1" ht="15.75" x14ac:dyDescent="0.25">
      <c r="A1041" s="364" t="s">
        <v>127</v>
      </c>
      <c r="B1041" s="365" t="s">
        <v>251</v>
      </c>
      <c r="C1041" s="365" t="s">
        <v>168</v>
      </c>
      <c r="D1041" s="365" t="s">
        <v>437</v>
      </c>
      <c r="E1041" s="365" t="s">
        <v>134</v>
      </c>
      <c r="F1041" s="311">
        <f>F1042</f>
        <v>51</v>
      </c>
      <c r="G1041" s="311">
        <f>G1042</f>
        <v>51</v>
      </c>
      <c r="L1041" s="362"/>
    </row>
    <row r="1042" spans="1:12" s="363" customFormat="1" ht="15.75" x14ac:dyDescent="0.25">
      <c r="A1042" s="364" t="s">
        <v>280</v>
      </c>
      <c r="B1042" s="365" t="s">
        <v>251</v>
      </c>
      <c r="C1042" s="365" t="s">
        <v>168</v>
      </c>
      <c r="D1042" s="365" t="s">
        <v>437</v>
      </c>
      <c r="E1042" s="365" t="s">
        <v>130</v>
      </c>
      <c r="F1042" s="311">
        <f>'Пр.4.1 ведом.23-24 '!G911</f>
        <v>51</v>
      </c>
      <c r="G1042" s="311">
        <f>'Пр.4.1 ведом.23-24 '!H911</f>
        <v>51</v>
      </c>
      <c r="L1042" s="362"/>
    </row>
    <row r="1043" spans="1:12" s="363" customFormat="1" ht="47.25" x14ac:dyDescent="0.25">
      <c r="A1043" s="364" t="s">
        <v>416</v>
      </c>
      <c r="B1043" s="365" t="s">
        <v>251</v>
      </c>
      <c r="C1043" s="365" t="s">
        <v>168</v>
      </c>
      <c r="D1043" s="365" t="s">
        <v>438</v>
      </c>
      <c r="E1043" s="365"/>
      <c r="F1043" s="311">
        <f>F1044</f>
        <v>645</v>
      </c>
      <c r="G1043" s="311">
        <f>G1044</f>
        <v>645</v>
      </c>
      <c r="L1043" s="362"/>
    </row>
    <row r="1044" spans="1:12" s="363" customFormat="1" ht="78.75" x14ac:dyDescent="0.25">
      <c r="A1044" s="364" t="s">
        <v>119</v>
      </c>
      <c r="B1044" s="365" t="s">
        <v>251</v>
      </c>
      <c r="C1044" s="365" t="s">
        <v>168</v>
      </c>
      <c r="D1044" s="365" t="s">
        <v>438</v>
      </c>
      <c r="E1044" s="365" t="s">
        <v>120</v>
      </c>
      <c r="F1044" s="311">
        <f>F1045</f>
        <v>645</v>
      </c>
      <c r="G1044" s="311">
        <f>G1045</f>
        <v>645</v>
      </c>
      <c r="L1044" s="362"/>
    </row>
    <row r="1045" spans="1:12" s="363" customFormat="1" ht="31.5" x14ac:dyDescent="0.25">
      <c r="A1045" s="364" t="s">
        <v>121</v>
      </c>
      <c r="B1045" s="365" t="s">
        <v>251</v>
      </c>
      <c r="C1045" s="365" t="s">
        <v>168</v>
      </c>
      <c r="D1045" s="365" t="s">
        <v>438</v>
      </c>
      <c r="E1045" s="365" t="s">
        <v>122</v>
      </c>
      <c r="F1045" s="311">
        <f>'Пр.4.1 ведом.23-24 '!G914</f>
        <v>645</v>
      </c>
      <c r="G1045" s="311">
        <f>'Пр.4.1 ведом.23-24 '!H914</f>
        <v>645</v>
      </c>
      <c r="L1045" s="362"/>
    </row>
    <row r="1046" spans="1:12" s="363" customFormat="1" ht="15.75" hidden="1" x14ac:dyDescent="0.25">
      <c r="A1046" s="315" t="s">
        <v>133</v>
      </c>
      <c r="B1046" s="316" t="s">
        <v>251</v>
      </c>
      <c r="C1046" s="316" t="s">
        <v>168</v>
      </c>
      <c r="D1046" s="316" t="s">
        <v>442</v>
      </c>
      <c r="E1046" s="316"/>
      <c r="F1046" s="310">
        <f>F1047</f>
        <v>0</v>
      </c>
      <c r="G1046" s="310">
        <f>G1047</f>
        <v>0</v>
      </c>
      <c r="L1046" s="362"/>
    </row>
    <row r="1047" spans="1:12" s="363" customFormat="1" ht="31.5" hidden="1" x14ac:dyDescent="0.25">
      <c r="A1047" s="315" t="s">
        <v>500</v>
      </c>
      <c r="B1047" s="316" t="s">
        <v>251</v>
      </c>
      <c r="C1047" s="316" t="s">
        <v>168</v>
      </c>
      <c r="D1047" s="316" t="s">
        <v>485</v>
      </c>
      <c r="E1047" s="316"/>
      <c r="F1047" s="310">
        <f>F1048+F1055</f>
        <v>0</v>
      </c>
      <c r="G1047" s="310">
        <f>G1048+G1055</f>
        <v>0</v>
      </c>
      <c r="L1047" s="362"/>
    </row>
    <row r="1048" spans="1:12" s="363" customFormat="1" ht="31.5" hidden="1" x14ac:dyDescent="0.25">
      <c r="A1048" s="364" t="s">
        <v>474</v>
      </c>
      <c r="B1048" s="365" t="s">
        <v>251</v>
      </c>
      <c r="C1048" s="365" t="s">
        <v>168</v>
      </c>
      <c r="D1048" s="365" t="s">
        <v>486</v>
      </c>
      <c r="E1048" s="365"/>
      <c r="F1048" s="311">
        <f>F1049+F1051+F1053</f>
        <v>0</v>
      </c>
      <c r="G1048" s="311">
        <f>G1049+G1051+G1053</f>
        <v>0</v>
      </c>
      <c r="L1048" s="362"/>
    </row>
    <row r="1049" spans="1:12" s="363" customFormat="1" ht="78.75" hidden="1" x14ac:dyDescent="0.25">
      <c r="A1049" s="364" t="s">
        <v>119</v>
      </c>
      <c r="B1049" s="365" t="s">
        <v>251</v>
      </c>
      <c r="C1049" s="365" t="s">
        <v>168</v>
      </c>
      <c r="D1049" s="365" t="s">
        <v>486</v>
      </c>
      <c r="E1049" s="365" t="s">
        <v>120</v>
      </c>
      <c r="F1049" s="311">
        <f>F1050</f>
        <v>0</v>
      </c>
      <c r="G1049" s="311">
        <f>G1050</f>
        <v>0</v>
      </c>
      <c r="L1049" s="362"/>
    </row>
    <row r="1050" spans="1:12" s="363" customFormat="1" ht="21.75" hidden="1" customHeight="1" x14ac:dyDescent="0.25">
      <c r="A1050" s="364" t="s">
        <v>212</v>
      </c>
      <c r="B1050" s="365" t="s">
        <v>251</v>
      </c>
      <c r="C1050" s="365" t="s">
        <v>168</v>
      </c>
      <c r="D1050" s="365" t="s">
        <v>486</v>
      </c>
      <c r="E1050" s="365" t="s">
        <v>156</v>
      </c>
      <c r="F1050" s="311">
        <f>'Пр.4.1 ведом.23-24 '!G919</f>
        <v>0</v>
      </c>
      <c r="G1050" s="311">
        <f>'Пр.4.1 ведом.23-24 '!H919</f>
        <v>0</v>
      </c>
      <c r="L1050" s="362"/>
    </row>
    <row r="1051" spans="1:12" s="363" customFormat="1" ht="31.5" hidden="1" x14ac:dyDescent="0.25">
      <c r="A1051" s="364" t="s">
        <v>123</v>
      </c>
      <c r="B1051" s="365" t="s">
        <v>251</v>
      </c>
      <c r="C1051" s="365" t="s">
        <v>168</v>
      </c>
      <c r="D1051" s="365" t="s">
        <v>486</v>
      </c>
      <c r="E1051" s="365" t="s">
        <v>124</v>
      </c>
      <c r="F1051" s="311">
        <f t="shared" ref="F1051:G1051" si="157">F1052</f>
        <v>0</v>
      </c>
      <c r="G1051" s="311">
        <f t="shared" si="157"/>
        <v>0</v>
      </c>
      <c r="L1051" s="362"/>
    </row>
    <row r="1052" spans="1:12" s="363" customFormat="1" ht="31.5" hidden="1" x14ac:dyDescent="0.25">
      <c r="A1052" s="364" t="s">
        <v>125</v>
      </c>
      <c r="B1052" s="365" t="s">
        <v>251</v>
      </c>
      <c r="C1052" s="365" t="s">
        <v>168</v>
      </c>
      <c r="D1052" s="365" t="s">
        <v>486</v>
      </c>
      <c r="E1052" s="365" t="s">
        <v>126</v>
      </c>
      <c r="F1052" s="311">
        <f>'Пр.4.1 ведом.23-24 '!G921</f>
        <v>0</v>
      </c>
      <c r="G1052" s="311">
        <f>'Пр.4.1 ведом.23-24 '!H921</f>
        <v>0</v>
      </c>
      <c r="L1052" s="362"/>
    </row>
    <row r="1053" spans="1:12" s="363" customFormat="1" ht="15.75" hidden="1" x14ac:dyDescent="0.25">
      <c r="A1053" s="364" t="s">
        <v>127</v>
      </c>
      <c r="B1053" s="365" t="s">
        <v>251</v>
      </c>
      <c r="C1053" s="365" t="s">
        <v>168</v>
      </c>
      <c r="D1053" s="365" t="s">
        <v>486</v>
      </c>
      <c r="E1053" s="365" t="s">
        <v>134</v>
      </c>
      <c r="F1053" s="311">
        <f>F1054</f>
        <v>0</v>
      </c>
      <c r="G1053" s="311">
        <f>G1054</f>
        <v>0</v>
      </c>
      <c r="L1053" s="362"/>
    </row>
    <row r="1054" spans="1:12" s="363" customFormat="1" ht="15.75" hidden="1" x14ac:dyDescent="0.25">
      <c r="A1054" s="364" t="s">
        <v>280</v>
      </c>
      <c r="B1054" s="365" t="s">
        <v>251</v>
      </c>
      <c r="C1054" s="365" t="s">
        <v>168</v>
      </c>
      <c r="D1054" s="365" t="s">
        <v>486</v>
      </c>
      <c r="E1054" s="365" t="s">
        <v>130</v>
      </c>
      <c r="F1054" s="311">
        <f>'Пр.4.1 ведом.23-24 '!G923</f>
        <v>0</v>
      </c>
      <c r="G1054" s="311">
        <f>'Пр.4.1 ведом.23-24 '!H923</f>
        <v>0</v>
      </c>
      <c r="L1054" s="362"/>
    </row>
    <row r="1055" spans="1:12" s="363" customFormat="1" ht="47.25" hidden="1" x14ac:dyDescent="0.25">
      <c r="A1055" s="364" t="s">
        <v>416</v>
      </c>
      <c r="B1055" s="365" t="s">
        <v>251</v>
      </c>
      <c r="C1055" s="365" t="s">
        <v>168</v>
      </c>
      <c r="D1055" s="365" t="s">
        <v>487</v>
      </c>
      <c r="E1055" s="365"/>
      <c r="F1055" s="311">
        <f>F1056</f>
        <v>0</v>
      </c>
      <c r="G1055" s="311">
        <f>G1056</f>
        <v>0</v>
      </c>
      <c r="L1055" s="362"/>
    </row>
    <row r="1056" spans="1:12" s="363" customFormat="1" ht="78.75" hidden="1" x14ac:dyDescent="0.25">
      <c r="A1056" s="364" t="s">
        <v>119</v>
      </c>
      <c r="B1056" s="365" t="s">
        <v>251</v>
      </c>
      <c r="C1056" s="365" t="s">
        <v>168</v>
      </c>
      <c r="D1056" s="365" t="s">
        <v>487</v>
      </c>
      <c r="E1056" s="365" t="s">
        <v>120</v>
      </c>
      <c r="F1056" s="311">
        <f t="shared" ref="F1056:G1056" si="158">F1057</f>
        <v>0</v>
      </c>
      <c r="G1056" s="311">
        <f t="shared" si="158"/>
        <v>0</v>
      </c>
      <c r="L1056" s="362"/>
    </row>
    <row r="1057" spans="1:12" s="363" customFormat="1" ht="31.5" hidden="1" x14ac:dyDescent="0.25">
      <c r="A1057" s="364" t="s">
        <v>121</v>
      </c>
      <c r="B1057" s="365" t="s">
        <v>251</v>
      </c>
      <c r="C1057" s="365" t="s">
        <v>168</v>
      </c>
      <c r="D1057" s="365" t="s">
        <v>487</v>
      </c>
      <c r="E1057" s="365" t="s">
        <v>122</v>
      </c>
      <c r="F1057" s="311">
        <f>'Пр.4.1 ведом.23-24 '!G926</f>
        <v>0</v>
      </c>
      <c r="G1057" s="311">
        <f>'Пр.4.1 ведом.23-24 '!H926</f>
        <v>0</v>
      </c>
      <c r="L1057" s="362"/>
    </row>
    <row r="1058" spans="1:12" s="363" customFormat="1" ht="47.25" x14ac:dyDescent="0.25">
      <c r="A1058" s="359" t="s">
        <v>869</v>
      </c>
      <c r="B1058" s="316" t="s">
        <v>251</v>
      </c>
      <c r="C1058" s="316" t="s">
        <v>168</v>
      </c>
      <c r="D1058" s="7" t="s">
        <v>249</v>
      </c>
      <c r="E1058" s="316"/>
      <c r="F1058" s="310">
        <f>F1059</f>
        <v>2700</v>
      </c>
      <c r="G1058" s="310">
        <f>G1059</f>
        <v>2700</v>
      </c>
      <c r="L1058" s="362"/>
    </row>
    <row r="1059" spans="1:12" s="363" customFormat="1" ht="33.75" customHeight="1" x14ac:dyDescent="0.25">
      <c r="A1059" s="37" t="s">
        <v>516</v>
      </c>
      <c r="B1059" s="316" t="s">
        <v>251</v>
      </c>
      <c r="C1059" s="316" t="s">
        <v>168</v>
      </c>
      <c r="D1059" s="7" t="s">
        <v>798</v>
      </c>
      <c r="E1059" s="316"/>
      <c r="F1059" s="310">
        <f>F1060</f>
        <v>2700</v>
      </c>
      <c r="G1059" s="310">
        <f>G1060</f>
        <v>2700</v>
      </c>
      <c r="L1059" s="362"/>
    </row>
    <row r="1060" spans="1:12" s="363" customFormat="1" ht="15.75" x14ac:dyDescent="0.25">
      <c r="A1060" s="22" t="s">
        <v>517</v>
      </c>
      <c r="B1060" s="365" t="s">
        <v>251</v>
      </c>
      <c r="C1060" s="365" t="s">
        <v>168</v>
      </c>
      <c r="D1060" s="360" t="s">
        <v>799</v>
      </c>
      <c r="E1060" s="365"/>
      <c r="F1060" s="255">
        <f>F1061+F1063</f>
        <v>2700</v>
      </c>
      <c r="G1060" s="255">
        <f>G1061+G1063</f>
        <v>2700</v>
      </c>
      <c r="L1060" s="362"/>
    </row>
    <row r="1061" spans="1:12" s="363" customFormat="1" ht="78.75" x14ac:dyDescent="0.25">
      <c r="A1061" s="364" t="s">
        <v>119</v>
      </c>
      <c r="B1061" s="365" t="s">
        <v>251</v>
      </c>
      <c r="C1061" s="365" t="s">
        <v>168</v>
      </c>
      <c r="D1061" s="360" t="s">
        <v>799</v>
      </c>
      <c r="E1061" s="365" t="s">
        <v>120</v>
      </c>
      <c r="F1061" s="255">
        <f>F1062</f>
        <v>2200</v>
      </c>
      <c r="G1061" s="255">
        <f>G1062</f>
        <v>2200</v>
      </c>
      <c r="L1061" s="362"/>
    </row>
    <row r="1062" spans="1:12" s="363" customFormat="1" ht="21.75" customHeight="1" x14ac:dyDescent="0.25">
      <c r="A1062" s="364" t="s">
        <v>212</v>
      </c>
      <c r="B1062" s="365" t="s">
        <v>251</v>
      </c>
      <c r="C1062" s="365" t="s">
        <v>168</v>
      </c>
      <c r="D1062" s="360" t="s">
        <v>799</v>
      </c>
      <c r="E1062" s="365" t="s">
        <v>156</v>
      </c>
      <c r="F1062" s="255">
        <f>'Пр.4.1 ведом.23-24 '!G931</f>
        <v>2200</v>
      </c>
      <c r="G1062" s="255">
        <f>'Пр.4.1 ведом.23-24 '!H931</f>
        <v>2200</v>
      </c>
      <c r="L1062" s="362"/>
    </row>
    <row r="1063" spans="1:12" s="363" customFormat="1" ht="36" customHeight="1" x14ac:dyDescent="0.25">
      <c r="A1063" s="22" t="s">
        <v>123</v>
      </c>
      <c r="B1063" s="365" t="s">
        <v>251</v>
      </c>
      <c r="C1063" s="365" t="s">
        <v>168</v>
      </c>
      <c r="D1063" s="360" t="s">
        <v>799</v>
      </c>
      <c r="E1063" s="365" t="s">
        <v>124</v>
      </c>
      <c r="F1063" s="255">
        <f>F1064</f>
        <v>500</v>
      </c>
      <c r="G1063" s="255">
        <f>G1064</f>
        <v>500</v>
      </c>
      <c r="L1063" s="362"/>
    </row>
    <row r="1064" spans="1:12" s="363" customFormat="1" ht="31.5" x14ac:dyDescent="0.25">
      <c r="A1064" s="22" t="s">
        <v>125</v>
      </c>
      <c r="B1064" s="365" t="s">
        <v>251</v>
      </c>
      <c r="C1064" s="365" t="s">
        <v>168</v>
      </c>
      <c r="D1064" s="360" t="s">
        <v>799</v>
      </c>
      <c r="E1064" s="365" t="s">
        <v>126</v>
      </c>
      <c r="F1064" s="311">
        <f>'Пр.4.1 ведом.23-24 '!G933</f>
        <v>500</v>
      </c>
      <c r="G1064" s="311">
        <f>'Пр.4.1 ведом.23-24 '!H933</f>
        <v>500</v>
      </c>
      <c r="L1064" s="362"/>
    </row>
    <row r="1065" spans="1:12" s="363" customFormat="1" ht="15.75" x14ac:dyDescent="0.25">
      <c r="A1065" s="359" t="s">
        <v>288</v>
      </c>
      <c r="B1065" s="7" t="s">
        <v>171</v>
      </c>
      <c r="C1065" s="360"/>
      <c r="D1065" s="360"/>
      <c r="E1065" s="360"/>
      <c r="F1065" s="310">
        <f t="shared" ref="F1065:G1065" si="159">F1066</f>
        <v>6358.2</v>
      </c>
      <c r="G1065" s="310">
        <f t="shared" si="159"/>
        <v>6358.2</v>
      </c>
      <c r="L1065" s="362"/>
    </row>
    <row r="1066" spans="1:12" s="363" customFormat="1" ht="15.75" x14ac:dyDescent="0.25">
      <c r="A1066" s="359" t="s">
        <v>289</v>
      </c>
      <c r="B1066" s="7" t="s">
        <v>171</v>
      </c>
      <c r="C1066" s="7" t="s">
        <v>158</v>
      </c>
      <c r="D1066" s="7"/>
      <c r="E1066" s="7"/>
      <c r="F1066" s="310">
        <f>F1067+F1079</f>
        <v>6358.2</v>
      </c>
      <c r="G1066" s="310">
        <f>G1067+G1079</f>
        <v>6358.2</v>
      </c>
      <c r="L1066" s="362"/>
    </row>
    <row r="1067" spans="1:12" s="363" customFormat="1" ht="15.75" x14ac:dyDescent="0.25">
      <c r="A1067" s="315" t="s">
        <v>133</v>
      </c>
      <c r="B1067" s="316" t="s">
        <v>171</v>
      </c>
      <c r="C1067" s="316" t="s">
        <v>158</v>
      </c>
      <c r="D1067" s="316" t="s">
        <v>189</v>
      </c>
      <c r="E1067" s="316"/>
      <c r="F1067" s="310">
        <f>F1068</f>
        <v>6283.3</v>
      </c>
      <c r="G1067" s="310">
        <f>G1068</f>
        <v>6283.3</v>
      </c>
      <c r="L1067" s="362"/>
    </row>
    <row r="1068" spans="1:12" s="363" customFormat="1" ht="15.75" x14ac:dyDescent="0.25">
      <c r="A1068" s="315" t="s">
        <v>519</v>
      </c>
      <c r="B1068" s="316" t="s">
        <v>171</v>
      </c>
      <c r="C1068" s="316" t="s">
        <v>158</v>
      </c>
      <c r="D1068" s="316" t="s">
        <v>743</v>
      </c>
      <c r="E1068" s="316"/>
      <c r="F1068" s="310">
        <f>F1069+F1076</f>
        <v>6283.3</v>
      </c>
      <c r="G1068" s="310">
        <f>G1069+G1076</f>
        <v>6283.3</v>
      </c>
      <c r="L1068" s="362"/>
    </row>
    <row r="1069" spans="1:12" s="363" customFormat="1" ht="15.75" x14ac:dyDescent="0.25">
      <c r="A1069" s="364" t="s">
        <v>379</v>
      </c>
      <c r="B1069" s="365" t="s">
        <v>171</v>
      </c>
      <c r="C1069" s="365" t="s">
        <v>158</v>
      </c>
      <c r="D1069" s="365" t="s">
        <v>744</v>
      </c>
      <c r="E1069" s="365"/>
      <c r="F1069" s="311">
        <f>F1070+F1072+F1074</f>
        <v>6025.3</v>
      </c>
      <c r="G1069" s="311">
        <f>G1070+G1072+G1074</f>
        <v>6025.3</v>
      </c>
      <c r="L1069" s="362"/>
    </row>
    <row r="1070" spans="1:12" s="363" customFormat="1" ht="78.75" x14ac:dyDescent="0.25">
      <c r="A1070" s="364" t="s">
        <v>119</v>
      </c>
      <c r="B1070" s="365" t="s">
        <v>171</v>
      </c>
      <c r="C1070" s="365" t="s">
        <v>158</v>
      </c>
      <c r="D1070" s="365" t="s">
        <v>744</v>
      </c>
      <c r="E1070" s="365" t="s">
        <v>120</v>
      </c>
      <c r="F1070" s="311">
        <f>F1071</f>
        <v>5124.5</v>
      </c>
      <c r="G1070" s="311">
        <f>G1071</f>
        <v>5124.5</v>
      </c>
      <c r="L1070" s="362"/>
    </row>
    <row r="1071" spans="1:12" s="363" customFormat="1" ht="15.75" x14ac:dyDescent="0.25">
      <c r="A1071" s="364" t="s">
        <v>155</v>
      </c>
      <c r="B1071" s="365" t="s">
        <v>171</v>
      </c>
      <c r="C1071" s="365" t="s">
        <v>158</v>
      </c>
      <c r="D1071" s="365" t="s">
        <v>744</v>
      </c>
      <c r="E1071" s="365" t="s">
        <v>156</v>
      </c>
      <c r="F1071" s="311">
        <f>'Пр.4.1 ведом.23-24 '!G527</f>
        <v>5124.5</v>
      </c>
      <c r="G1071" s="311">
        <f>'Пр.4.1 ведом.23-24 '!H527</f>
        <v>5124.5</v>
      </c>
      <c r="L1071" s="362"/>
    </row>
    <row r="1072" spans="1:12" s="363" customFormat="1" ht="31.5" x14ac:dyDescent="0.25">
      <c r="A1072" s="364" t="s">
        <v>123</v>
      </c>
      <c r="B1072" s="365" t="s">
        <v>171</v>
      </c>
      <c r="C1072" s="365" t="s">
        <v>158</v>
      </c>
      <c r="D1072" s="365" t="s">
        <v>744</v>
      </c>
      <c r="E1072" s="365" t="s">
        <v>124</v>
      </c>
      <c r="F1072" s="311">
        <f t="shared" ref="F1072:G1072" si="160">F1073</f>
        <v>890.3</v>
      </c>
      <c r="G1072" s="311">
        <f t="shared" si="160"/>
        <v>890.3</v>
      </c>
      <c r="L1072" s="362"/>
    </row>
    <row r="1073" spans="1:8" ht="31.5" x14ac:dyDescent="0.25">
      <c r="A1073" s="364" t="s">
        <v>125</v>
      </c>
      <c r="B1073" s="365" t="s">
        <v>171</v>
      </c>
      <c r="C1073" s="365" t="s">
        <v>158</v>
      </c>
      <c r="D1073" s="365" t="s">
        <v>744</v>
      </c>
      <c r="E1073" s="365" t="s">
        <v>126</v>
      </c>
      <c r="F1073" s="311">
        <f>'Пр.4.1 ведом.23-24 '!G529</f>
        <v>890.3</v>
      </c>
      <c r="G1073" s="311">
        <f>'Пр.4.1 ведом.23-24 '!H529</f>
        <v>890.3</v>
      </c>
    </row>
    <row r="1074" spans="1:8" ht="15.75" x14ac:dyDescent="0.25">
      <c r="A1074" s="364" t="s">
        <v>127</v>
      </c>
      <c r="B1074" s="365" t="s">
        <v>171</v>
      </c>
      <c r="C1074" s="365" t="s">
        <v>158</v>
      </c>
      <c r="D1074" s="365" t="s">
        <v>744</v>
      </c>
      <c r="E1074" s="365" t="s">
        <v>134</v>
      </c>
      <c r="F1074" s="255">
        <f t="shared" ref="F1074:G1074" si="161">F1075</f>
        <v>10.5</v>
      </c>
      <c r="G1074" s="255">
        <f t="shared" si="161"/>
        <v>10.5</v>
      </c>
    </row>
    <row r="1075" spans="1:8" ht="15.75" x14ac:dyDescent="0.25">
      <c r="A1075" s="364" t="s">
        <v>280</v>
      </c>
      <c r="B1075" s="365" t="s">
        <v>171</v>
      </c>
      <c r="C1075" s="365" t="s">
        <v>158</v>
      </c>
      <c r="D1075" s="365" t="s">
        <v>744</v>
      </c>
      <c r="E1075" s="365" t="s">
        <v>130</v>
      </c>
      <c r="F1075" s="255">
        <f>'Пр.4.1 ведом.23-24 '!G531</f>
        <v>10.5</v>
      </c>
      <c r="G1075" s="255">
        <f>'Пр.4.1 ведом.23-24 '!H531</f>
        <v>10.5</v>
      </c>
    </row>
    <row r="1076" spans="1:8" ht="47.25" x14ac:dyDescent="0.25">
      <c r="A1076" s="364" t="s">
        <v>416</v>
      </c>
      <c r="B1076" s="365" t="s">
        <v>171</v>
      </c>
      <c r="C1076" s="365" t="s">
        <v>158</v>
      </c>
      <c r="D1076" s="365" t="s">
        <v>823</v>
      </c>
      <c r="E1076" s="365"/>
      <c r="F1076" s="311">
        <f>F1077</f>
        <v>258</v>
      </c>
      <c r="G1076" s="311">
        <f>G1077</f>
        <v>258</v>
      </c>
    </row>
    <row r="1077" spans="1:8" ht="78.75" x14ac:dyDescent="0.25">
      <c r="A1077" s="364" t="s">
        <v>119</v>
      </c>
      <c r="B1077" s="365" t="s">
        <v>171</v>
      </c>
      <c r="C1077" s="365" t="s">
        <v>158</v>
      </c>
      <c r="D1077" s="365" t="s">
        <v>823</v>
      </c>
      <c r="E1077" s="365" t="s">
        <v>120</v>
      </c>
      <c r="F1077" s="311">
        <f>F1078</f>
        <v>258</v>
      </c>
      <c r="G1077" s="311">
        <f>G1078</f>
        <v>258</v>
      </c>
    </row>
    <row r="1078" spans="1:8" ht="31.5" x14ac:dyDescent="0.25">
      <c r="A1078" s="364" t="s">
        <v>121</v>
      </c>
      <c r="B1078" s="365" t="s">
        <v>171</v>
      </c>
      <c r="C1078" s="365" t="s">
        <v>158</v>
      </c>
      <c r="D1078" s="365" t="s">
        <v>823</v>
      </c>
      <c r="E1078" s="365" t="s">
        <v>156</v>
      </c>
      <c r="F1078" s="311">
        <f>'Пр.4.1 ведом.23-24 '!G535</f>
        <v>258</v>
      </c>
      <c r="G1078" s="311">
        <f>'Пр.4.1 ведом.23-24 '!H535</f>
        <v>258</v>
      </c>
    </row>
    <row r="1079" spans="1:8" ht="47.25" x14ac:dyDescent="0.25">
      <c r="A1079" s="359" t="s">
        <v>855</v>
      </c>
      <c r="B1079" s="316" t="s">
        <v>171</v>
      </c>
      <c r="C1079" s="316" t="s">
        <v>158</v>
      </c>
      <c r="D1079" s="316" t="s">
        <v>339</v>
      </c>
      <c r="E1079" s="323"/>
      <c r="F1079" s="310">
        <f t="shared" ref="F1079:G1082" si="162">F1080</f>
        <v>74.900000000000006</v>
      </c>
      <c r="G1079" s="310">
        <f t="shared" si="162"/>
        <v>74.900000000000006</v>
      </c>
    </row>
    <row r="1080" spans="1:8" ht="47.25" x14ac:dyDescent="0.25">
      <c r="A1080" s="359" t="s">
        <v>463</v>
      </c>
      <c r="B1080" s="316" t="s">
        <v>171</v>
      </c>
      <c r="C1080" s="316" t="s">
        <v>158</v>
      </c>
      <c r="D1080" s="316" t="s">
        <v>461</v>
      </c>
      <c r="E1080" s="323"/>
      <c r="F1080" s="310">
        <f t="shared" si="162"/>
        <v>74.900000000000006</v>
      </c>
      <c r="G1080" s="310">
        <f t="shared" si="162"/>
        <v>74.900000000000006</v>
      </c>
    </row>
    <row r="1081" spans="1:8" ht="47.25" x14ac:dyDescent="0.25">
      <c r="A1081" s="70" t="s">
        <v>567</v>
      </c>
      <c r="B1081" s="365" t="s">
        <v>171</v>
      </c>
      <c r="C1081" s="365" t="s">
        <v>158</v>
      </c>
      <c r="D1081" s="365" t="s">
        <v>462</v>
      </c>
      <c r="E1081" s="319"/>
      <c r="F1081" s="311">
        <f t="shared" si="162"/>
        <v>74.900000000000006</v>
      </c>
      <c r="G1081" s="311">
        <f t="shared" si="162"/>
        <v>74.900000000000006</v>
      </c>
    </row>
    <row r="1082" spans="1:8" ht="31.5" x14ac:dyDescent="0.25">
      <c r="A1082" s="364" t="s">
        <v>123</v>
      </c>
      <c r="B1082" s="365" t="s">
        <v>171</v>
      </c>
      <c r="C1082" s="365" t="s">
        <v>158</v>
      </c>
      <c r="D1082" s="365" t="s">
        <v>462</v>
      </c>
      <c r="E1082" s="319" t="s">
        <v>124</v>
      </c>
      <c r="F1082" s="311">
        <f t="shared" si="162"/>
        <v>74.900000000000006</v>
      </c>
      <c r="G1082" s="311">
        <f t="shared" si="162"/>
        <v>74.900000000000006</v>
      </c>
    </row>
    <row r="1083" spans="1:8" ht="31.5" x14ac:dyDescent="0.25">
      <c r="A1083" s="364" t="s">
        <v>125</v>
      </c>
      <c r="B1083" s="365" t="s">
        <v>171</v>
      </c>
      <c r="C1083" s="365" t="s">
        <v>158</v>
      </c>
      <c r="D1083" s="365" t="s">
        <v>462</v>
      </c>
      <c r="E1083" s="319" t="s">
        <v>126</v>
      </c>
      <c r="F1083" s="311">
        <f>'Пр.4.1 ведом.23-24 '!G540</f>
        <v>74.900000000000006</v>
      </c>
      <c r="G1083" s="311">
        <f>'Пр.4.1 ведом.23-24 '!H540</f>
        <v>74.900000000000006</v>
      </c>
    </row>
    <row r="1084" spans="1:8" ht="15.75" x14ac:dyDescent="0.25">
      <c r="A1084" s="40" t="s">
        <v>290</v>
      </c>
      <c r="B1084" s="7"/>
      <c r="C1084" s="7"/>
      <c r="D1084" s="7"/>
      <c r="E1084" s="7"/>
      <c r="F1084" s="259">
        <f>F9+F242+F269+F331+F522+F804+F982+F1065+F928+F8</f>
        <v>807747.37200000009</v>
      </c>
      <c r="G1084" s="259">
        <f>G9+G242+G269+G331+G522+G804+G982+G1065+G928+G8</f>
        <v>777654.58000000007</v>
      </c>
      <c r="H1084" s="74"/>
    </row>
    <row r="1085" spans="1:8" x14ac:dyDescent="0.25">
      <c r="F1085" s="74">
        <v>808002.8</v>
      </c>
      <c r="G1085" s="74">
        <v>777654.7</v>
      </c>
    </row>
    <row r="1086" spans="1:8" x14ac:dyDescent="0.25">
      <c r="F1086" s="74">
        <f>F1085-F1084</f>
        <v>255.42799999995623</v>
      </c>
      <c r="G1086" s="74">
        <f>G1085-G1084</f>
        <v>0.11999999987892807</v>
      </c>
    </row>
  </sheetData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73"/>
  <sheetViews>
    <sheetView view="pageBreakPreview" zoomScaleNormal="100" zoomScaleSheetLayoutView="100" workbookViewId="0">
      <selection activeCell="E2" sqref="E2:G2"/>
    </sheetView>
  </sheetViews>
  <sheetFormatPr defaultColWidth="9.140625" defaultRowHeight="15" x14ac:dyDescent="0.25"/>
  <cols>
    <col min="1" max="1" width="62.28515625" style="363" customWidth="1"/>
    <col min="2" max="2" width="7" style="405" customWidth="1"/>
    <col min="3" max="3" width="4.28515625" style="405" customWidth="1"/>
    <col min="4" max="4" width="4.85546875" style="405" customWidth="1"/>
    <col min="5" max="5" width="15.42578125" style="555" customWidth="1"/>
    <col min="6" max="6" width="5.7109375" style="405" customWidth="1"/>
    <col min="7" max="7" width="15" style="74" customWidth="1"/>
    <col min="8" max="8" width="13.5703125" style="521" customWidth="1"/>
    <col min="9" max="9" width="21.85546875" style="335" customWidth="1"/>
    <col min="10" max="10" width="24.140625" style="1" customWidth="1"/>
    <col min="11" max="11" width="12.42578125" style="1" customWidth="1"/>
    <col min="12" max="12" width="10.5703125" style="1" customWidth="1"/>
    <col min="13" max="13" width="12.7109375" style="1" customWidth="1"/>
    <col min="14" max="14" width="16.42578125" style="1" customWidth="1"/>
    <col min="15" max="15" width="9.140625" style="1"/>
    <col min="16" max="16" width="10" style="1" customWidth="1"/>
    <col min="17" max="17" width="9.140625" style="1" customWidth="1"/>
    <col min="18" max="18" width="10.28515625" style="1" customWidth="1"/>
    <col min="19" max="19" width="9.140625" style="1" customWidth="1"/>
    <col min="20" max="26" width="9.140625" style="1"/>
    <col min="27" max="27" width="11.42578125" style="1" customWidth="1"/>
    <col min="28" max="29" width="9.140625" style="1"/>
    <col min="30" max="37" width="9.140625" style="132"/>
    <col min="38" max="39" width="9.140625" style="1"/>
    <col min="40" max="41" width="9.140625" style="132"/>
    <col min="42" max="42" width="9.140625" style="1"/>
    <col min="43" max="43" width="9.140625" style="132"/>
    <col min="44" max="44" width="9.140625" style="1"/>
    <col min="45" max="45" width="11.42578125" style="1" customWidth="1"/>
    <col min="46" max="16384" width="9.140625" style="1"/>
  </cols>
  <sheetData>
    <row r="1" spans="1:11" ht="15.75" x14ac:dyDescent="0.25">
      <c r="A1" s="42"/>
      <c r="B1" s="445"/>
      <c r="C1" s="445"/>
      <c r="D1" s="445"/>
      <c r="E1" s="607" t="s">
        <v>1364</v>
      </c>
      <c r="F1" s="607"/>
      <c r="G1" s="607"/>
      <c r="J1" s="132"/>
      <c r="K1" s="132"/>
    </row>
    <row r="2" spans="1:11" ht="15.75" x14ac:dyDescent="0.25">
      <c r="A2" s="42"/>
      <c r="B2" s="445"/>
      <c r="C2" s="445"/>
      <c r="D2" s="445"/>
      <c r="E2" s="607" t="s">
        <v>1366</v>
      </c>
      <c r="F2" s="607"/>
      <c r="G2" s="607"/>
      <c r="J2" s="132"/>
      <c r="K2" s="132"/>
    </row>
    <row r="3" spans="1:11" ht="15.75" x14ac:dyDescent="0.25">
      <c r="A3" s="80"/>
      <c r="B3" s="447"/>
      <c r="C3" s="447"/>
      <c r="D3" s="447"/>
      <c r="E3" s="607" t="s">
        <v>1365</v>
      </c>
      <c r="F3" s="607"/>
      <c r="G3" s="607"/>
      <c r="J3" s="132"/>
      <c r="K3" s="132"/>
    </row>
    <row r="4" spans="1:11" s="132" customFormat="1" ht="15.75" x14ac:dyDescent="0.25">
      <c r="A4" s="514"/>
      <c r="B4" s="448"/>
      <c r="C4" s="448"/>
      <c r="D4" s="448"/>
      <c r="E4" s="448"/>
      <c r="F4" s="448"/>
      <c r="G4" s="561"/>
      <c r="H4" s="521"/>
      <c r="I4" s="335"/>
    </row>
    <row r="5" spans="1:11" ht="15.75" customHeight="1" x14ac:dyDescent="0.25">
      <c r="A5" s="595" t="s">
        <v>1115</v>
      </c>
      <c r="B5" s="595"/>
      <c r="C5" s="595"/>
      <c r="D5" s="595"/>
      <c r="E5" s="595"/>
      <c r="F5" s="595"/>
      <c r="G5" s="595"/>
      <c r="J5" s="132"/>
      <c r="K5" s="132"/>
    </row>
    <row r="6" spans="1:11" ht="15.75" x14ac:dyDescent="0.25">
      <c r="A6" s="513"/>
      <c r="B6" s="449"/>
      <c r="C6" s="449"/>
      <c r="D6" s="449"/>
      <c r="E6" s="544"/>
      <c r="F6" s="449"/>
      <c r="J6" s="132"/>
      <c r="K6" s="132"/>
    </row>
    <row r="7" spans="1:11" ht="15.75" x14ac:dyDescent="0.25">
      <c r="A7" s="13"/>
      <c r="B7" s="450"/>
      <c r="C7" s="450"/>
      <c r="D7" s="450"/>
      <c r="E7" s="450"/>
      <c r="F7" s="450"/>
      <c r="G7" s="185" t="s">
        <v>1</v>
      </c>
      <c r="J7" s="132"/>
      <c r="K7" s="132"/>
    </row>
    <row r="8" spans="1:11" ht="47.25" x14ac:dyDescent="0.25">
      <c r="A8" s="512" t="s">
        <v>108</v>
      </c>
      <c r="B8" s="451" t="s">
        <v>109</v>
      </c>
      <c r="C8" s="452" t="s">
        <v>110</v>
      </c>
      <c r="D8" s="452" t="s">
        <v>111</v>
      </c>
      <c r="E8" s="452" t="s">
        <v>112</v>
      </c>
      <c r="F8" s="452" t="s">
        <v>113</v>
      </c>
      <c r="G8" s="260" t="s">
        <v>590</v>
      </c>
      <c r="H8" s="522"/>
      <c r="I8" s="334"/>
      <c r="J8" s="321"/>
      <c r="K8" s="132"/>
    </row>
    <row r="9" spans="1:11" ht="31.5" x14ac:dyDescent="0.25">
      <c r="A9" s="312" t="s">
        <v>114</v>
      </c>
      <c r="B9" s="454">
        <v>901</v>
      </c>
      <c r="C9" s="402"/>
      <c r="D9" s="402"/>
      <c r="E9" s="402"/>
      <c r="F9" s="402"/>
      <c r="G9" s="314">
        <f>G10</f>
        <v>14241.2</v>
      </c>
      <c r="H9" s="522"/>
      <c r="I9" s="334"/>
      <c r="J9" s="321"/>
      <c r="K9" s="132"/>
    </row>
    <row r="10" spans="1:11" ht="15.75" x14ac:dyDescent="0.25">
      <c r="A10" s="315" t="s">
        <v>115</v>
      </c>
      <c r="B10" s="454">
        <v>901</v>
      </c>
      <c r="C10" s="414" t="s">
        <v>116</v>
      </c>
      <c r="D10" s="402"/>
      <c r="E10" s="402"/>
      <c r="F10" s="402"/>
      <c r="G10" s="314">
        <f>G11+G24</f>
        <v>14241.2</v>
      </c>
      <c r="H10" s="523"/>
      <c r="I10" s="334"/>
      <c r="J10" s="321"/>
      <c r="K10" s="132"/>
    </row>
    <row r="11" spans="1:11" ht="47.25" x14ac:dyDescent="0.25">
      <c r="A11" s="315" t="s">
        <v>117</v>
      </c>
      <c r="B11" s="454">
        <v>901</v>
      </c>
      <c r="C11" s="414" t="s">
        <v>116</v>
      </c>
      <c r="D11" s="414" t="s">
        <v>118</v>
      </c>
      <c r="E11" s="414"/>
      <c r="F11" s="414"/>
      <c r="G11" s="314">
        <f>G12</f>
        <v>14191.2</v>
      </c>
      <c r="H11" s="523"/>
      <c r="I11" s="334"/>
      <c r="J11" s="321"/>
      <c r="K11" s="132"/>
    </row>
    <row r="12" spans="1:11" ht="31.5" x14ac:dyDescent="0.25">
      <c r="A12" s="315" t="s">
        <v>488</v>
      </c>
      <c r="B12" s="454">
        <v>901</v>
      </c>
      <c r="C12" s="414" t="s">
        <v>116</v>
      </c>
      <c r="D12" s="414" t="s">
        <v>118</v>
      </c>
      <c r="E12" s="414" t="s">
        <v>434</v>
      </c>
      <c r="F12" s="414"/>
      <c r="G12" s="314">
        <f>G13</f>
        <v>14191.2</v>
      </c>
      <c r="H12" s="522"/>
      <c r="I12" s="334"/>
      <c r="J12" s="321"/>
      <c r="K12" s="132"/>
    </row>
    <row r="13" spans="1:11" ht="15.75" x14ac:dyDescent="0.25">
      <c r="A13" s="315" t="s">
        <v>489</v>
      </c>
      <c r="B13" s="454">
        <v>901</v>
      </c>
      <c r="C13" s="414" t="s">
        <v>116</v>
      </c>
      <c r="D13" s="414" t="s">
        <v>118</v>
      </c>
      <c r="E13" s="414" t="s">
        <v>435</v>
      </c>
      <c r="F13" s="414"/>
      <c r="G13" s="314">
        <f>G14+G21</f>
        <v>14191.2</v>
      </c>
      <c r="H13" s="522"/>
      <c r="I13" s="334"/>
      <c r="J13" s="321"/>
      <c r="K13" s="132"/>
    </row>
    <row r="14" spans="1:11" ht="31.5" x14ac:dyDescent="0.25">
      <c r="A14" s="364" t="s">
        <v>468</v>
      </c>
      <c r="B14" s="455">
        <v>901</v>
      </c>
      <c r="C14" s="402" t="s">
        <v>116</v>
      </c>
      <c r="D14" s="402" t="s">
        <v>118</v>
      </c>
      <c r="E14" s="402" t="s">
        <v>436</v>
      </c>
      <c r="F14" s="402"/>
      <c r="G14" s="318">
        <f>G15+G17+G19</f>
        <v>13741.2</v>
      </c>
      <c r="H14" s="522"/>
      <c r="I14" s="334"/>
      <c r="J14" s="321"/>
      <c r="K14" s="132"/>
    </row>
    <row r="15" spans="1:11" ht="63" x14ac:dyDescent="0.25">
      <c r="A15" s="364" t="s">
        <v>119</v>
      </c>
      <c r="B15" s="455">
        <v>901</v>
      </c>
      <c r="C15" s="402" t="s">
        <v>116</v>
      </c>
      <c r="D15" s="402" t="s">
        <v>118</v>
      </c>
      <c r="E15" s="402" t="s">
        <v>436</v>
      </c>
      <c r="F15" s="402" t="s">
        <v>120</v>
      </c>
      <c r="G15" s="318">
        <f>G16</f>
        <v>12562.7</v>
      </c>
      <c r="H15" s="522"/>
      <c r="I15" s="334"/>
      <c r="J15" s="321"/>
      <c r="K15" s="132"/>
    </row>
    <row r="16" spans="1:11" ht="31.5" x14ac:dyDescent="0.25">
      <c r="A16" s="364" t="s">
        <v>121</v>
      </c>
      <c r="B16" s="455">
        <v>901</v>
      </c>
      <c r="C16" s="402" t="s">
        <v>116</v>
      </c>
      <c r="D16" s="402" t="s">
        <v>118</v>
      </c>
      <c r="E16" s="402" t="s">
        <v>436</v>
      </c>
      <c r="F16" s="402" t="s">
        <v>122</v>
      </c>
      <c r="G16" s="20">
        <f>12532.6+30.1</f>
        <v>12562.7</v>
      </c>
      <c r="H16" s="522" t="s">
        <v>1221</v>
      </c>
      <c r="I16" s="334" t="s">
        <v>1223</v>
      </c>
      <c r="J16" s="334"/>
      <c r="K16" s="132"/>
    </row>
    <row r="17" spans="1:11" ht="31.5" x14ac:dyDescent="0.25">
      <c r="A17" s="364" t="s">
        <v>123</v>
      </c>
      <c r="B17" s="455">
        <v>901</v>
      </c>
      <c r="C17" s="402" t="s">
        <v>116</v>
      </c>
      <c r="D17" s="402" t="s">
        <v>118</v>
      </c>
      <c r="E17" s="402" t="s">
        <v>436</v>
      </c>
      <c r="F17" s="402" t="s">
        <v>124</v>
      </c>
      <c r="G17" s="318">
        <f>G18</f>
        <v>1150.5</v>
      </c>
      <c r="H17" s="522"/>
      <c r="I17" s="334"/>
      <c r="J17" s="321"/>
      <c r="K17" s="132"/>
    </row>
    <row r="18" spans="1:11" ht="31.5" x14ac:dyDescent="0.25">
      <c r="A18" s="364" t="s">
        <v>125</v>
      </c>
      <c r="B18" s="455">
        <v>901</v>
      </c>
      <c r="C18" s="402" t="s">
        <v>116</v>
      </c>
      <c r="D18" s="402" t="s">
        <v>118</v>
      </c>
      <c r="E18" s="402" t="s">
        <v>436</v>
      </c>
      <c r="F18" s="402" t="s">
        <v>126</v>
      </c>
      <c r="G18" s="20">
        <f>969.5+181</f>
        <v>1150.5</v>
      </c>
      <c r="H18" s="522" t="s">
        <v>1222</v>
      </c>
      <c r="I18" s="334" t="s">
        <v>1224</v>
      </c>
      <c r="J18" s="321"/>
      <c r="K18" s="132"/>
    </row>
    <row r="19" spans="1:11" ht="15.75" x14ac:dyDescent="0.25">
      <c r="A19" s="364" t="s">
        <v>127</v>
      </c>
      <c r="B19" s="455">
        <v>901</v>
      </c>
      <c r="C19" s="402" t="s">
        <v>116</v>
      </c>
      <c r="D19" s="402" t="s">
        <v>118</v>
      </c>
      <c r="E19" s="402" t="s">
        <v>436</v>
      </c>
      <c r="F19" s="402" t="s">
        <v>128</v>
      </c>
      <c r="G19" s="318">
        <f>G20</f>
        <v>28</v>
      </c>
      <c r="H19" s="522"/>
      <c r="I19" s="334"/>
      <c r="J19" s="321"/>
      <c r="K19" s="132"/>
    </row>
    <row r="20" spans="1:11" ht="15.75" x14ac:dyDescent="0.25">
      <c r="A20" s="364" t="s">
        <v>280</v>
      </c>
      <c r="B20" s="455">
        <v>901</v>
      </c>
      <c r="C20" s="402" t="s">
        <v>116</v>
      </c>
      <c r="D20" s="402" t="s">
        <v>118</v>
      </c>
      <c r="E20" s="402" t="s">
        <v>436</v>
      </c>
      <c r="F20" s="402" t="s">
        <v>130</v>
      </c>
      <c r="G20" s="318">
        <v>28</v>
      </c>
      <c r="H20" s="522"/>
      <c r="I20" s="334"/>
      <c r="J20" s="321"/>
      <c r="K20" s="132"/>
    </row>
    <row r="21" spans="1:11" s="132" customFormat="1" ht="31.5" x14ac:dyDescent="0.25">
      <c r="A21" s="364" t="s">
        <v>416</v>
      </c>
      <c r="B21" s="455">
        <v>901</v>
      </c>
      <c r="C21" s="402" t="s">
        <v>116</v>
      </c>
      <c r="D21" s="402" t="s">
        <v>118</v>
      </c>
      <c r="E21" s="402" t="s">
        <v>438</v>
      </c>
      <c r="F21" s="402"/>
      <c r="G21" s="318">
        <f>G22</f>
        <v>450</v>
      </c>
      <c r="H21" s="522"/>
      <c r="I21" s="334"/>
      <c r="J21" s="321"/>
    </row>
    <row r="22" spans="1:11" s="132" customFormat="1" ht="63" x14ac:dyDescent="0.25">
      <c r="A22" s="364" t="s">
        <v>119</v>
      </c>
      <c r="B22" s="455">
        <v>901</v>
      </c>
      <c r="C22" s="402" t="s">
        <v>116</v>
      </c>
      <c r="D22" s="402" t="s">
        <v>118</v>
      </c>
      <c r="E22" s="402" t="s">
        <v>438</v>
      </c>
      <c r="F22" s="402" t="s">
        <v>120</v>
      </c>
      <c r="G22" s="318">
        <f>G23</f>
        <v>450</v>
      </c>
      <c r="H22" s="522"/>
      <c r="I22" s="334"/>
      <c r="J22" s="321"/>
    </row>
    <row r="23" spans="1:11" s="132" customFormat="1" ht="31.5" x14ac:dyDescent="0.25">
      <c r="A23" s="364" t="s">
        <v>121</v>
      </c>
      <c r="B23" s="455">
        <v>901</v>
      </c>
      <c r="C23" s="402" t="s">
        <v>116</v>
      </c>
      <c r="D23" s="402" t="s">
        <v>118</v>
      </c>
      <c r="E23" s="402" t="s">
        <v>438</v>
      </c>
      <c r="F23" s="402" t="s">
        <v>122</v>
      </c>
      <c r="G23" s="318">
        <v>450</v>
      </c>
      <c r="H23" s="522"/>
      <c r="I23" s="334"/>
      <c r="J23" s="321"/>
    </row>
    <row r="24" spans="1:11" s="132" customFormat="1" ht="15.75" x14ac:dyDescent="0.25">
      <c r="A24" s="315" t="s">
        <v>894</v>
      </c>
      <c r="B24" s="454">
        <v>901</v>
      </c>
      <c r="C24" s="414" t="s">
        <v>116</v>
      </c>
      <c r="D24" s="414" t="s">
        <v>251</v>
      </c>
      <c r="E24" s="414"/>
      <c r="F24" s="414"/>
      <c r="G24" s="314">
        <f t="shared" ref="G24:G28" si="0">G25</f>
        <v>50</v>
      </c>
      <c r="H24" s="522"/>
      <c r="I24" s="334"/>
      <c r="J24" s="321"/>
    </row>
    <row r="25" spans="1:11" s="132" customFormat="1" ht="15.75" x14ac:dyDescent="0.25">
      <c r="A25" s="315" t="s">
        <v>133</v>
      </c>
      <c r="B25" s="454">
        <v>901</v>
      </c>
      <c r="C25" s="414" t="s">
        <v>116</v>
      </c>
      <c r="D25" s="414" t="s">
        <v>251</v>
      </c>
      <c r="E25" s="414" t="s">
        <v>442</v>
      </c>
      <c r="F25" s="414"/>
      <c r="G25" s="314">
        <f t="shared" si="0"/>
        <v>50</v>
      </c>
      <c r="H25" s="522"/>
      <c r="I25" s="334"/>
      <c r="J25" s="321"/>
    </row>
    <row r="26" spans="1:11" s="132" customFormat="1" ht="31.5" x14ac:dyDescent="0.25">
      <c r="A26" s="315" t="s">
        <v>446</v>
      </c>
      <c r="B26" s="454">
        <v>901</v>
      </c>
      <c r="C26" s="414" t="s">
        <v>116</v>
      </c>
      <c r="D26" s="414" t="s">
        <v>251</v>
      </c>
      <c r="E26" s="414" t="s">
        <v>441</v>
      </c>
      <c r="F26" s="414"/>
      <c r="G26" s="314">
        <f t="shared" si="0"/>
        <v>50</v>
      </c>
      <c r="H26" s="522"/>
      <c r="I26" s="334"/>
      <c r="J26" s="321"/>
    </row>
    <row r="27" spans="1:11" s="132" customFormat="1" ht="15.75" x14ac:dyDescent="0.25">
      <c r="A27" s="364" t="s">
        <v>688</v>
      </c>
      <c r="B27" s="455">
        <v>901</v>
      </c>
      <c r="C27" s="402" t="s">
        <v>116</v>
      </c>
      <c r="D27" s="402" t="s">
        <v>251</v>
      </c>
      <c r="E27" s="402" t="s">
        <v>689</v>
      </c>
      <c r="F27" s="402"/>
      <c r="G27" s="318">
        <f t="shared" si="0"/>
        <v>50</v>
      </c>
      <c r="H27" s="522"/>
      <c r="I27" s="334"/>
      <c r="J27" s="321"/>
    </row>
    <row r="28" spans="1:11" s="132" customFormat="1" ht="15.75" x14ac:dyDescent="0.25">
      <c r="A28" s="364" t="s">
        <v>127</v>
      </c>
      <c r="B28" s="455">
        <v>901</v>
      </c>
      <c r="C28" s="402" t="s">
        <v>116</v>
      </c>
      <c r="D28" s="402" t="s">
        <v>251</v>
      </c>
      <c r="E28" s="402" t="s">
        <v>689</v>
      </c>
      <c r="F28" s="402" t="s">
        <v>134</v>
      </c>
      <c r="G28" s="318">
        <f t="shared" si="0"/>
        <v>50</v>
      </c>
      <c r="H28" s="522"/>
      <c r="I28" s="334"/>
      <c r="J28" s="321"/>
    </row>
    <row r="29" spans="1:11" s="132" customFormat="1" ht="15.75" x14ac:dyDescent="0.25">
      <c r="A29" s="364" t="s">
        <v>688</v>
      </c>
      <c r="B29" s="455">
        <v>901</v>
      </c>
      <c r="C29" s="402" t="s">
        <v>116</v>
      </c>
      <c r="D29" s="402" t="s">
        <v>251</v>
      </c>
      <c r="E29" s="402" t="s">
        <v>689</v>
      </c>
      <c r="F29" s="402" t="s">
        <v>690</v>
      </c>
      <c r="G29" s="318">
        <v>50</v>
      </c>
      <c r="H29" s="522"/>
      <c r="I29" s="334"/>
      <c r="J29" s="321"/>
    </row>
    <row r="30" spans="1:11" ht="15.75" x14ac:dyDescent="0.25">
      <c r="A30" s="312" t="s">
        <v>137</v>
      </c>
      <c r="B30" s="454">
        <v>902</v>
      </c>
      <c r="C30" s="402"/>
      <c r="D30" s="402"/>
      <c r="E30" s="402"/>
      <c r="F30" s="402"/>
      <c r="G30" s="314">
        <f>G31+G170+G200+G224+G163</f>
        <v>92831.83</v>
      </c>
      <c r="H30" s="523"/>
      <c r="I30" s="334"/>
      <c r="J30" s="321"/>
      <c r="K30" s="154"/>
    </row>
    <row r="31" spans="1:11" ht="15.75" x14ac:dyDescent="0.25">
      <c r="A31" s="315" t="s">
        <v>115</v>
      </c>
      <c r="B31" s="454">
        <v>902</v>
      </c>
      <c r="C31" s="414" t="s">
        <v>116</v>
      </c>
      <c r="D31" s="402"/>
      <c r="E31" s="402"/>
      <c r="F31" s="402"/>
      <c r="G31" s="314">
        <f>G48+G103+G120+G112+G32</f>
        <v>71274.13</v>
      </c>
      <c r="H31" s="522"/>
      <c r="I31" s="334"/>
      <c r="J31" s="321"/>
      <c r="K31" s="132"/>
    </row>
    <row r="32" spans="1:11" s="132" customFormat="1" ht="31.9" customHeight="1" x14ac:dyDescent="0.25">
      <c r="A32" s="315" t="s">
        <v>285</v>
      </c>
      <c r="B32" s="454">
        <v>902</v>
      </c>
      <c r="C32" s="414" t="s">
        <v>116</v>
      </c>
      <c r="D32" s="414" t="s">
        <v>158</v>
      </c>
      <c r="E32" s="402"/>
      <c r="F32" s="402"/>
      <c r="G32" s="314">
        <f>G33</f>
        <v>5105</v>
      </c>
      <c r="H32" s="522"/>
      <c r="I32" s="334"/>
      <c r="J32" s="321"/>
    </row>
    <row r="33" spans="1:11" s="132" customFormat="1" ht="31.5" x14ac:dyDescent="0.25">
      <c r="A33" s="315" t="s">
        <v>488</v>
      </c>
      <c r="B33" s="454">
        <v>902</v>
      </c>
      <c r="C33" s="414" t="s">
        <v>116</v>
      </c>
      <c r="D33" s="414" t="s">
        <v>158</v>
      </c>
      <c r="E33" s="414" t="s">
        <v>434</v>
      </c>
      <c r="F33" s="402"/>
      <c r="G33" s="314">
        <f>G34+G43</f>
        <v>5105</v>
      </c>
      <c r="H33" s="522"/>
      <c r="I33" s="334"/>
      <c r="J33" s="321"/>
    </row>
    <row r="34" spans="1:11" s="132" customFormat="1" ht="15.75" x14ac:dyDescent="0.25">
      <c r="A34" s="315" t="s">
        <v>489</v>
      </c>
      <c r="B34" s="454">
        <v>902</v>
      </c>
      <c r="C34" s="414" t="s">
        <v>116</v>
      </c>
      <c r="D34" s="414" t="s">
        <v>158</v>
      </c>
      <c r="E34" s="414" t="s">
        <v>435</v>
      </c>
      <c r="F34" s="402"/>
      <c r="G34" s="314">
        <f>G35+G40</f>
        <v>5104.5</v>
      </c>
      <c r="H34" s="522"/>
      <c r="I34" s="334"/>
      <c r="J34" s="321"/>
    </row>
    <row r="35" spans="1:11" s="132" customFormat="1" ht="31.5" x14ac:dyDescent="0.25">
      <c r="A35" s="364" t="s">
        <v>286</v>
      </c>
      <c r="B35" s="455">
        <v>902</v>
      </c>
      <c r="C35" s="402" t="s">
        <v>116</v>
      </c>
      <c r="D35" s="402" t="s">
        <v>158</v>
      </c>
      <c r="E35" s="402" t="s">
        <v>836</v>
      </c>
      <c r="F35" s="402"/>
      <c r="G35" s="318">
        <f>G36+G38</f>
        <v>5104.5</v>
      </c>
      <c r="H35" s="522"/>
      <c r="I35" s="334"/>
      <c r="J35" s="321"/>
    </row>
    <row r="36" spans="1:11" s="132" customFormat="1" ht="63" x14ac:dyDescent="0.25">
      <c r="A36" s="364" t="s">
        <v>119</v>
      </c>
      <c r="B36" s="455">
        <v>902</v>
      </c>
      <c r="C36" s="402" t="s">
        <v>116</v>
      </c>
      <c r="D36" s="402" t="s">
        <v>158</v>
      </c>
      <c r="E36" s="402" t="s">
        <v>836</v>
      </c>
      <c r="F36" s="402" t="s">
        <v>120</v>
      </c>
      <c r="G36" s="318">
        <f>G37</f>
        <v>5014.5</v>
      </c>
      <c r="H36" s="522"/>
      <c r="I36" s="334"/>
      <c r="J36" s="321"/>
    </row>
    <row r="37" spans="1:11" s="132" customFormat="1" ht="31.5" x14ac:dyDescent="0.25">
      <c r="A37" s="364" t="s">
        <v>121</v>
      </c>
      <c r="B37" s="455">
        <v>902</v>
      </c>
      <c r="C37" s="402" t="s">
        <v>116</v>
      </c>
      <c r="D37" s="402" t="s">
        <v>158</v>
      </c>
      <c r="E37" s="402" t="s">
        <v>836</v>
      </c>
      <c r="F37" s="402" t="s">
        <v>122</v>
      </c>
      <c r="G37" s="20">
        <f>4934.5+80</f>
        <v>5014.5</v>
      </c>
      <c r="H37" s="520" t="s">
        <v>1225</v>
      </c>
      <c r="I37" s="334" t="s">
        <v>1226</v>
      </c>
      <c r="J37" s="321"/>
      <c r="K37" s="345"/>
    </row>
    <row r="38" spans="1:11" s="132" customFormat="1" ht="31.5" x14ac:dyDescent="0.25">
      <c r="A38" s="364" t="s">
        <v>153</v>
      </c>
      <c r="B38" s="455">
        <v>902</v>
      </c>
      <c r="C38" s="402" t="s">
        <v>116</v>
      </c>
      <c r="D38" s="402" t="s">
        <v>158</v>
      </c>
      <c r="E38" s="402" t="s">
        <v>836</v>
      </c>
      <c r="F38" s="402" t="s">
        <v>124</v>
      </c>
      <c r="G38" s="318">
        <f>G39</f>
        <v>90</v>
      </c>
      <c r="H38" s="522"/>
      <c r="I38" s="334"/>
      <c r="J38" s="321"/>
    </row>
    <row r="39" spans="1:11" s="132" customFormat="1" ht="31.5" x14ac:dyDescent="0.25">
      <c r="A39" s="364" t="s">
        <v>125</v>
      </c>
      <c r="B39" s="455">
        <v>902</v>
      </c>
      <c r="C39" s="402" t="s">
        <v>116</v>
      </c>
      <c r="D39" s="402" t="s">
        <v>158</v>
      </c>
      <c r="E39" s="402" t="s">
        <v>836</v>
      </c>
      <c r="F39" s="402" t="s">
        <v>126</v>
      </c>
      <c r="G39" s="318">
        <f>90</f>
        <v>90</v>
      </c>
      <c r="H39" s="522"/>
      <c r="I39" s="334"/>
      <c r="J39" s="321"/>
    </row>
    <row r="40" spans="1:11" s="132" customFormat="1" ht="31.5" hidden="1" x14ac:dyDescent="0.25">
      <c r="A40" s="364" t="s">
        <v>416</v>
      </c>
      <c r="B40" s="455">
        <v>902</v>
      </c>
      <c r="C40" s="402" t="s">
        <v>116</v>
      </c>
      <c r="D40" s="402" t="s">
        <v>158</v>
      </c>
      <c r="E40" s="402" t="s">
        <v>438</v>
      </c>
      <c r="F40" s="402"/>
      <c r="G40" s="318">
        <f>G41</f>
        <v>0</v>
      </c>
      <c r="H40" s="522"/>
      <c r="I40" s="334"/>
      <c r="J40" s="321"/>
    </row>
    <row r="41" spans="1:11" s="132" customFormat="1" ht="63" hidden="1" x14ac:dyDescent="0.25">
      <c r="A41" s="364" t="s">
        <v>119</v>
      </c>
      <c r="B41" s="455">
        <v>902</v>
      </c>
      <c r="C41" s="402" t="s">
        <v>116</v>
      </c>
      <c r="D41" s="402" t="s">
        <v>158</v>
      </c>
      <c r="E41" s="402" t="s">
        <v>438</v>
      </c>
      <c r="F41" s="402" t="s">
        <v>120</v>
      </c>
      <c r="G41" s="318">
        <f>G42</f>
        <v>0</v>
      </c>
      <c r="H41" s="522"/>
      <c r="I41" s="334"/>
      <c r="J41" s="321"/>
    </row>
    <row r="42" spans="1:11" s="132" customFormat="1" ht="31.5" hidden="1" x14ac:dyDescent="0.25">
      <c r="A42" s="364" t="s">
        <v>121</v>
      </c>
      <c r="B42" s="455">
        <v>902</v>
      </c>
      <c r="C42" s="402" t="s">
        <v>116</v>
      </c>
      <c r="D42" s="402" t="s">
        <v>158</v>
      </c>
      <c r="E42" s="402" t="s">
        <v>438</v>
      </c>
      <c r="F42" s="402" t="s">
        <v>122</v>
      </c>
      <c r="G42" s="318"/>
      <c r="H42" s="522"/>
      <c r="I42" s="334"/>
      <c r="J42" s="321"/>
    </row>
    <row r="43" spans="1:11" s="132" customFormat="1" ht="31.5" x14ac:dyDescent="0.25">
      <c r="A43" s="315" t="s">
        <v>841</v>
      </c>
      <c r="B43" s="454">
        <v>902</v>
      </c>
      <c r="C43" s="414" t="s">
        <v>116</v>
      </c>
      <c r="D43" s="414" t="s">
        <v>158</v>
      </c>
      <c r="E43" s="414" t="s">
        <v>143</v>
      </c>
      <c r="F43" s="414"/>
      <c r="G43" s="314">
        <f t="shared" ref="G43:G46" si="1">G44</f>
        <v>0.5</v>
      </c>
      <c r="H43" s="522"/>
      <c r="I43" s="334"/>
      <c r="J43" s="321"/>
    </row>
    <row r="44" spans="1:11" s="132" customFormat="1" ht="63" x14ac:dyDescent="0.25">
      <c r="A44" s="142" t="s">
        <v>843</v>
      </c>
      <c r="B44" s="457">
        <v>902</v>
      </c>
      <c r="C44" s="414" t="s">
        <v>116</v>
      </c>
      <c r="D44" s="414" t="s">
        <v>158</v>
      </c>
      <c r="E44" s="407" t="s">
        <v>426</v>
      </c>
      <c r="F44" s="414"/>
      <c r="G44" s="314">
        <f t="shared" si="1"/>
        <v>0.5</v>
      </c>
      <c r="H44" s="522"/>
      <c r="I44" s="334"/>
      <c r="J44" s="321"/>
    </row>
    <row r="45" spans="1:11" s="132" customFormat="1" ht="59.1" customHeight="1" x14ac:dyDescent="0.25">
      <c r="A45" s="24" t="s">
        <v>334</v>
      </c>
      <c r="B45" s="455">
        <v>902</v>
      </c>
      <c r="C45" s="402" t="s">
        <v>116</v>
      </c>
      <c r="D45" s="402" t="s">
        <v>158</v>
      </c>
      <c r="E45" s="403" t="s">
        <v>556</v>
      </c>
      <c r="F45" s="402"/>
      <c r="G45" s="318">
        <f t="shared" si="1"/>
        <v>0.5</v>
      </c>
      <c r="H45" s="522"/>
      <c r="I45" s="334"/>
      <c r="J45" s="321"/>
    </row>
    <row r="46" spans="1:11" s="132" customFormat="1" ht="31.5" x14ac:dyDescent="0.25">
      <c r="A46" s="364" t="s">
        <v>123</v>
      </c>
      <c r="B46" s="455">
        <v>902</v>
      </c>
      <c r="C46" s="402" t="s">
        <v>116</v>
      </c>
      <c r="D46" s="402" t="s">
        <v>158</v>
      </c>
      <c r="E46" s="403" t="s">
        <v>556</v>
      </c>
      <c r="F46" s="402" t="s">
        <v>124</v>
      </c>
      <c r="G46" s="318">
        <f t="shared" si="1"/>
        <v>0.5</v>
      </c>
      <c r="H46" s="522"/>
      <c r="I46" s="334"/>
      <c r="J46" s="321"/>
    </row>
    <row r="47" spans="1:11" s="132" customFormat="1" ht="31.5" x14ac:dyDescent="0.25">
      <c r="A47" s="364" t="s">
        <v>125</v>
      </c>
      <c r="B47" s="455">
        <v>902</v>
      </c>
      <c r="C47" s="402" t="s">
        <v>116</v>
      </c>
      <c r="D47" s="402" t="s">
        <v>158</v>
      </c>
      <c r="E47" s="403" t="s">
        <v>556</v>
      </c>
      <c r="F47" s="402" t="s">
        <v>126</v>
      </c>
      <c r="G47" s="318">
        <v>0.5</v>
      </c>
      <c r="H47" s="522"/>
      <c r="I47" s="334"/>
      <c r="J47" s="321"/>
    </row>
    <row r="48" spans="1:11" ht="46.15" customHeight="1" x14ac:dyDescent="0.25">
      <c r="A48" s="315" t="s">
        <v>138</v>
      </c>
      <c r="B48" s="454">
        <v>902</v>
      </c>
      <c r="C48" s="414" t="s">
        <v>116</v>
      </c>
      <c r="D48" s="414" t="s">
        <v>139</v>
      </c>
      <c r="E48" s="414"/>
      <c r="F48" s="414"/>
      <c r="G48" s="314">
        <f>G49+G85</f>
        <v>58511.43</v>
      </c>
      <c r="H48" s="522"/>
      <c r="I48" s="334"/>
      <c r="J48" s="321"/>
      <c r="K48" s="132"/>
    </row>
    <row r="49" spans="1:11" ht="31.5" x14ac:dyDescent="0.25">
      <c r="A49" s="315" t="s">
        <v>488</v>
      </c>
      <c r="B49" s="454">
        <v>902</v>
      </c>
      <c r="C49" s="414" t="s">
        <v>116</v>
      </c>
      <c r="D49" s="414" t="s">
        <v>139</v>
      </c>
      <c r="E49" s="414" t="s">
        <v>434</v>
      </c>
      <c r="F49" s="414"/>
      <c r="G49" s="30">
        <f>G50+G66</f>
        <v>57907.93</v>
      </c>
      <c r="H49" s="522"/>
      <c r="I49" s="334"/>
      <c r="J49" s="321"/>
      <c r="K49" s="132"/>
    </row>
    <row r="50" spans="1:11" s="132" customFormat="1" ht="15.75" x14ac:dyDescent="0.25">
      <c r="A50" s="315" t="s">
        <v>489</v>
      </c>
      <c r="B50" s="454">
        <v>902</v>
      </c>
      <c r="C50" s="414" t="s">
        <v>116</v>
      </c>
      <c r="D50" s="414" t="s">
        <v>139</v>
      </c>
      <c r="E50" s="414" t="s">
        <v>435</v>
      </c>
      <c r="F50" s="414"/>
      <c r="G50" s="30">
        <f>G51+G60+G63</f>
        <v>54237.73</v>
      </c>
      <c r="H50" s="522"/>
      <c r="I50" s="334"/>
      <c r="J50" s="321"/>
    </row>
    <row r="51" spans="1:11" ht="31.5" x14ac:dyDescent="0.25">
      <c r="A51" s="364" t="s">
        <v>468</v>
      </c>
      <c r="B51" s="455">
        <v>902</v>
      </c>
      <c r="C51" s="402" t="s">
        <v>116</v>
      </c>
      <c r="D51" s="402" t="s">
        <v>139</v>
      </c>
      <c r="E51" s="402" t="s">
        <v>436</v>
      </c>
      <c r="F51" s="402"/>
      <c r="G51" s="318">
        <f>G52+G54+G58+G56</f>
        <v>50089.200000000004</v>
      </c>
      <c r="H51" s="522"/>
      <c r="I51" s="334"/>
      <c r="J51" s="321"/>
      <c r="K51" s="132"/>
    </row>
    <row r="52" spans="1:11" ht="62.1" customHeight="1" x14ac:dyDescent="0.25">
      <c r="A52" s="364" t="s">
        <v>119</v>
      </c>
      <c r="B52" s="455">
        <v>902</v>
      </c>
      <c r="C52" s="402" t="s">
        <v>116</v>
      </c>
      <c r="D52" s="402" t="s">
        <v>139</v>
      </c>
      <c r="E52" s="402" t="s">
        <v>436</v>
      </c>
      <c r="F52" s="402" t="s">
        <v>120</v>
      </c>
      <c r="G52" s="318">
        <f>G53</f>
        <v>44154.700000000004</v>
      </c>
      <c r="H52" s="522"/>
      <c r="I52" s="334"/>
      <c r="J52" s="321"/>
      <c r="K52" s="132"/>
    </row>
    <row r="53" spans="1:11" ht="31.5" x14ac:dyDescent="0.25">
      <c r="A53" s="364" t="s">
        <v>121</v>
      </c>
      <c r="B53" s="455">
        <v>902</v>
      </c>
      <c r="C53" s="402" t="s">
        <v>116</v>
      </c>
      <c r="D53" s="402" t="s">
        <v>139</v>
      </c>
      <c r="E53" s="402" t="s">
        <v>436</v>
      </c>
      <c r="F53" s="402" t="s">
        <v>122</v>
      </c>
      <c r="G53" s="20">
        <f>43968.8+185.9</f>
        <v>44154.700000000004</v>
      </c>
      <c r="H53" s="520" t="s">
        <v>1227</v>
      </c>
      <c r="I53" s="334" t="s">
        <v>1228</v>
      </c>
      <c r="J53" s="321"/>
      <c r="K53" s="345"/>
    </row>
    <row r="54" spans="1:11" ht="31.5" x14ac:dyDescent="0.25">
      <c r="A54" s="364" t="s">
        <v>123</v>
      </c>
      <c r="B54" s="455">
        <v>902</v>
      </c>
      <c r="C54" s="402" t="s">
        <v>116</v>
      </c>
      <c r="D54" s="402" t="s">
        <v>139</v>
      </c>
      <c r="E54" s="402" t="s">
        <v>436</v>
      </c>
      <c r="F54" s="402" t="s">
        <v>124</v>
      </c>
      <c r="G54" s="318">
        <f>G55</f>
        <v>5859.5</v>
      </c>
      <c r="H54" s="522"/>
      <c r="I54" s="334"/>
      <c r="J54" s="321"/>
      <c r="K54" s="132"/>
    </row>
    <row r="55" spans="1:11" ht="31.5" x14ac:dyDescent="0.25">
      <c r="A55" s="364" t="s">
        <v>125</v>
      </c>
      <c r="B55" s="455">
        <v>902</v>
      </c>
      <c r="C55" s="402" t="s">
        <v>116</v>
      </c>
      <c r="D55" s="402" t="s">
        <v>139</v>
      </c>
      <c r="E55" s="402" t="s">
        <v>436</v>
      </c>
      <c r="F55" s="402" t="s">
        <v>126</v>
      </c>
      <c r="G55" s="20">
        <f>5660.3+199.2</f>
        <v>5859.5</v>
      </c>
      <c r="H55" s="520" t="s">
        <v>1229</v>
      </c>
      <c r="I55" s="336" t="s">
        <v>1230</v>
      </c>
      <c r="J55" s="321"/>
      <c r="K55" s="132"/>
    </row>
    <row r="56" spans="1:11" s="132" customFormat="1" ht="15.75" hidden="1" x14ac:dyDescent="0.25">
      <c r="A56" s="364" t="s">
        <v>177</v>
      </c>
      <c r="B56" s="455">
        <v>902</v>
      </c>
      <c r="C56" s="402" t="s">
        <v>116</v>
      </c>
      <c r="D56" s="402" t="s">
        <v>139</v>
      </c>
      <c r="E56" s="402" t="s">
        <v>436</v>
      </c>
      <c r="F56" s="402" t="s">
        <v>178</v>
      </c>
      <c r="G56" s="20">
        <f>G57</f>
        <v>0</v>
      </c>
      <c r="H56" s="522"/>
      <c r="I56" s="334"/>
      <c r="J56" s="321"/>
    </row>
    <row r="57" spans="1:11" s="132" customFormat="1" ht="31.5" hidden="1" x14ac:dyDescent="0.25">
      <c r="A57" s="364" t="s">
        <v>179</v>
      </c>
      <c r="B57" s="455">
        <v>902</v>
      </c>
      <c r="C57" s="402" t="s">
        <v>116</v>
      </c>
      <c r="D57" s="402" t="s">
        <v>139</v>
      </c>
      <c r="E57" s="402" t="s">
        <v>436</v>
      </c>
      <c r="F57" s="402" t="s">
        <v>180</v>
      </c>
      <c r="G57" s="20">
        <f>755-755</f>
        <v>0</v>
      </c>
      <c r="H57" s="522"/>
      <c r="I57" s="334"/>
      <c r="J57" s="321"/>
    </row>
    <row r="58" spans="1:11" ht="15.75" x14ac:dyDescent="0.25">
      <c r="A58" s="364" t="s">
        <v>127</v>
      </c>
      <c r="B58" s="455">
        <v>902</v>
      </c>
      <c r="C58" s="402" t="s">
        <v>116</v>
      </c>
      <c r="D58" s="402" t="s">
        <v>139</v>
      </c>
      <c r="E58" s="402" t="s">
        <v>436</v>
      </c>
      <c r="F58" s="402" t="s">
        <v>134</v>
      </c>
      <c r="G58" s="318">
        <f>G59</f>
        <v>75</v>
      </c>
      <c r="H58" s="522"/>
      <c r="I58" s="336"/>
      <c r="J58" s="321"/>
      <c r="K58" s="132"/>
    </row>
    <row r="59" spans="1:11" ht="15.75" x14ac:dyDescent="0.25">
      <c r="A59" s="364" t="s">
        <v>280</v>
      </c>
      <c r="B59" s="455">
        <v>902</v>
      </c>
      <c r="C59" s="402" t="s">
        <v>116</v>
      </c>
      <c r="D59" s="402" t="s">
        <v>139</v>
      </c>
      <c r="E59" s="402" t="s">
        <v>436</v>
      </c>
      <c r="F59" s="402" t="s">
        <v>130</v>
      </c>
      <c r="G59" s="20">
        <v>75</v>
      </c>
      <c r="H59" s="522"/>
      <c r="I59" s="334"/>
      <c r="J59" s="321"/>
      <c r="K59" s="132"/>
    </row>
    <row r="60" spans="1:11" s="132" customFormat="1" ht="31.5" x14ac:dyDescent="0.25">
      <c r="A60" s="364" t="s">
        <v>417</v>
      </c>
      <c r="B60" s="455">
        <v>902</v>
      </c>
      <c r="C60" s="402" t="s">
        <v>116</v>
      </c>
      <c r="D60" s="402" t="s">
        <v>139</v>
      </c>
      <c r="E60" s="402" t="s">
        <v>437</v>
      </c>
      <c r="F60" s="402"/>
      <c r="G60" s="20">
        <f>G61</f>
        <v>2557.5300000000002</v>
      </c>
      <c r="H60" s="522"/>
      <c r="I60" s="334"/>
      <c r="J60" s="321"/>
    </row>
    <row r="61" spans="1:11" s="132" customFormat="1" ht="67.7" customHeight="1" x14ac:dyDescent="0.25">
      <c r="A61" s="364" t="s">
        <v>119</v>
      </c>
      <c r="B61" s="455">
        <v>902</v>
      </c>
      <c r="C61" s="402" t="s">
        <v>116</v>
      </c>
      <c r="D61" s="402" t="s">
        <v>139</v>
      </c>
      <c r="E61" s="402" t="s">
        <v>437</v>
      </c>
      <c r="F61" s="402" t="s">
        <v>120</v>
      </c>
      <c r="G61" s="20">
        <f>G62</f>
        <v>2557.5300000000002</v>
      </c>
      <c r="H61" s="522"/>
      <c r="I61" s="334"/>
      <c r="J61" s="321"/>
    </row>
    <row r="62" spans="1:11" s="132" customFormat="1" ht="31.5" x14ac:dyDescent="0.25">
      <c r="A62" s="364" t="s">
        <v>121</v>
      </c>
      <c r="B62" s="455">
        <v>902</v>
      </c>
      <c r="C62" s="402" t="s">
        <v>116</v>
      </c>
      <c r="D62" s="402" t="s">
        <v>139</v>
      </c>
      <c r="E62" s="402" t="s">
        <v>437</v>
      </c>
      <c r="F62" s="402" t="s">
        <v>122</v>
      </c>
      <c r="G62" s="20">
        <v>2557.5300000000002</v>
      </c>
      <c r="H62" s="522"/>
      <c r="I62" s="334"/>
      <c r="J62" s="321"/>
    </row>
    <row r="63" spans="1:11" s="132" customFormat="1" ht="31.5" x14ac:dyDescent="0.25">
      <c r="A63" s="364" t="s">
        <v>416</v>
      </c>
      <c r="B63" s="455">
        <v>902</v>
      </c>
      <c r="C63" s="402" t="s">
        <v>116</v>
      </c>
      <c r="D63" s="402" t="s">
        <v>139</v>
      </c>
      <c r="E63" s="402" t="s">
        <v>438</v>
      </c>
      <c r="F63" s="402"/>
      <c r="G63" s="318">
        <f>G64</f>
        <v>1591</v>
      </c>
      <c r="H63" s="522"/>
      <c r="I63" s="334"/>
      <c r="J63" s="321"/>
    </row>
    <row r="64" spans="1:11" s="132" customFormat="1" ht="63" x14ac:dyDescent="0.25">
      <c r="A64" s="364" t="s">
        <v>119</v>
      </c>
      <c r="B64" s="455">
        <v>902</v>
      </c>
      <c r="C64" s="402" t="s">
        <v>116</v>
      </c>
      <c r="D64" s="402" t="s">
        <v>139</v>
      </c>
      <c r="E64" s="402" t="s">
        <v>438</v>
      </c>
      <c r="F64" s="402" t="s">
        <v>120</v>
      </c>
      <c r="G64" s="318">
        <f>G65</f>
        <v>1591</v>
      </c>
      <c r="H64" s="522"/>
      <c r="I64" s="334"/>
      <c r="J64" s="321"/>
    </row>
    <row r="65" spans="1:11" s="132" customFormat="1" ht="31.5" x14ac:dyDescent="0.25">
      <c r="A65" s="364" t="s">
        <v>121</v>
      </c>
      <c r="B65" s="455">
        <v>902</v>
      </c>
      <c r="C65" s="402" t="s">
        <v>116</v>
      </c>
      <c r="D65" s="402" t="s">
        <v>139</v>
      </c>
      <c r="E65" s="402" t="s">
        <v>438</v>
      </c>
      <c r="F65" s="402" t="s">
        <v>122</v>
      </c>
      <c r="G65" s="318">
        <v>1591</v>
      </c>
      <c r="H65" s="520"/>
      <c r="I65" s="334"/>
      <c r="J65" s="321"/>
      <c r="K65" s="345"/>
    </row>
    <row r="66" spans="1:11" s="132" customFormat="1" ht="31.5" x14ac:dyDescent="0.25">
      <c r="A66" s="315" t="s">
        <v>460</v>
      </c>
      <c r="B66" s="454">
        <v>902</v>
      </c>
      <c r="C66" s="414" t="s">
        <v>116</v>
      </c>
      <c r="D66" s="414" t="s">
        <v>139</v>
      </c>
      <c r="E66" s="414" t="s">
        <v>439</v>
      </c>
      <c r="F66" s="414"/>
      <c r="G66" s="314">
        <f>G67+G70+G75+G80</f>
        <v>3670.2000000000003</v>
      </c>
      <c r="H66" s="522"/>
      <c r="I66" s="334"/>
      <c r="J66" s="321"/>
    </row>
    <row r="67" spans="1:11" s="132" customFormat="1" ht="35.450000000000003" hidden="1" customHeight="1" x14ac:dyDescent="0.25">
      <c r="A67" s="364" t="s">
        <v>358</v>
      </c>
      <c r="B67" s="455">
        <v>902</v>
      </c>
      <c r="C67" s="402" t="s">
        <v>116</v>
      </c>
      <c r="D67" s="402" t="s">
        <v>139</v>
      </c>
      <c r="E67" s="402" t="s">
        <v>490</v>
      </c>
      <c r="F67" s="414"/>
      <c r="G67" s="318">
        <f>G68</f>
        <v>0</v>
      </c>
      <c r="H67" s="522"/>
      <c r="I67" s="334"/>
      <c r="J67" s="321"/>
    </row>
    <row r="68" spans="1:11" s="132" customFormat="1" ht="31.5" hidden="1" x14ac:dyDescent="0.25">
      <c r="A68" s="364" t="s">
        <v>123</v>
      </c>
      <c r="B68" s="455">
        <v>902</v>
      </c>
      <c r="C68" s="402" t="s">
        <v>116</v>
      </c>
      <c r="D68" s="402" t="s">
        <v>139</v>
      </c>
      <c r="E68" s="402" t="s">
        <v>490</v>
      </c>
      <c r="F68" s="402" t="s">
        <v>124</v>
      </c>
      <c r="G68" s="318">
        <f>G69</f>
        <v>0</v>
      </c>
      <c r="H68" s="522"/>
      <c r="I68" s="334"/>
      <c r="J68" s="321"/>
    </row>
    <row r="69" spans="1:11" s="132" customFormat="1" ht="31.5" hidden="1" x14ac:dyDescent="0.25">
      <c r="A69" s="364" t="s">
        <v>125</v>
      </c>
      <c r="B69" s="455">
        <v>902</v>
      </c>
      <c r="C69" s="402" t="s">
        <v>116</v>
      </c>
      <c r="D69" s="402" t="s">
        <v>139</v>
      </c>
      <c r="E69" s="402" t="s">
        <v>490</v>
      </c>
      <c r="F69" s="402" t="s">
        <v>126</v>
      </c>
      <c r="G69" s="318">
        <v>0</v>
      </c>
      <c r="H69" s="522"/>
      <c r="I69" s="334"/>
      <c r="J69" s="321"/>
    </row>
    <row r="70" spans="1:11" s="132" customFormat="1" ht="47.25" x14ac:dyDescent="0.25">
      <c r="A70" s="24" t="s">
        <v>150</v>
      </c>
      <c r="B70" s="455">
        <v>902</v>
      </c>
      <c r="C70" s="402" t="s">
        <v>116</v>
      </c>
      <c r="D70" s="402" t="s">
        <v>139</v>
      </c>
      <c r="E70" s="402" t="s">
        <v>491</v>
      </c>
      <c r="F70" s="402"/>
      <c r="G70" s="318">
        <f>G71+G73</f>
        <v>671</v>
      </c>
      <c r="H70" s="522"/>
      <c r="I70" s="334"/>
      <c r="J70" s="321"/>
    </row>
    <row r="71" spans="1:11" s="132" customFormat="1" ht="63" x14ac:dyDescent="0.25">
      <c r="A71" s="364" t="s">
        <v>119</v>
      </c>
      <c r="B71" s="455">
        <v>902</v>
      </c>
      <c r="C71" s="402" t="s">
        <v>116</v>
      </c>
      <c r="D71" s="402" t="s">
        <v>139</v>
      </c>
      <c r="E71" s="402" t="s">
        <v>491</v>
      </c>
      <c r="F71" s="402" t="s">
        <v>120</v>
      </c>
      <c r="G71" s="318">
        <f>G72</f>
        <v>671</v>
      </c>
      <c r="H71" s="522"/>
      <c r="I71" s="334"/>
      <c r="J71" s="321"/>
    </row>
    <row r="72" spans="1:11" s="132" customFormat="1" ht="31.5" x14ac:dyDescent="0.25">
      <c r="A72" s="364" t="s">
        <v>121</v>
      </c>
      <c r="B72" s="455">
        <v>902</v>
      </c>
      <c r="C72" s="402" t="s">
        <v>116</v>
      </c>
      <c r="D72" s="402" t="s">
        <v>139</v>
      </c>
      <c r="E72" s="402" t="s">
        <v>491</v>
      </c>
      <c r="F72" s="402" t="s">
        <v>122</v>
      </c>
      <c r="G72" s="318">
        <v>671</v>
      </c>
      <c r="H72" s="522"/>
      <c r="I72" s="334"/>
      <c r="J72" s="321"/>
    </row>
    <row r="73" spans="1:11" s="132" customFormat="1" ht="31.5" hidden="1" x14ac:dyDescent="0.25">
      <c r="A73" s="364" t="s">
        <v>123</v>
      </c>
      <c r="B73" s="455">
        <v>902</v>
      </c>
      <c r="C73" s="402" t="s">
        <v>116</v>
      </c>
      <c r="D73" s="402" t="s">
        <v>139</v>
      </c>
      <c r="E73" s="402" t="s">
        <v>491</v>
      </c>
      <c r="F73" s="402" t="s">
        <v>124</v>
      </c>
      <c r="G73" s="318">
        <f>G74</f>
        <v>0</v>
      </c>
      <c r="H73" s="522"/>
      <c r="I73" s="334"/>
      <c r="J73" s="321"/>
    </row>
    <row r="74" spans="1:11" s="132" customFormat="1" ht="31.5" hidden="1" x14ac:dyDescent="0.25">
      <c r="A74" s="364" t="s">
        <v>125</v>
      </c>
      <c r="B74" s="455">
        <v>902</v>
      </c>
      <c r="C74" s="402" t="s">
        <v>116</v>
      </c>
      <c r="D74" s="402" t="s">
        <v>139</v>
      </c>
      <c r="E74" s="402" t="s">
        <v>491</v>
      </c>
      <c r="F74" s="402" t="s">
        <v>126</v>
      </c>
      <c r="G74" s="318">
        <v>0</v>
      </c>
      <c r="H74" s="522"/>
      <c r="I74" s="334"/>
      <c r="J74" s="321"/>
    </row>
    <row r="75" spans="1:11" s="132" customFormat="1" ht="31.5" x14ac:dyDescent="0.25">
      <c r="A75" s="24" t="s">
        <v>152</v>
      </c>
      <c r="B75" s="455">
        <v>902</v>
      </c>
      <c r="C75" s="402" t="s">
        <v>116</v>
      </c>
      <c r="D75" s="402" t="s">
        <v>139</v>
      </c>
      <c r="E75" s="402" t="s">
        <v>492</v>
      </c>
      <c r="F75" s="402"/>
      <c r="G75" s="318">
        <f>G76+G78</f>
        <v>1420.8</v>
      </c>
      <c r="H75" s="522"/>
      <c r="I75" s="334"/>
      <c r="J75" s="321"/>
    </row>
    <row r="76" spans="1:11" s="132" customFormat="1" ht="63" x14ac:dyDescent="0.25">
      <c r="A76" s="364" t="s">
        <v>119</v>
      </c>
      <c r="B76" s="455">
        <v>902</v>
      </c>
      <c r="C76" s="402" t="s">
        <v>116</v>
      </c>
      <c r="D76" s="402" t="s">
        <v>139</v>
      </c>
      <c r="E76" s="402" t="s">
        <v>492</v>
      </c>
      <c r="F76" s="402" t="s">
        <v>120</v>
      </c>
      <c r="G76" s="318">
        <f>G77</f>
        <v>1336.6</v>
      </c>
      <c r="H76" s="522"/>
      <c r="I76" s="334"/>
      <c r="J76" s="321"/>
    </row>
    <row r="77" spans="1:11" s="132" customFormat="1" ht="31.5" x14ac:dyDescent="0.25">
      <c r="A77" s="364" t="s">
        <v>121</v>
      </c>
      <c r="B77" s="455">
        <v>902</v>
      </c>
      <c r="C77" s="402" t="s">
        <v>116</v>
      </c>
      <c r="D77" s="402" t="s">
        <v>139</v>
      </c>
      <c r="E77" s="402" t="s">
        <v>492</v>
      </c>
      <c r="F77" s="402" t="s">
        <v>122</v>
      </c>
      <c r="G77" s="318">
        <f>1336.5+0.1</f>
        <v>1336.6</v>
      </c>
      <c r="H77" s="522" t="s">
        <v>1332</v>
      </c>
      <c r="I77" s="334"/>
      <c r="J77" s="321"/>
    </row>
    <row r="78" spans="1:11" s="132" customFormat="1" ht="31.5" x14ac:dyDescent="0.25">
      <c r="A78" s="364" t="s">
        <v>153</v>
      </c>
      <c r="B78" s="455">
        <v>902</v>
      </c>
      <c r="C78" s="402" t="s">
        <v>116</v>
      </c>
      <c r="D78" s="402" t="s">
        <v>139</v>
      </c>
      <c r="E78" s="402" t="s">
        <v>492</v>
      </c>
      <c r="F78" s="402" t="s">
        <v>124</v>
      </c>
      <c r="G78" s="318">
        <f>G79</f>
        <v>84.2</v>
      </c>
      <c r="H78" s="522"/>
      <c r="I78" s="334"/>
      <c r="J78" s="321"/>
    </row>
    <row r="79" spans="1:11" s="132" customFormat="1" ht="31.5" x14ac:dyDescent="0.25">
      <c r="A79" s="364" t="s">
        <v>125</v>
      </c>
      <c r="B79" s="455">
        <v>902</v>
      </c>
      <c r="C79" s="402" t="s">
        <v>116</v>
      </c>
      <c r="D79" s="402" t="s">
        <v>139</v>
      </c>
      <c r="E79" s="402" t="s">
        <v>492</v>
      </c>
      <c r="F79" s="402" t="s">
        <v>126</v>
      </c>
      <c r="G79" s="318">
        <f>84.3-0.1</f>
        <v>84.2</v>
      </c>
      <c r="H79" s="522" t="s">
        <v>1212</v>
      </c>
      <c r="I79" s="334"/>
      <c r="J79" s="321"/>
    </row>
    <row r="80" spans="1:11" s="363" customFormat="1" ht="31.5" x14ac:dyDescent="0.25">
      <c r="A80" s="364" t="s">
        <v>1147</v>
      </c>
      <c r="B80" s="455">
        <v>902</v>
      </c>
      <c r="C80" s="402" t="s">
        <v>116</v>
      </c>
      <c r="D80" s="402" t="s">
        <v>139</v>
      </c>
      <c r="E80" s="402" t="s">
        <v>1152</v>
      </c>
      <c r="F80" s="402"/>
      <c r="G80" s="318">
        <f>G81+G83</f>
        <v>1578.4</v>
      </c>
      <c r="H80" s="522"/>
      <c r="I80" s="334"/>
      <c r="J80" s="321"/>
    </row>
    <row r="81" spans="1:10" s="363" customFormat="1" ht="63" x14ac:dyDescent="0.25">
      <c r="A81" s="364" t="s">
        <v>119</v>
      </c>
      <c r="B81" s="455">
        <v>902</v>
      </c>
      <c r="C81" s="402" t="s">
        <v>116</v>
      </c>
      <c r="D81" s="402" t="s">
        <v>139</v>
      </c>
      <c r="E81" s="402" t="s">
        <v>1152</v>
      </c>
      <c r="F81" s="402" t="s">
        <v>120</v>
      </c>
      <c r="G81" s="318">
        <f>G82</f>
        <v>1500.6000000000001</v>
      </c>
      <c r="H81" s="522"/>
      <c r="I81" s="334"/>
      <c r="J81" s="321"/>
    </row>
    <row r="82" spans="1:10" s="363" customFormat="1" ht="31.5" x14ac:dyDescent="0.25">
      <c r="A82" s="364" t="s">
        <v>121</v>
      </c>
      <c r="B82" s="455">
        <v>902</v>
      </c>
      <c r="C82" s="402" t="s">
        <v>116</v>
      </c>
      <c r="D82" s="402" t="s">
        <v>139</v>
      </c>
      <c r="E82" s="402" t="s">
        <v>1152</v>
      </c>
      <c r="F82" s="402" t="s">
        <v>122</v>
      </c>
      <c r="G82" s="318">
        <f>1500.7-0.1</f>
        <v>1500.6000000000001</v>
      </c>
      <c r="H82" s="522"/>
      <c r="I82" s="334"/>
      <c r="J82" s="321"/>
    </row>
    <row r="83" spans="1:10" s="363" customFormat="1" ht="31.5" x14ac:dyDescent="0.25">
      <c r="A83" s="364" t="s">
        <v>123</v>
      </c>
      <c r="B83" s="455">
        <v>902</v>
      </c>
      <c r="C83" s="402" t="s">
        <v>116</v>
      </c>
      <c r="D83" s="402" t="s">
        <v>139</v>
      </c>
      <c r="E83" s="402" t="s">
        <v>1152</v>
      </c>
      <c r="F83" s="402" t="s">
        <v>124</v>
      </c>
      <c r="G83" s="318">
        <f>G84</f>
        <v>77.8</v>
      </c>
      <c r="H83" s="522"/>
      <c r="I83" s="334"/>
      <c r="J83" s="321"/>
    </row>
    <row r="84" spans="1:10" s="363" customFormat="1" ht="31.5" x14ac:dyDescent="0.25">
      <c r="A84" s="364" t="s">
        <v>125</v>
      </c>
      <c r="B84" s="455">
        <v>902</v>
      </c>
      <c r="C84" s="402" t="s">
        <v>116</v>
      </c>
      <c r="D84" s="402" t="s">
        <v>139</v>
      </c>
      <c r="E84" s="402" t="s">
        <v>1152</v>
      </c>
      <c r="F84" s="402" t="s">
        <v>126</v>
      </c>
      <c r="G84" s="318">
        <v>77.8</v>
      </c>
      <c r="H84" s="522"/>
      <c r="I84" s="334"/>
      <c r="J84" s="321"/>
    </row>
    <row r="85" spans="1:10" s="132" customFormat="1" ht="31.5" x14ac:dyDescent="0.25">
      <c r="A85" s="315" t="s">
        <v>841</v>
      </c>
      <c r="B85" s="454">
        <v>902</v>
      </c>
      <c r="C85" s="414" t="s">
        <v>116</v>
      </c>
      <c r="D85" s="414" t="s">
        <v>139</v>
      </c>
      <c r="E85" s="414" t="s">
        <v>143</v>
      </c>
      <c r="F85" s="414"/>
      <c r="G85" s="314">
        <f>G86+G90+G99</f>
        <v>603.5</v>
      </c>
      <c r="H85" s="522"/>
      <c r="I85" s="334"/>
      <c r="J85" s="321"/>
    </row>
    <row r="86" spans="1:10" s="132" customFormat="1" ht="63" x14ac:dyDescent="0.25">
      <c r="A86" s="202" t="s">
        <v>842</v>
      </c>
      <c r="B86" s="454">
        <v>902</v>
      </c>
      <c r="C86" s="414" t="s">
        <v>116</v>
      </c>
      <c r="D86" s="414" t="s">
        <v>139</v>
      </c>
      <c r="E86" s="407" t="s">
        <v>425</v>
      </c>
      <c r="F86" s="414"/>
      <c r="G86" s="314">
        <f t="shared" ref="G86:G88" si="2">G87</f>
        <v>526</v>
      </c>
      <c r="H86" s="522"/>
      <c r="I86" s="334"/>
      <c r="J86" s="321"/>
    </row>
    <row r="87" spans="1:10" s="132" customFormat="1" ht="47.25" x14ac:dyDescent="0.25">
      <c r="A87" s="22" t="s">
        <v>820</v>
      </c>
      <c r="B87" s="455">
        <v>902</v>
      </c>
      <c r="C87" s="402" t="s">
        <v>116</v>
      </c>
      <c r="D87" s="402" t="s">
        <v>139</v>
      </c>
      <c r="E87" s="403" t="s">
        <v>418</v>
      </c>
      <c r="F87" s="402"/>
      <c r="G87" s="318">
        <f t="shared" si="2"/>
        <v>526</v>
      </c>
      <c r="H87" s="522"/>
      <c r="I87" s="334"/>
      <c r="J87" s="321"/>
    </row>
    <row r="88" spans="1:10" s="132" customFormat="1" ht="31.5" x14ac:dyDescent="0.25">
      <c r="A88" s="364" t="s">
        <v>123</v>
      </c>
      <c r="B88" s="455">
        <v>902</v>
      </c>
      <c r="C88" s="402" t="s">
        <v>116</v>
      </c>
      <c r="D88" s="402" t="s">
        <v>139</v>
      </c>
      <c r="E88" s="403" t="s">
        <v>418</v>
      </c>
      <c r="F88" s="402" t="s">
        <v>124</v>
      </c>
      <c r="G88" s="318">
        <f t="shared" si="2"/>
        <v>526</v>
      </c>
      <c r="H88" s="522"/>
      <c r="I88" s="334"/>
      <c r="J88" s="321"/>
    </row>
    <row r="89" spans="1:10" s="132" customFormat="1" ht="31.5" x14ac:dyDescent="0.25">
      <c r="A89" s="364" t="s">
        <v>125</v>
      </c>
      <c r="B89" s="455">
        <v>902</v>
      </c>
      <c r="C89" s="402" t="s">
        <v>116</v>
      </c>
      <c r="D89" s="402" t="s">
        <v>139</v>
      </c>
      <c r="E89" s="403" t="s">
        <v>418</v>
      </c>
      <c r="F89" s="402" t="s">
        <v>126</v>
      </c>
      <c r="G89" s="318">
        <v>526</v>
      </c>
      <c r="H89" s="522"/>
      <c r="I89" s="334"/>
      <c r="J89" s="321"/>
    </row>
    <row r="90" spans="1:10" s="132" customFormat="1" ht="69.75" customHeight="1" x14ac:dyDescent="0.25">
      <c r="A90" s="142" t="s">
        <v>843</v>
      </c>
      <c r="B90" s="457">
        <v>902</v>
      </c>
      <c r="C90" s="414" t="s">
        <v>116</v>
      </c>
      <c r="D90" s="414" t="s">
        <v>139</v>
      </c>
      <c r="E90" s="407" t="s">
        <v>426</v>
      </c>
      <c r="F90" s="414"/>
      <c r="G90" s="314">
        <f>G91+G96</f>
        <v>77</v>
      </c>
      <c r="H90" s="522"/>
      <c r="I90" s="334"/>
      <c r="J90" s="321"/>
    </row>
    <row r="91" spans="1:10" s="132" customFormat="1" ht="47.25" x14ac:dyDescent="0.25">
      <c r="A91" s="103" t="s">
        <v>144</v>
      </c>
      <c r="B91" s="455">
        <v>902</v>
      </c>
      <c r="C91" s="402" t="s">
        <v>116</v>
      </c>
      <c r="D91" s="402" t="s">
        <v>139</v>
      </c>
      <c r="E91" s="403" t="s">
        <v>419</v>
      </c>
      <c r="F91" s="402"/>
      <c r="G91" s="318">
        <f>G92+G94</f>
        <v>77</v>
      </c>
      <c r="H91" s="522"/>
      <c r="I91" s="334"/>
      <c r="J91" s="321"/>
    </row>
    <row r="92" spans="1:10" s="132" customFormat="1" ht="63" x14ac:dyDescent="0.25">
      <c r="A92" s="364" t="s">
        <v>119</v>
      </c>
      <c r="B92" s="455">
        <v>902</v>
      </c>
      <c r="C92" s="402" t="s">
        <v>116</v>
      </c>
      <c r="D92" s="402" t="s">
        <v>139</v>
      </c>
      <c r="E92" s="403" t="s">
        <v>419</v>
      </c>
      <c r="F92" s="402" t="s">
        <v>120</v>
      </c>
      <c r="G92" s="318">
        <f>G93</f>
        <v>37.200000000000003</v>
      </c>
      <c r="H92" s="522"/>
      <c r="I92" s="334"/>
      <c r="J92" s="321"/>
    </row>
    <row r="93" spans="1:10" s="132" customFormat="1" ht="31.5" x14ac:dyDescent="0.25">
      <c r="A93" s="364" t="s">
        <v>121</v>
      </c>
      <c r="B93" s="455">
        <v>902</v>
      </c>
      <c r="C93" s="402" t="s">
        <v>116</v>
      </c>
      <c r="D93" s="402" t="s">
        <v>139</v>
      </c>
      <c r="E93" s="403" t="s">
        <v>419</v>
      </c>
      <c r="F93" s="402" t="s">
        <v>122</v>
      </c>
      <c r="G93" s="318">
        <v>37.200000000000003</v>
      </c>
      <c r="H93" s="522"/>
      <c r="I93" s="334"/>
      <c r="J93" s="321"/>
    </row>
    <row r="94" spans="1:10" s="132" customFormat="1" ht="31.5" x14ac:dyDescent="0.25">
      <c r="A94" s="364" t="s">
        <v>123</v>
      </c>
      <c r="B94" s="455">
        <v>902</v>
      </c>
      <c r="C94" s="402" t="s">
        <v>116</v>
      </c>
      <c r="D94" s="402" t="s">
        <v>139</v>
      </c>
      <c r="E94" s="403" t="s">
        <v>419</v>
      </c>
      <c r="F94" s="402" t="s">
        <v>124</v>
      </c>
      <c r="G94" s="318">
        <f>G95</f>
        <v>39.799999999999997</v>
      </c>
      <c r="H94" s="522"/>
      <c r="I94" s="334"/>
      <c r="J94" s="321"/>
    </row>
    <row r="95" spans="1:10" s="132" customFormat="1" ht="31.5" x14ac:dyDescent="0.25">
      <c r="A95" s="364" t="s">
        <v>125</v>
      </c>
      <c r="B95" s="455">
        <v>902</v>
      </c>
      <c r="C95" s="402" t="s">
        <v>116</v>
      </c>
      <c r="D95" s="402" t="s">
        <v>139</v>
      </c>
      <c r="E95" s="403" t="s">
        <v>419</v>
      </c>
      <c r="F95" s="402" t="s">
        <v>126</v>
      </c>
      <c r="G95" s="318">
        <v>39.799999999999997</v>
      </c>
      <c r="H95" s="522"/>
      <c r="I95" s="334"/>
      <c r="J95" s="321"/>
    </row>
    <row r="96" spans="1:10" s="132" customFormat="1" ht="47.25" hidden="1" x14ac:dyDescent="0.25">
      <c r="A96" s="24" t="s">
        <v>648</v>
      </c>
      <c r="B96" s="455">
        <v>902</v>
      </c>
      <c r="C96" s="402" t="s">
        <v>116</v>
      </c>
      <c r="D96" s="402" t="s">
        <v>139</v>
      </c>
      <c r="E96" s="403" t="s">
        <v>556</v>
      </c>
      <c r="F96" s="402"/>
      <c r="G96" s="318">
        <f>G97</f>
        <v>0</v>
      </c>
      <c r="H96" s="522"/>
      <c r="I96" s="334"/>
      <c r="J96" s="321"/>
    </row>
    <row r="97" spans="1:11" s="132" customFormat="1" ht="31.5" hidden="1" x14ac:dyDescent="0.25">
      <c r="A97" s="364" t="s">
        <v>123</v>
      </c>
      <c r="B97" s="455">
        <v>902</v>
      </c>
      <c r="C97" s="402" t="s">
        <v>116</v>
      </c>
      <c r="D97" s="402" t="s">
        <v>139</v>
      </c>
      <c r="E97" s="403" t="s">
        <v>556</v>
      </c>
      <c r="F97" s="402" t="s">
        <v>124</v>
      </c>
      <c r="G97" s="318">
        <f>G98</f>
        <v>0</v>
      </c>
      <c r="H97" s="522"/>
      <c r="I97" s="334"/>
      <c r="J97" s="321"/>
    </row>
    <row r="98" spans="1:11" s="132" customFormat="1" ht="31.5" hidden="1" x14ac:dyDescent="0.25">
      <c r="A98" s="364" t="s">
        <v>125</v>
      </c>
      <c r="B98" s="455">
        <v>902</v>
      </c>
      <c r="C98" s="402" t="s">
        <v>116</v>
      </c>
      <c r="D98" s="402" t="s">
        <v>139</v>
      </c>
      <c r="E98" s="403" t="s">
        <v>335</v>
      </c>
      <c r="F98" s="402" t="s">
        <v>126</v>
      </c>
      <c r="G98" s="318">
        <v>0</v>
      </c>
      <c r="H98" s="522"/>
      <c r="I98" s="334"/>
      <c r="J98" s="321"/>
    </row>
    <row r="99" spans="1:11" s="132" customFormat="1" ht="51" customHeight="1" x14ac:dyDescent="0.25">
      <c r="A99" s="147" t="s">
        <v>566</v>
      </c>
      <c r="B99" s="454">
        <v>902</v>
      </c>
      <c r="C99" s="414" t="s">
        <v>116</v>
      </c>
      <c r="D99" s="414" t="s">
        <v>139</v>
      </c>
      <c r="E99" s="407" t="s">
        <v>427</v>
      </c>
      <c r="F99" s="414"/>
      <c r="G99" s="314">
        <f>G100</f>
        <v>0.5</v>
      </c>
      <c r="H99" s="522"/>
      <c r="I99" s="334"/>
      <c r="J99" s="321"/>
    </row>
    <row r="100" spans="1:11" s="132" customFormat="1" ht="31.5" x14ac:dyDescent="0.25">
      <c r="A100" s="25" t="s">
        <v>151</v>
      </c>
      <c r="B100" s="455">
        <v>902</v>
      </c>
      <c r="C100" s="402" t="s">
        <v>116</v>
      </c>
      <c r="D100" s="402" t="s">
        <v>139</v>
      </c>
      <c r="E100" s="403" t="s">
        <v>421</v>
      </c>
      <c r="F100" s="402"/>
      <c r="G100" s="318">
        <f>G101</f>
        <v>0.5</v>
      </c>
      <c r="H100" s="522"/>
      <c r="I100" s="334"/>
      <c r="J100" s="321"/>
    </row>
    <row r="101" spans="1:11" s="132" customFormat="1" ht="31.5" x14ac:dyDescent="0.25">
      <c r="A101" s="364" t="s">
        <v>123</v>
      </c>
      <c r="B101" s="455">
        <v>902</v>
      </c>
      <c r="C101" s="402" t="s">
        <v>116</v>
      </c>
      <c r="D101" s="402" t="s">
        <v>139</v>
      </c>
      <c r="E101" s="403" t="s">
        <v>421</v>
      </c>
      <c r="F101" s="402" t="s">
        <v>124</v>
      </c>
      <c r="G101" s="318">
        <f>G102</f>
        <v>0.5</v>
      </c>
      <c r="H101" s="522"/>
      <c r="I101" s="334"/>
      <c r="J101" s="321"/>
    </row>
    <row r="102" spans="1:11" s="132" customFormat="1" ht="31.5" x14ac:dyDescent="0.25">
      <c r="A102" s="364" t="s">
        <v>125</v>
      </c>
      <c r="B102" s="455">
        <v>902</v>
      </c>
      <c r="C102" s="402" t="s">
        <v>116</v>
      </c>
      <c r="D102" s="402" t="s">
        <v>139</v>
      </c>
      <c r="E102" s="403" t="s">
        <v>421</v>
      </c>
      <c r="F102" s="402" t="s">
        <v>126</v>
      </c>
      <c r="G102" s="318">
        <v>0.5</v>
      </c>
      <c r="H102" s="522"/>
      <c r="I102" s="334"/>
      <c r="J102" s="321"/>
    </row>
    <row r="103" spans="1:11" ht="47.25" x14ac:dyDescent="0.25">
      <c r="A103" s="315" t="s">
        <v>117</v>
      </c>
      <c r="B103" s="454">
        <v>902</v>
      </c>
      <c r="C103" s="414" t="s">
        <v>116</v>
      </c>
      <c r="D103" s="414" t="s">
        <v>118</v>
      </c>
      <c r="E103" s="414"/>
      <c r="F103" s="402"/>
      <c r="G103" s="314">
        <f>G104</f>
        <v>1352</v>
      </c>
      <c r="H103" s="522"/>
      <c r="I103" s="334"/>
      <c r="J103" s="321"/>
      <c r="K103" s="132"/>
    </row>
    <row r="104" spans="1:11" ht="39.200000000000003" customHeight="1" x14ac:dyDescent="0.25">
      <c r="A104" s="315" t="s">
        <v>488</v>
      </c>
      <c r="B104" s="454">
        <v>902</v>
      </c>
      <c r="C104" s="414" t="s">
        <v>116</v>
      </c>
      <c r="D104" s="414" t="s">
        <v>118</v>
      </c>
      <c r="E104" s="414" t="s">
        <v>434</v>
      </c>
      <c r="F104" s="414"/>
      <c r="G104" s="314">
        <f>G105</f>
        <v>1352</v>
      </c>
      <c r="H104" s="522"/>
      <c r="I104" s="334"/>
      <c r="J104" s="321"/>
      <c r="K104" s="132"/>
    </row>
    <row r="105" spans="1:11" ht="15.75" x14ac:dyDescent="0.25">
      <c r="A105" s="315" t="s">
        <v>489</v>
      </c>
      <c r="B105" s="454">
        <v>902</v>
      </c>
      <c r="C105" s="414" t="s">
        <v>116</v>
      </c>
      <c r="D105" s="414" t="s">
        <v>118</v>
      </c>
      <c r="E105" s="414" t="s">
        <v>435</v>
      </c>
      <c r="F105" s="414"/>
      <c r="G105" s="314">
        <f>G106+G109</f>
        <v>1352</v>
      </c>
      <c r="H105" s="522"/>
      <c r="I105" s="334"/>
      <c r="J105" s="321"/>
      <c r="K105" s="132"/>
    </row>
    <row r="106" spans="1:11" ht="31.5" x14ac:dyDescent="0.25">
      <c r="A106" s="364" t="s">
        <v>468</v>
      </c>
      <c r="B106" s="455">
        <v>902</v>
      </c>
      <c r="C106" s="402" t="s">
        <v>116</v>
      </c>
      <c r="D106" s="402" t="s">
        <v>118</v>
      </c>
      <c r="E106" s="402" t="s">
        <v>436</v>
      </c>
      <c r="F106" s="402"/>
      <c r="G106" s="318">
        <f>G107</f>
        <v>1352</v>
      </c>
      <c r="H106" s="522"/>
      <c r="I106" s="334"/>
      <c r="J106" s="321"/>
      <c r="K106" s="132"/>
    </row>
    <row r="107" spans="1:11" ht="63" x14ac:dyDescent="0.25">
      <c r="A107" s="364" t="s">
        <v>119</v>
      </c>
      <c r="B107" s="455">
        <v>902</v>
      </c>
      <c r="C107" s="402" t="s">
        <v>116</v>
      </c>
      <c r="D107" s="402" t="s">
        <v>118</v>
      </c>
      <c r="E107" s="402" t="s">
        <v>436</v>
      </c>
      <c r="F107" s="402" t="s">
        <v>120</v>
      </c>
      <c r="G107" s="318">
        <f>G108</f>
        <v>1352</v>
      </c>
      <c r="H107" s="522"/>
      <c r="I107" s="334"/>
      <c r="J107" s="321"/>
      <c r="K107" s="132"/>
    </row>
    <row r="108" spans="1:11" ht="31.5" x14ac:dyDescent="0.25">
      <c r="A108" s="364" t="s">
        <v>121</v>
      </c>
      <c r="B108" s="455">
        <v>902</v>
      </c>
      <c r="C108" s="402" t="s">
        <v>116</v>
      </c>
      <c r="D108" s="402" t="s">
        <v>118</v>
      </c>
      <c r="E108" s="402" t="s">
        <v>436</v>
      </c>
      <c r="F108" s="402" t="s">
        <v>122</v>
      </c>
      <c r="G108" s="20">
        <v>1352</v>
      </c>
      <c r="H108" s="522"/>
      <c r="I108" s="334"/>
      <c r="J108" s="321"/>
      <c r="K108" s="132"/>
    </row>
    <row r="109" spans="1:11" ht="31.7" hidden="1" customHeight="1" x14ac:dyDescent="0.25">
      <c r="A109" s="364" t="s">
        <v>416</v>
      </c>
      <c r="B109" s="455">
        <v>902</v>
      </c>
      <c r="C109" s="402" t="s">
        <v>116</v>
      </c>
      <c r="D109" s="402" t="s">
        <v>118</v>
      </c>
      <c r="E109" s="402" t="s">
        <v>438</v>
      </c>
      <c r="F109" s="402"/>
      <c r="G109" s="318">
        <f>G110</f>
        <v>0</v>
      </c>
      <c r="H109" s="522"/>
      <c r="I109" s="334"/>
      <c r="J109" s="321"/>
      <c r="K109" s="132"/>
    </row>
    <row r="110" spans="1:11" s="132" customFormat="1" ht="31.7" hidden="1" customHeight="1" x14ac:dyDescent="0.25">
      <c r="A110" s="364" t="s">
        <v>119</v>
      </c>
      <c r="B110" s="455">
        <v>902</v>
      </c>
      <c r="C110" s="402" t="s">
        <v>116</v>
      </c>
      <c r="D110" s="402" t="s">
        <v>118</v>
      </c>
      <c r="E110" s="402" t="s">
        <v>438</v>
      </c>
      <c r="F110" s="402" t="s">
        <v>120</v>
      </c>
      <c r="G110" s="318">
        <f>G111</f>
        <v>0</v>
      </c>
      <c r="H110" s="522"/>
      <c r="I110" s="334"/>
      <c r="J110" s="321"/>
    </row>
    <row r="111" spans="1:11" ht="34.5" hidden="1" customHeight="1" x14ac:dyDescent="0.25">
      <c r="A111" s="364" t="s">
        <v>121</v>
      </c>
      <c r="B111" s="455">
        <v>902</v>
      </c>
      <c r="C111" s="402" t="s">
        <v>116</v>
      </c>
      <c r="D111" s="402" t="s">
        <v>118</v>
      </c>
      <c r="E111" s="402" t="s">
        <v>438</v>
      </c>
      <c r="F111" s="402" t="s">
        <v>122</v>
      </c>
      <c r="G111" s="318"/>
      <c r="H111" s="522"/>
      <c r="I111" s="334"/>
      <c r="J111" s="321"/>
      <c r="K111" s="132"/>
    </row>
    <row r="112" spans="1:11" s="132" customFormat="1" ht="17.45" hidden="1" customHeight="1" x14ac:dyDescent="0.25">
      <c r="A112" s="315" t="s">
        <v>698</v>
      </c>
      <c r="B112" s="454">
        <v>902</v>
      </c>
      <c r="C112" s="414" t="s">
        <v>116</v>
      </c>
      <c r="D112" s="414" t="s">
        <v>187</v>
      </c>
      <c r="E112" s="414"/>
      <c r="F112" s="402"/>
      <c r="G112" s="314">
        <f t="shared" ref="G112:G114" si="3">G113</f>
        <v>0</v>
      </c>
      <c r="H112" s="522"/>
      <c r="I112" s="334"/>
      <c r="J112" s="321"/>
    </row>
    <row r="113" spans="1:11" s="132" customFormat="1" ht="21.75" hidden="1" customHeight="1" x14ac:dyDescent="0.25">
      <c r="A113" s="315" t="s">
        <v>133</v>
      </c>
      <c r="B113" s="454">
        <v>902</v>
      </c>
      <c r="C113" s="414" t="s">
        <v>116</v>
      </c>
      <c r="D113" s="414" t="s">
        <v>187</v>
      </c>
      <c r="E113" s="414" t="s">
        <v>442</v>
      </c>
      <c r="F113" s="402"/>
      <c r="G113" s="314">
        <f t="shared" si="3"/>
        <v>0</v>
      </c>
      <c r="H113" s="522"/>
      <c r="I113" s="334"/>
      <c r="J113" s="321"/>
    </row>
    <row r="114" spans="1:11" s="132" customFormat="1" ht="34.5" hidden="1" customHeight="1" x14ac:dyDescent="0.25">
      <c r="A114" s="315" t="s">
        <v>446</v>
      </c>
      <c r="B114" s="454">
        <v>902</v>
      </c>
      <c r="C114" s="414" t="s">
        <v>116</v>
      </c>
      <c r="D114" s="414" t="s">
        <v>187</v>
      </c>
      <c r="E114" s="414" t="s">
        <v>441</v>
      </c>
      <c r="F114" s="402"/>
      <c r="G114" s="314">
        <f t="shared" si="3"/>
        <v>0</v>
      </c>
      <c r="H114" s="522"/>
      <c r="I114" s="334"/>
      <c r="J114" s="321"/>
    </row>
    <row r="115" spans="1:11" s="132" customFormat="1" ht="18" hidden="1" customHeight="1" x14ac:dyDescent="0.25">
      <c r="A115" s="31" t="s">
        <v>154</v>
      </c>
      <c r="B115" s="455">
        <v>902</v>
      </c>
      <c r="C115" s="402" t="s">
        <v>116</v>
      </c>
      <c r="D115" s="402" t="s">
        <v>187</v>
      </c>
      <c r="E115" s="402" t="s">
        <v>697</v>
      </c>
      <c r="F115" s="402"/>
      <c r="G115" s="318">
        <f>G116+G118</f>
        <v>0</v>
      </c>
      <c r="H115" s="522"/>
      <c r="I115" s="334"/>
      <c r="J115" s="321"/>
    </row>
    <row r="116" spans="1:11" s="132" customFormat="1" ht="69.75" hidden="1" customHeight="1" x14ac:dyDescent="0.25">
      <c r="A116" s="364" t="s">
        <v>119</v>
      </c>
      <c r="B116" s="455">
        <v>902</v>
      </c>
      <c r="C116" s="402" t="s">
        <v>116</v>
      </c>
      <c r="D116" s="402" t="s">
        <v>187</v>
      </c>
      <c r="E116" s="402" t="s">
        <v>697</v>
      </c>
      <c r="F116" s="402" t="s">
        <v>120</v>
      </c>
      <c r="G116" s="318">
        <f>G117</f>
        <v>0</v>
      </c>
      <c r="H116" s="522"/>
      <c r="I116" s="334"/>
      <c r="J116" s="321"/>
    </row>
    <row r="117" spans="1:11" s="132" customFormat="1" ht="34.5" hidden="1" customHeight="1" x14ac:dyDescent="0.25">
      <c r="A117" s="364" t="s">
        <v>121</v>
      </c>
      <c r="B117" s="455">
        <v>902</v>
      </c>
      <c r="C117" s="402" t="s">
        <v>116</v>
      </c>
      <c r="D117" s="402" t="s">
        <v>187</v>
      </c>
      <c r="E117" s="402" t="s">
        <v>697</v>
      </c>
      <c r="F117" s="402" t="s">
        <v>122</v>
      </c>
      <c r="G117" s="318">
        <v>0</v>
      </c>
      <c r="H117" s="522"/>
      <c r="I117" s="334"/>
      <c r="J117" s="321"/>
    </row>
    <row r="118" spans="1:11" s="132" customFormat="1" ht="34.5" hidden="1" customHeight="1" x14ac:dyDescent="0.25">
      <c r="A118" s="364" t="s">
        <v>153</v>
      </c>
      <c r="B118" s="455">
        <v>902</v>
      </c>
      <c r="C118" s="402" t="s">
        <v>116</v>
      </c>
      <c r="D118" s="402" t="s">
        <v>187</v>
      </c>
      <c r="E118" s="402" t="s">
        <v>697</v>
      </c>
      <c r="F118" s="402" t="s">
        <v>124</v>
      </c>
      <c r="G118" s="318">
        <f>G119</f>
        <v>0</v>
      </c>
      <c r="H118" s="522"/>
      <c r="I118" s="334"/>
      <c r="J118" s="321"/>
    </row>
    <row r="119" spans="1:11" s="132" customFormat="1" ht="34.5" hidden="1" customHeight="1" x14ac:dyDescent="0.25">
      <c r="A119" s="364" t="s">
        <v>125</v>
      </c>
      <c r="B119" s="455">
        <v>902</v>
      </c>
      <c r="C119" s="402" t="s">
        <v>116</v>
      </c>
      <c r="D119" s="402" t="s">
        <v>187</v>
      </c>
      <c r="E119" s="402" t="s">
        <v>697</v>
      </c>
      <c r="F119" s="402" t="s">
        <v>126</v>
      </c>
      <c r="G119" s="318">
        <v>0</v>
      </c>
      <c r="H119" s="522"/>
      <c r="I119" s="334"/>
      <c r="J119" s="321"/>
    </row>
    <row r="120" spans="1:11" ht="15.75" x14ac:dyDescent="0.25">
      <c r="A120" s="315" t="s">
        <v>131</v>
      </c>
      <c r="B120" s="454">
        <v>902</v>
      </c>
      <c r="C120" s="414" t="s">
        <v>116</v>
      </c>
      <c r="D120" s="414" t="s">
        <v>132</v>
      </c>
      <c r="E120" s="414"/>
      <c r="F120" s="414"/>
      <c r="G120" s="314">
        <f>G139+G148+G121+G158+G135+G153</f>
        <v>6305.7</v>
      </c>
      <c r="H120" s="523"/>
      <c r="I120" s="334"/>
      <c r="J120" s="321"/>
      <c r="K120" s="132"/>
    </row>
    <row r="121" spans="1:11" s="132" customFormat="1" ht="19.5" hidden="1" customHeight="1" x14ac:dyDescent="0.25">
      <c r="A121" s="315" t="s">
        <v>133</v>
      </c>
      <c r="B121" s="454">
        <v>902</v>
      </c>
      <c r="C121" s="414" t="s">
        <v>116</v>
      </c>
      <c r="D121" s="414" t="s">
        <v>132</v>
      </c>
      <c r="E121" s="414" t="s">
        <v>442</v>
      </c>
      <c r="F121" s="414"/>
      <c r="G121" s="314">
        <f>G126+G122</f>
        <v>6086.7</v>
      </c>
      <c r="H121" s="522"/>
      <c r="I121" s="334"/>
      <c r="J121" s="321"/>
    </row>
    <row r="122" spans="1:11" s="132" customFormat="1" ht="30.6" hidden="1" customHeight="1" x14ac:dyDescent="0.25">
      <c r="A122" s="315" t="s">
        <v>446</v>
      </c>
      <c r="B122" s="454">
        <v>902</v>
      </c>
      <c r="C122" s="414" t="s">
        <v>116</v>
      </c>
      <c r="D122" s="414" t="s">
        <v>132</v>
      </c>
      <c r="E122" s="414" t="s">
        <v>441</v>
      </c>
      <c r="F122" s="414"/>
      <c r="G122" s="314">
        <f t="shared" ref="G122:G124" si="4">G123</f>
        <v>0</v>
      </c>
      <c r="H122" s="522"/>
      <c r="I122" s="334"/>
      <c r="J122" s="321"/>
    </row>
    <row r="123" spans="1:11" s="132" customFormat="1" ht="19.5" hidden="1" customHeight="1" x14ac:dyDescent="0.25">
      <c r="A123" s="364" t="s">
        <v>154</v>
      </c>
      <c r="B123" s="455">
        <v>902</v>
      </c>
      <c r="C123" s="402" t="s">
        <v>116</v>
      </c>
      <c r="D123" s="402" t="s">
        <v>132</v>
      </c>
      <c r="E123" s="402" t="s">
        <v>697</v>
      </c>
      <c r="F123" s="402"/>
      <c r="G123" s="318">
        <f t="shared" si="4"/>
        <v>0</v>
      </c>
      <c r="H123" s="522"/>
      <c r="I123" s="334"/>
      <c r="J123" s="321"/>
    </row>
    <row r="124" spans="1:11" s="132" customFormat="1" ht="19.5" hidden="1" customHeight="1" x14ac:dyDescent="0.25">
      <c r="A124" s="364" t="s">
        <v>127</v>
      </c>
      <c r="B124" s="455">
        <v>902</v>
      </c>
      <c r="C124" s="402" t="s">
        <v>116</v>
      </c>
      <c r="D124" s="402" t="s">
        <v>132</v>
      </c>
      <c r="E124" s="402" t="s">
        <v>697</v>
      </c>
      <c r="F124" s="402" t="s">
        <v>134</v>
      </c>
      <c r="G124" s="318">
        <f t="shared" si="4"/>
        <v>0</v>
      </c>
      <c r="H124" s="522"/>
      <c r="I124" s="334"/>
      <c r="J124" s="321"/>
    </row>
    <row r="125" spans="1:11" s="132" customFormat="1" ht="19.5" hidden="1" customHeight="1" x14ac:dyDescent="0.25">
      <c r="A125" s="364" t="s">
        <v>280</v>
      </c>
      <c r="B125" s="455">
        <v>902</v>
      </c>
      <c r="C125" s="402" t="s">
        <v>116</v>
      </c>
      <c r="D125" s="402" t="s">
        <v>132</v>
      </c>
      <c r="E125" s="402" t="s">
        <v>697</v>
      </c>
      <c r="F125" s="402" t="s">
        <v>130</v>
      </c>
      <c r="G125" s="318"/>
      <c r="H125" s="522"/>
      <c r="I125" s="334"/>
      <c r="J125" s="321"/>
    </row>
    <row r="126" spans="1:11" s="132" customFormat="1" ht="34.5" customHeight="1" x14ac:dyDescent="0.25">
      <c r="A126" s="315" t="s">
        <v>493</v>
      </c>
      <c r="B126" s="454">
        <v>902</v>
      </c>
      <c r="C126" s="414" t="s">
        <v>116</v>
      </c>
      <c r="D126" s="414" t="s">
        <v>132</v>
      </c>
      <c r="E126" s="414" t="s">
        <v>443</v>
      </c>
      <c r="F126" s="414"/>
      <c r="G126" s="314">
        <f>G127+G132</f>
        <v>6086.7</v>
      </c>
      <c r="H126" s="522"/>
      <c r="I126" s="334"/>
      <c r="J126" s="321"/>
    </row>
    <row r="127" spans="1:11" s="132" customFormat="1" ht="21.75" customHeight="1" x14ac:dyDescent="0.25">
      <c r="A127" s="364" t="s">
        <v>499</v>
      </c>
      <c r="B127" s="455">
        <v>902</v>
      </c>
      <c r="C127" s="402" t="s">
        <v>116</v>
      </c>
      <c r="D127" s="402" t="s">
        <v>132</v>
      </c>
      <c r="E127" s="402" t="s">
        <v>444</v>
      </c>
      <c r="F127" s="402"/>
      <c r="G127" s="318">
        <f>G128+G130</f>
        <v>5957.7</v>
      </c>
      <c r="H127" s="522"/>
      <c r="I127" s="334"/>
      <c r="J127" s="321"/>
    </row>
    <row r="128" spans="1:11" s="132" customFormat="1" ht="66.75" customHeight="1" x14ac:dyDescent="0.25">
      <c r="A128" s="364" t="s">
        <v>119</v>
      </c>
      <c r="B128" s="455">
        <v>902</v>
      </c>
      <c r="C128" s="402" t="s">
        <v>116</v>
      </c>
      <c r="D128" s="402" t="s">
        <v>132</v>
      </c>
      <c r="E128" s="402" t="s">
        <v>444</v>
      </c>
      <c r="F128" s="402" t="s">
        <v>120</v>
      </c>
      <c r="G128" s="318">
        <f>G129</f>
        <v>4548.3999999999996</v>
      </c>
      <c r="H128" s="522"/>
      <c r="I128" s="334"/>
      <c r="J128" s="321"/>
    </row>
    <row r="129" spans="1:15" s="132" customFormat="1" ht="30.75" customHeight="1" x14ac:dyDescent="0.25">
      <c r="A129" s="364" t="s">
        <v>121</v>
      </c>
      <c r="B129" s="455">
        <v>902</v>
      </c>
      <c r="C129" s="402" t="s">
        <v>116</v>
      </c>
      <c r="D129" s="402" t="s">
        <v>132</v>
      </c>
      <c r="E129" s="402" t="s">
        <v>444</v>
      </c>
      <c r="F129" s="402" t="s">
        <v>122</v>
      </c>
      <c r="G129" s="20">
        <f>4548.4</f>
        <v>4548.3999999999996</v>
      </c>
      <c r="H129" s="522"/>
      <c r="I129" s="334"/>
      <c r="J129" s="321"/>
    </row>
    <row r="130" spans="1:15" s="132" customFormat="1" ht="39.200000000000003" customHeight="1" x14ac:dyDescent="0.25">
      <c r="A130" s="364" t="s">
        <v>153</v>
      </c>
      <c r="B130" s="455">
        <v>902</v>
      </c>
      <c r="C130" s="402" t="s">
        <v>116</v>
      </c>
      <c r="D130" s="402" t="s">
        <v>132</v>
      </c>
      <c r="E130" s="402" t="s">
        <v>444</v>
      </c>
      <c r="F130" s="402" t="s">
        <v>124</v>
      </c>
      <c r="G130" s="318">
        <f>G131</f>
        <v>1409.3</v>
      </c>
      <c r="H130" s="522"/>
      <c r="I130" s="334"/>
      <c r="J130" s="321"/>
    </row>
    <row r="131" spans="1:15" s="132" customFormat="1" ht="39.200000000000003" customHeight="1" x14ac:dyDescent="0.25">
      <c r="A131" s="364" t="s">
        <v>125</v>
      </c>
      <c r="B131" s="455">
        <v>902</v>
      </c>
      <c r="C131" s="402" t="s">
        <v>116</v>
      </c>
      <c r="D131" s="402" t="s">
        <v>132</v>
      </c>
      <c r="E131" s="402" t="s">
        <v>444</v>
      </c>
      <c r="F131" s="402" t="s">
        <v>126</v>
      </c>
      <c r="G131" s="20">
        <f>1349.3+60</f>
        <v>1409.3</v>
      </c>
      <c r="H131" s="522" t="s">
        <v>1231</v>
      </c>
      <c r="I131" s="334" t="s">
        <v>1232</v>
      </c>
      <c r="J131" s="321"/>
    </row>
    <row r="132" spans="1:15" s="132" customFormat="1" ht="28.5" customHeight="1" x14ac:dyDescent="0.25">
      <c r="A132" s="364" t="s">
        <v>416</v>
      </c>
      <c r="B132" s="455">
        <v>902</v>
      </c>
      <c r="C132" s="402" t="s">
        <v>116</v>
      </c>
      <c r="D132" s="402" t="s">
        <v>132</v>
      </c>
      <c r="E132" s="402" t="s">
        <v>445</v>
      </c>
      <c r="F132" s="402"/>
      <c r="G132" s="318">
        <f>G133</f>
        <v>129</v>
      </c>
      <c r="H132" s="522"/>
      <c r="I132" s="334"/>
      <c r="J132" s="321"/>
    </row>
    <row r="133" spans="1:15" s="132" customFormat="1" ht="63" customHeight="1" x14ac:dyDescent="0.25">
      <c r="A133" s="364" t="s">
        <v>119</v>
      </c>
      <c r="B133" s="455">
        <v>902</v>
      </c>
      <c r="C133" s="402" t="s">
        <v>116</v>
      </c>
      <c r="D133" s="402" t="s">
        <v>132</v>
      </c>
      <c r="E133" s="402" t="s">
        <v>445</v>
      </c>
      <c r="F133" s="402" t="s">
        <v>120</v>
      </c>
      <c r="G133" s="318">
        <f>G134</f>
        <v>129</v>
      </c>
      <c r="H133" s="522"/>
      <c r="I133" s="334"/>
      <c r="J133" s="321"/>
    </row>
    <row r="134" spans="1:15" s="132" customFormat="1" ht="38.25" customHeight="1" x14ac:dyDescent="0.25">
      <c r="A134" s="364" t="s">
        <v>121</v>
      </c>
      <c r="B134" s="455">
        <v>902</v>
      </c>
      <c r="C134" s="402" t="s">
        <v>116</v>
      </c>
      <c r="D134" s="402" t="s">
        <v>132</v>
      </c>
      <c r="E134" s="402" t="s">
        <v>445</v>
      </c>
      <c r="F134" s="402" t="s">
        <v>122</v>
      </c>
      <c r="G134" s="318">
        <f>129</f>
        <v>129</v>
      </c>
      <c r="H134" s="522"/>
      <c r="I134" s="334"/>
      <c r="J134" s="321"/>
      <c r="K134" s="345"/>
      <c r="M134" s="345"/>
      <c r="O134" s="345"/>
    </row>
    <row r="135" spans="1:15" s="132" customFormat="1" ht="45" customHeight="1" x14ac:dyDescent="0.25">
      <c r="A135" s="315" t="s">
        <v>859</v>
      </c>
      <c r="B135" s="454">
        <v>902</v>
      </c>
      <c r="C135" s="414" t="s">
        <v>116</v>
      </c>
      <c r="D135" s="414" t="s">
        <v>132</v>
      </c>
      <c r="E135" s="414" t="s">
        <v>206</v>
      </c>
      <c r="F135" s="414"/>
      <c r="G135" s="314">
        <f>G136</f>
        <v>12</v>
      </c>
      <c r="H135" s="522"/>
      <c r="I135" s="334"/>
      <c r="J135" s="321"/>
      <c r="K135" s="345"/>
      <c r="M135" s="345"/>
      <c r="O135" s="345"/>
    </row>
    <row r="136" spans="1:15" s="132" customFormat="1" ht="51" customHeight="1" x14ac:dyDescent="0.25">
      <c r="A136" s="364" t="s">
        <v>634</v>
      </c>
      <c r="B136" s="455">
        <v>902</v>
      </c>
      <c r="C136" s="402" t="s">
        <v>116</v>
      </c>
      <c r="D136" s="402" t="s">
        <v>132</v>
      </c>
      <c r="E136" s="402" t="s">
        <v>589</v>
      </c>
      <c r="F136" s="402"/>
      <c r="G136" s="318">
        <f>G137</f>
        <v>12</v>
      </c>
      <c r="H136" s="522"/>
      <c r="I136" s="334"/>
      <c r="J136" s="321"/>
      <c r="K136" s="345"/>
      <c r="M136" s="345"/>
      <c r="O136" s="345"/>
    </row>
    <row r="137" spans="1:15" s="132" customFormat="1" ht="32.450000000000003" customHeight="1" x14ac:dyDescent="0.25">
      <c r="A137" s="364" t="s">
        <v>153</v>
      </c>
      <c r="B137" s="455">
        <v>902</v>
      </c>
      <c r="C137" s="402" t="s">
        <v>116</v>
      </c>
      <c r="D137" s="402" t="s">
        <v>132</v>
      </c>
      <c r="E137" s="402" t="s">
        <v>589</v>
      </c>
      <c r="F137" s="402" t="s">
        <v>124</v>
      </c>
      <c r="G137" s="318">
        <f>G138</f>
        <v>12</v>
      </c>
      <c r="H137" s="522"/>
      <c r="I137" s="334"/>
      <c r="J137" s="321"/>
      <c r="K137" s="345"/>
      <c r="M137" s="345"/>
      <c r="O137" s="345"/>
    </row>
    <row r="138" spans="1:15" s="132" customFormat="1" ht="33.6" customHeight="1" x14ac:dyDescent="0.25">
      <c r="A138" s="364" t="s">
        <v>125</v>
      </c>
      <c r="B138" s="455">
        <v>902</v>
      </c>
      <c r="C138" s="402" t="s">
        <v>116</v>
      </c>
      <c r="D138" s="402" t="s">
        <v>132</v>
      </c>
      <c r="E138" s="402" t="s">
        <v>589</v>
      </c>
      <c r="F138" s="402" t="s">
        <v>126</v>
      </c>
      <c r="G138" s="318">
        <v>12</v>
      </c>
      <c r="H138" s="522"/>
      <c r="I138" s="334"/>
      <c r="J138" s="321"/>
      <c r="K138" s="345"/>
      <c r="M138" s="345"/>
      <c r="O138" s="345"/>
    </row>
    <row r="139" spans="1:15" ht="47.25" x14ac:dyDescent="0.25">
      <c r="A139" s="359" t="s">
        <v>844</v>
      </c>
      <c r="B139" s="454">
        <v>902</v>
      </c>
      <c r="C139" s="414" t="s">
        <v>116</v>
      </c>
      <c r="D139" s="414" t="s">
        <v>132</v>
      </c>
      <c r="E139" s="414" t="s">
        <v>339</v>
      </c>
      <c r="F139" s="464"/>
      <c r="G139" s="314">
        <f>G140+G144</f>
        <v>52</v>
      </c>
      <c r="H139" s="522"/>
      <c r="I139" s="334"/>
      <c r="J139" s="321"/>
      <c r="K139" s="132"/>
    </row>
    <row r="140" spans="1:15" s="132" customFormat="1" ht="47.25" customHeight="1" x14ac:dyDescent="0.25">
      <c r="A140" s="358" t="s">
        <v>422</v>
      </c>
      <c r="B140" s="454">
        <v>902</v>
      </c>
      <c r="C140" s="414" t="s">
        <v>116</v>
      </c>
      <c r="D140" s="414" t="s">
        <v>132</v>
      </c>
      <c r="E140" s="414" t="s">
        <v>428</v>
      </c>
      <c r="F140" s="464"/>
      <c r="G140" s="314">
        <f t="shared" ref="G140:G142" si="5">G141</f>
        <v>37</v>
      </c>
      <c r="H140" s="522"/>
      <c r="I140" s="334"/>
      <c r="J140" s="321"/>
    </row>
    <row r="141" spans="1:15" ht="36.75" customHeight="1" x14ac:dyDescent="0.25">
      <c r="A141" s="70" t="s">
        <v>355</v>
      </c>
      <c r="B141" s="455">
        <v>902</v>
      </c>
      <c r="C141" s="402" t="s">
        <v>116</v>
      </c>
      <c r="D141" s="402" t="s">
        <v>132</v>
      </c>
      <c r="E141" s="402" t="s">
        <v>423</v>
      </c>
      <c r="F141" s="467"/>
      <c r="G141" s="318">
        <f t="shared" si="5"/>
        <v>37</v>
      </c>
      <c r="H141" s="522"/>
      <c r="I141" s="334"/>
      <c r="J141" s="321"/>
      <c r="K141" s="132"/>
    </row>
    <row r="142" spans="1:15" ht="31.5" x14ac:dyDescent="0.25">
      <c r="A142" s="364" t="s">
        <v>123</v>
      </c>
      <c r="B142" s="455">
        <v>902</v>
      </c>
      <c r="C142" s="402" t="s">
        <v>116</v>
      </c>
      <c r="D142" s="402" t="s">
        <v>132</v>
      </c>
      <c r="E142" s="402" t="s">
        <v>423</v>
      </c>
      <c r="F142" s="467" t="s">
        <v>124</v>
      </c>
      <c r="G142" s="318">
        <f t="shared" si="5"/>
        <v>37</v>
      </c>
      <c r="H142" s="522"/>
      <c r="I142" s="334"/>
      <c r="J142" s="321"/>
      <c r="K142" s="132"/>
    </row>
    <row r="143" spans="1:15" ht="31.5" x14ac:dyDescent="0.25">
      <c r="A143" s="364" t="s">
        <v>125</v>
      </c>
      <c r="B143" s="455">
        <v>902</v>
      </c>
      <c r="C143" s="402" t="s">
        <v>116</v>
      </c>
      <c r="D143" s="402" t="s">
        <v>132</v>
      </c>
      <c r="E143" s="402" t="s">
        <v>423</v>
      </c>
      <c r="F143" s="467" t="s">
        <v>126</v>
      </c>
      <c r="G143" s="318">
        <v>37</v>
      </c>
      <c r="H143" s="522"/>
      <c r="I143" s="334"/>
      <c r="J143" s="321"/>
      <c r="K143" s="132"/>
    </row>
    <row r="144" spans="1:15" s="132" customFormat="1" ht="34.5" customHeight="1" x14ac:dyDescent="0.25">
      <c r="A144" s="322" t="s">
        <v>586</v>
      </c>
      <c r="B144" s="454">
        <v>902</v>
      </c>
      <c r="C144" s="414" t="s">
        <v>116</v>
      </c>
      <c r="D144" s="414" t="s">
        <v>132</v>
      </c>
      <c r="E144" s="414" t="s">
        <v>429</v>
      </c>
      <c r="F144" s="464"/>
      <c r="G144" s="314">
        <f t="shared" ref="G144:G146" si="6">G145</f>
        <v>15</v>
      </c>
      <c r="H144" s="522"/>
      <c r="I144" s="334"/>
      <c r="J144" s="321"/>
    </row>
    <row r="145" spans="1:11" ht="39.200000000000003" customHeight="1" x14ac:dyDescent="0.25">
      <c r="A145" s="70" t="s">
        <v>356</v>
      </c>
      <c r="B145" s="455">
        <v>902</v>
      </c>
      <c r="C145" s="402" t="s">
        <v>116</v>
      </c>
      <c r="D145" s="402" t="s">
        <v>132</v>
      </c>
      <c r="E145" s="402" t="s">
        <v>424</v>
      </c>
      <c r="F145" s="467"/>
      <c r="G145" s="318">
        <f t="shared" si="6"/>
        <v>15</v>
      </c>
      <c r="H145" s="522"/>
      <c r="I145" s="334"/>
      <c r="J145" s="321"/>
      <c r="K145" s="132"/>
    </row>
    <row r="146" spans="1:11" ht="31.7" customHeight="1" x14ac:dyDescent="0.25">
      <c r="A146" s="364" t="s">
        <v>123</v>
      </c>
      <c r="B146" s="455">
        <v>902</v>
      </c>
      <c r="C146" s="402" t="s">
        <v>116</v>
      </c>
      <c r="D146" s="402" t="s">
        <v>132</v>
      </c>
      <c r="E146" s="402" t="s">
        <v>424</v>
      </c>
      <c r="F146" s="467" t="s">
        <v>124</v>
      </c>
      <c r="G146" s="318">
        <f t="shared" si="6"/>
        <v>15</v>
      </c>
      <c r="H146" s="522"/>
      <c r="I146" s="334"/>
      <c r="J146" s="321"/>
      <c r="K146" s="132"/>
    </row>
    <row r="147" spans="1:11" ht="32.25" customHeight="1" x14ac:dyDescent="0.25">
      <c r="A147" s="364" t="s">
        <v>125</v>
      </c>
      <c r="B147" s="455">
        <v>902</v>
      </c>
      <c r="C147" s="402" t="s">
        <v>116</v>
      </c>
      <c r="D147" s="402" t="s">
        <v>132</v>
      </c>
      <c r="E147" s="402" t="s">
        <v>424</v>
      </c>
      <c r="F147" s="467" t="s">
        <v>126</v>
      </c>
      <c r="G147" s="318">
        <v>15</v>
      </c>
      <c r="H147" s="522"/>
      <c r="I147" s="334"/>
      <c r="J147" s="321"/>
      <c r="K147" s="132"/>
    </row>
    <row r="148" spans="1:11" ht="68.25" customHeight="1" x14ac:dyDescent="0.25">
      <c r="A148" s="359" t="s">
        <v>845</v>
      </c>
      <c r="B148" s="454">
        <v>902</v>
      </c>
      <c r="C148" s="469" t="s">
        <v>116</v>
      </c>
      <c r="D148" s="469" t="s">
        <v>132</v>
      </c>
      <c r="E148" s="470" t="s">
        <v>395</v>
      </c>
      <c r="F148" s="469"/>
      <c r="G148" s="314">
        <f>G150</f>
        <v>45</v>
      </c>
      <c r="H148" s="522"/>
      <c r="I148" s="334"/>
      <c r="J148" s="321"/>
      <c r="K148" s="132"/>
    </row>
    <row r="149" spans="1:11" s="132" customFormat="1" ht="35.450000000000003" customHeight="1" x14ac:dyDescent="0.25">
      <c r="A149" s="139" t="s">
        <v>430</v>
      </c>
      <c r="B149" s="454">
        <v>902</v>
      </c>
      <c r="C149" s="469" t="s">
        <v>116</v>
      </c>
      <c r="D149" s="469" t="s">
        <v>132</v>
      </c>
      <c r="E149" s="470" t="s">
        <v>630</v>
      </c>
      <c r="F149" s="469"/>
      <c r="G149" s="314">
        <f t="shared" ref="G149:G151" si="7">G150</f>
        <v>45</v>
      </c>
      <c r="H149" s="522"/>
      <c r="I149" s="334"/>
      <c r="J149" s="321"/>
    </row>
    <row r="150" spans="1:11" ht="31.7" customHeight="1" x14ac:dyDescent="0.25">
      <c r="A150" s="69" t="s">
        <v>145</v>
      </c>
      <c r="B150" s="455">
        <v>902</v>
      </c>
      <c r="C150" s="473" t="s">
        <v>116</v>
      </c>
      <c r="D150" s="473" t="s">
        <v>132</v>
      </c>
      <c r="E150" s="404" t="s">
        <v>431</v>
      </c>
      <c r="F150" s="473"/>
      <c r="G150" s="318">
        <f t="shared" si="7"/>
        <v>45</v>
      </c>
      <c r="H150" s="522"/>
      <c r="I150" s="334"/>
      <c r="J150" s="321"/>
      <c r="K150" s="132"/>
    </row>
    <row r="151" spans="1:11" ht="35.450000000000003" customHeight="1" x14ac:dyDescent="0.25">
      <c r="A151" s="364" t="s">
        <v>123</v>
      </c>
      <c r="B151" s="455">
        <v>902</v>
      </c>
      <c r="C151" s="473" t="s">
        <v>116</v>
      </c>
      <c r="D151" s="473" t="s">
        <v>132</v>
      </c>
      <c r="E151" s="404" t="s">
        <v>431</v>
      </c>
      <c r="F151" s="473" t="s">
        <v>124</v>
      </c>
      <c r="G151" s="318">
        <f t="shared" si="7"/>
        <v>45</v>
      </c>
      <c r="H151" s="522"/>
      <c r="I151" s="334"/>
      <c r="J151" s="321"/>
      <c r="K151" s="132"/>
    </row>
    <row r="152" spans="1:11" ht="33" customHeight="1" x14ac:dyDescent="0.25">
      <c r="A152" s="364" t="s">
        <v>125</v>
      </c>
      <c r="B152" s="455">
        <v>902</v>
      </c>
      <c r="C152" s="473" t="s">
        <v>116</v>
      </c>
      <c r="D152" s="473" t="s">
        <v>132</v>
      </c>
      <c r="E152" s="404" t="s">
        <v>431</v>
      </c>
      <c r="F152" s="473" t="s">
        <v>126</v>
      </c>
      <c r="G152" s="318">
        <v>45</v>
      </c>
      <c r="H152" s="522"/>
      <c r="I152" s="334"/>
      <c r="J152" s="321"/>
      <c r="K152" s="132"/>
    </row>
    <row r="153" spans="1:11" s="363" customFormat="1" ht="63" x14ac:dyDescent="0.25">
      <c r="A153" s="359" t="s">
        <v>1317</v>
      </c>
      <c r="B153" s="454">
        <v>902</v>
      </c>
      <c r="C153" s="469" t="s">
        <v>116</v>
      </c>
      <c r="D153" s="469" t="s">
        <v>132</v>
      </c>
      <c r="E153" s="470" t="s">
        <v>1307</v>
      </c>
      <c r="F153" s="469"/>
      <c r="G153" s="314">
        <f>G154</f>
        <v>30</v>
      </c>
      <c r="H153" s="522"/>
      <c r="I153" s="334"/>
      <c r="J153" s="321"/>
    </row>
    <row r="154" spans="1:11" s="363" customFormat="1" ht="33" customHeight="1" x14ac:dyDescent="0.25">
      <c r="A154" s="359" t="s">
        <v>1318</v>
      </c>
      <c r="B154" s="454">
        <v>902</v>
      </c>
      <c r="C154" s="469" t="s">
        <v>116</v>
      </c>
      <c r="D154" s="469" t="s">
        <v>132</v>
      </c>
      <c r="E154" s="470" t="s">
        <v>1308</v>
      </c>
      <c r="F154" s="469"/>
      <c r="G154" s="314">
        <f>G155</f>
        <v>30</v>
      </c>
      <c r="H154" s="522"/>
      <c r="I154" s="334"/>
      <c r="J154" s="321"/>
    </row>
    <row r="155" spans="1:11" s="363" customFormat="1" ht="15.75" x14ac:dyDescent="0.25">
      <c r="A155" s="364" t="s">
        <v>1319</v>
      </c>
      <c r="B155" s="455">
        <v>902</v>
      </c>
      <c r="C155" s="473" t="s">
        <v>116</v>
      </c>
      <c r="D155" s="473" t="s">
        <v>132</v>
      </c>
      <c r="E155" s="404" t="s">
        <v>1309</v>
      </c>
      <c r="F155" s="473"/>
      <c r="G155" s="318">
        <f>G156</f>
        <v>30</v>
      </c>
      <c r="H155" s="522"/>
      <c r="I155" s="334"/>
      <c r="J155" s="321"/>
    </row>
    <row r="156" spans="1:11" s="363" customFormat="1" ht="15.75" x14ac:dyDescent="0.25">
      <c r="A156" s="560" t="s">
        <v>177</v>
      </c>
      <c r="B156" s="455">
        <v>902</v>
      </c>
      <c r="C156" s="473" t="s">
        <v>116</v>
      </c>
      <c r="D156" s="473" t="s">
        <v>132</v>
      </c>
      <c r="E156" s="404" t="s">
        <v>1309</v>
      </c>
      <c r="F156" s="473" t="s">
        <v>178</v>
      </c>
      <c r="G156" s="318">
        <f>G157</f>
        <v>30</v>
      </c>
      <c r="H156" s="522"/>
      <c r="I156" s="334"/>
      <c r="J156" s="321"/>
    </row>
    <row r="157" spans="1:11" s="363" customFormat="1" ht="15.75" x14ac:dyDescent="0.25">
      <c r="A157" s="364" t="s">
        <v>1320</v>
      </c>
      <c r="B157" s="455">
        <v>902</v>
      </c>
      <c r="C157" s="473" t="s">
        <v>116</v>
      </c>
      <c r="D157" s="473" t="s">
        <v>132</v>
      </c>
      <c r="E157" s="404" t="s">
        <v>1309</v>
      </c>
      <c r="F157" s="473" t="s">
        <v>1310</v>
      </c>
      <c r="G157" s="318">
        <v>30</v>
      </c>
      <c r="H157" s="522" t="s">
        <v>1246</v>
      </c>
      <c r="I157" s="334"/>
      <c r="J157" s="321"/>
    </row>
    <row r="158" spans="1:11" s="132" customFormat="1" ht="63" x14ac:dyDescent="0.25">
      <c r="A158" s="359" t="s">
        <v>846</v>
      </c>
      <c r="B158" s="454">
        <v>902</v>
      </c>
      <c r="C158" s="469" t="s">
        <v>116</v>
      </c>
      <c r="D158" s="469" t="s">
        <v>132</v>
      </c>
      <c r="E158" s="470" t="s">
        <v>396</v>
      </c>
      <c r="F158" s="469"/>
      <c r="G158" s="314">
        <f>G160</f>
        <v>80</v>
      </c>
      <c r="H158" s="522"/>
      <c r="I158" s="334"/>
      <c r="J158" s="321"/>
    </row>
    <row r="159" spans="1:11" s="132" customFormat="1" ht="31.5" x14ac:dyDescent="0.25">
      <c r="A159" s="37" t="s">
        <v>432</v>
      </c>
      <c r="B159" s="454">
        <v>902</v>
      </c>
      <c r="C159" s="469" t="s">
        <v>116</v>
      </c>
      <c r="D159" s="469" t="s">
        <v>132</v>
      </c>
      <c r="E159" s="470" t="s">
        <v>440</v>
      </c>
      <c r="F159" s="469"/>
      <c r="G159" s="314">
        <f t="shared" ref="G159:G161" si="8">G160</f>
        <v>80</v>
      </c>
      <c r="H159" s="522"/>
      <c r="I159" s="334"/>
      <c r="J159" s="321"/>
    </row>
    <row r="160" spans="1:11" s="132" customFormat="1" ht="15.75" x14ac:dyDescent="0.25">
      <c r="A160" s="31" t="s">
        <v>400</v>
      </c>
      <c r="B160" s="455">
        <v>902</v>
      </c>
      <c r="C160" s="473" t="s">
        <v>116</v>
      </c>
      <c r="D160" s="473" t="s">
        <v>132</v>
      </c>
      <c r="E160" s="404" t="s">
        <v>433</v>
      </c>
      <c r="F160" s="473"/>
      <c r="G160" s="318">
        <f t="shared" si="8"/>
        <v>80</v>
      </c>
      <c r="H160" s="522"/>
      <c r="I160" s="334"/>
      <c r="J160" s="321"/>
    </row>
    <row r="161" spans="1:11" s="132" customFormat="1" ht="31.5" x14ac:dyDescent="0.25">
      <c r="A161" s="364" t="s">
        <v>123</v>
      </c>
      <c r="B161" s="455">
        <v>902</v>
      </c>
      <c r="C161" s="473" t="s">
        <v>116</v>
      </c>
      <c r="D161" s="473" t="s">
        <v>132</v>
      </c>
      <c r="E161" s="404" t="s">
        <v>433</v>
      </c>
      <c r="F161" s="473" t="s">
        <v>124</v>
      </c>
      <c r="G161" s="318">
        <f t="shared" si="8"/>
        <v>80</v>
      </c>
      <c r="H161" s="522"/>
      <c r="I161" s="334"/>
      <c r="J161" s="321"/>
    </row>
    <row r="162" spans="1:11" s="132" customFormat="1" ht="31.5" x14ac:dyDescent="0.25">
      <c r="A162" s="364" t="s">
        <v>125</v>
      </c>
      <c r="B162" s="455">
        <v>902</v>
      </c>
      <c r="C162" s="473" t="s">
        <v>116</v>
      </c>
      <c r="D162" s="473" t="s">
        <v>132</v>
      </c>
      <c r="E162" s="404" t="s">
        <v>433</v>
      </c>
      <c r="F162" s="473" t="s">
        <v>126</v>
      </c>
      <c r="G162" s="318">
        <v>80</v>
      </c>
      <c r="H162" s="522"/>
      <c r="I162" s="334"/>
      <c r="J162" s="321"/>
    </row>
    <row r="163" spans="1:11" ht="15.75" hidden="1" customHeight="1" x14ac:dyDescent="0.25">
      <c r="A163" s="315" t="s">
        <v>157</v>
      </c>
      <c r="B163" s="454">
        <v>902</v>
      </c>
      <c r="C163" s="414" t="s">
        <v>158</v>
      </c>
      <c r="D163" s="414"/>
      <c r="E163" s="414"/>
      <c r="F163" s="414"/>
      <c r="G163" s="314">
        <f t="shared" ref="G163:G168" si="9">G164</f>
        <v>0</v>
      </c>
      <c r="H163" s="522"/>
      <c r="I163" s="334"/>
      <c r="J163" s="321"/>
      <c r="K163" s="132"/>
    </row>
    <row r="164" spans="1:11" ht="20.25" hidden="1" customHeight="1" x14ac:dyDescent="0.25">
      <c r="A164" s="315" t="s">
        <v>160</v>
      </c>
      <c r="B164" s="454">
        <v>902</v>
      </c>
      <c r="C164" s="414" t="s">
        <v>158</v>
      </c>
      <c r="D164" s="414" t="s">
        <v>161</v>
      </c>
      <c r="E164" s="414"/>
      <c r="F164" s="414"/>
      <c r="G164" s="314">
        <f t="shared" si="9"/>
        <v>0</v>
      </c>
      <c r="H164" s="522"/>
      <c r="I164" s="334"/>
      <c r="J164" s="321"/>
      <c r="K164" s="132"/>
    </row>
    <row r="165" spans="1:11" ht="15.75" hidden="1" customHeight="1" x14ac:dyDescent="0.25">
      <c r="A165" s="315" t="s">
        <v>133</v>
      </c>
      <c r="B165" s="454">
        <v>902</v>
      </c>
      <c r="C165" s="414" t="s">
        <v>158</v>
      </c>
      <c r="D165" s="414" t="s">
        <v>161</v>
      </c>
      <c r="E165" s="414" t="s">
        <v>442</v>
      </c>
      <c r="F165" s="414"/>
      <c r="G165" s="314">
        <f t="shared" si="9"/>
        <v>0</v>
      </c>
      <c r="H165" s="522"/>
      <c r="I165" s="334"/>
      <c r="J165" s="321"/>
      <c r="K165" s="132"/>
    </row>
    <row r="166" spans="1:11" ht="33.75" hidden="1" customHeight="1" x14ac:dyDescent="0.25">
      <c r="A166" s="315" t="s">
        <v>446</v>
      </c>
      <c r="B166" s="454">
        <v>902</v>
      </c>
      <c r="C166" s="414" t="s">
        <v>158</v>
      </c>
      <c r="D166" s="414" t="s">
        <v>161</v>
      </c>
      <c r="E166" s="414" t="s">
        <v>441</v>
      </c>
      <c r="F166" s="414"/>
      <c r="G166" s="314">
        <f t="shared" si="9"/>
        <v>0</v>
      </c>
      <c r="H166" s="522"/>
      <c r="I166" s="334"/>
      <c r="J166" s="321"/>
      <c r="K166" s="132"/>
    </row>
    <row r="167" spans="1:11" ht="15.75" hidden="1" customHeight="1" x14ac:dyDescent="0.25">
      <c r="A167" s="364" t="s">
        <v>162</v>
      </c>
      <c r="B167" s="455">
        <v>902</v>
      </c>
      <c r="C167" s="402" t="s">
        <v>158</v>
      </c>
      <c r="D167" s="402" t="s">
        <v>161</v>
      </c>
      <c r="E167" s="402" t="s">
        <v>447</v>
      </c>
      <c r="F167" s="402"/>
      <c r="G167" s="318">
        <f t="shared" si="9"/>
        <v>0</v>
      </c>
      <c r="H167" s="522"/>
      <c r="I167" s="334"/>
      <c r="J167" s="321"/>
      <c r="K167" s="132"/>
    </row>
    <row r="168" spans="1:11" ht="33.75" hidden="1" customHeight="1" x14ac:dyDescent="0.25">
      <c r="A168" s="364" t="s">
        <v>153</v>
      </c>
      <c r="B168" s="455">
        <v>902</v>
      </c>
      <c r="C168" s="402" t="s">
        <v>158</v>
      </c>
      <c r="D168" s="402" t="s">
        <v>161</v>
      </c>
      <c r="E168" s="402" t="s">
        <v>447</v>
      </c>
      <c r="F168" s="402" t="s">
        <v>124</v>
      </c>
      <c r="G168" s="318">
        <f t="shared" si="9"/>
        <v>0</v>
      </c>
      <c r="H168" s="522"/>
      <c r="I168" s="334"/>
      <c r="J168" s="321"/>
      <c r="K168" s="132"/>
    </row>
    <row r="169" spans="1:11" ht="40.700000000000003" hidden="1" customHeight="1" x14ac:dyDescent="0.25">
      <c r="A169" s="364" t="s">
        <v>125</v>
      </c>
      <c r="B169" s="455">
        <v>902</v>
      </c>
      <c r="C169" s="402" t="s">
        <v>158</v>
      </c>
      <c r="D169" s="402" t="s">
        <v>161</v>
      </c>
      <c r="E169" s="402" t="s">
        <v>447</v>
      </c>
      <c r="F169" s="402" t="s">
        <v>126</v>
      </c>
      <c r="G169" s="20">
        <v>0</v>
      </c>
      <c r="H169" s="522"/>
      <c r="I169" s="334"/>
      <c r="J169" s="321"/>
      <c r="K169" s="132"/>
    </row>
    <row r="170" spans="1:11" ht="31.5" x14ac:dyDescent="0.25">
      <c r="A170" s="315" t="s">
        <v>163</v>
      </c>
      <c r="B170" s="454">
        <v>902</v>
      </c>
      <c r="C170" s="414" t="s">
        <v>159</v>
      </c>
      <c r="D170" s="414"/>
      <c r="E170" s="414"/>
      <c r="F170" s="414"/>
      <c r="G170" s="314">
        <f>G171</f>
        <v>7597.7</v>
      </c>
      <c r="H170" s="523"/>
      <c r="I170" s="334"/>
      <c r="J170" s="321"/>
      <c r="K170" s="132"/>
    </row>
    <row r="171" spans="1:11" ht="47.25" customHeight="1" x14ac:dyDescent="0.25">
      <c r="A171" s="315" t="s">
        <v>848</v>
      </c>
      <c r="B171" s="454">
        <v>902</v>
      </c>
      <c r="C171" s="414" t="s">
        <v>159</v>
      </c>
      <c r="D171" s="414" t="s">
        <v>174</v>
      </c>
      <c r="E171" s="402"/>
      <c r="F171" s="402"/>
      <c r="G171" s="314">
        <f>G172+G189</f>
        <v>7597.7</v>
      </c>
      <c r="H171" s="522"/>
      <c r="I171" s="334"/>
      <c r="J171" s="321"/>
      <c r="K171" s="132"/>
    </row>
    <row r="172" spans="1:11" ht="15.75" x14ac:dyDescent="0.25">
      <c r="A172" s="315" t="s">
        <v>133</v>
      </c>
      <c r="B172" s="454">
        <v>902</v>
      </c>
      <c r="C172" s="414" t="s">
        <v>159</v>
      </c>
      <c r="D172" s="414" t="s">
        <v>174</v>
      </c>
      <c r="E172" s="414" t="s">
        <v>442</v>
      </c>
      <c r="F172" s="414"/>
      <c r="G172" s="314">
        <f>G173+G180</f>
        <v>7597.7</v>
      </c>
      <c r="H172" s="522"/>
      <c r="I172" s="334"/>
      <c r="J172" s="321"/>
      <c r="K172" s="132"/>
    </row>
    <row r="173" spans="1:11" s="132" customFormat="1" ht="31.5" x14ac:dyDescent="0.25">
      <c r="A173" s="315" t="s">
        <v>446</v>
      </c>
      <c r="B173" s="454">
        <v>902</v>
      </c>
      <c r="C173" s="414" t="s">
        <v>159</v>
      </c>
      <c r="D173" s="414" t="s">
        <v>174</v>
      </c>
      <c r="E173" s="414" t="s">
        <v>441</v>
      </c>
      <c r="F173" s="414"/>
      <c r="G173" s="314">
        <f>G174+G177</f>
        <v>1281.8</v>
      </c>
      <c r="H173" s="522"/>
      <c r="I173" s="334"/>
      <c r="J173" s="321"/>
    </row>
    <row r="174" spans="1:11" s="132" customFormat="1" ht="31.5" x14ac:dyDescent="0.25">
      <c r="A174" s="364" t="s">
        <v>164</v>
      </c>
      <c r="B174" s="455">
        <v>902</v>
      </c>
      <c r="C174" s="402" t="s">
        <v>159</v>
      </c>
      <c r="D174" s="402" t="s">
        <v>174</v>
      </c>
      <c r="E174" s="402" t="s">
        <v>451</v>
      </c>
      <c r="F174" s="402"/>
      <c r="G174" s="318">
        <f>G175</f>
        <v>1084.8</v>
      </c>
      <c r="H174" s="522"/>
      <c r="I174" s="334"/>
      <c r="J174" s="321"/>
    </row>
    <row r="175" spans="1:11" s="132" customFormat="1" ht="31.5" x14ac:dyDescent="0.25">
      <c r="A175" s="364" t="s">
        <v>153</v>
      </c>
      <c r="B175" s="455">
        <v>902</v>
      </c>
      <c r="C175" s="402" t="s">
        <v>159</v>
      </c>
      <c r="D175" s="402" t="s">
        <v>174</v>
      </c>
      <c r="E175" s="402" t="s">
        <v>451</v>
      </c>
      <c r="F175" s="402" t="s">
        <v>124</v>
      </c>
      <c r="G175" s="318">
        <f>G176</f>
        <v>1084.8</v>
      </c>
      <c r="H175" s="522"/>
      <c r="I175" s="334"/>
      <c r="J175" s="321"/>
    </row>
    <row r="176" spans="1:11" s="132" customFormat="1" ht="31.5" x14ac:dyDescent="0.25">
      <c r="A176" s="364" t="s">
        <v>125</v>
      </c>
      <c r="B176" s="455">
        <v>902</v>
      </c>
      <c r="C176" s="402" t="s">
        <v>159</v>
      </c>
      <c r="D176" s="402" t="s">
        <v>174</v>
      </c>
      <c r="E176" s="402" t="s">
        <v>451</v>
      </c>
      <c r="F176" s="402" t="s">
        <v>126</v>
      </c>
      <c r="G176" s="564">
        <f>1285-1000+500-0.2+300</f>
        <v>1084.8</v>
      </c>
      <c r="H176" s="522" t="s">
        <v>1233</v>
      </c>
      <c r="I176" s="334" t="s">
        <v>1234</v>
      </c>
      <c r="J176" s="321"/>
    </row>
    <row r="177" spans="1:10" s="132" customFormat="1" ht="15.75" x14ac:dyDescent="0.25">
      <c r="A177" s="364" t="s">
        <v>165</v>
      </c>
      <c r="B177" s="455">
        <v>902</v>
      </c>
      <c r="C177" s="402" t="s">
        <v>159</v>
      </c>
      <c r="D177" s="402" t="s">
        <v>174</v>
      </c>
      <c r="E177" s="402" t="s">
        <v>452</v>
      </c>
      <c r="F177" s="402"/>
      <c r="G177" s="20">
        <f>G178</f>
        <v>197</v>
      </c>
      <c r="H177" s="522"/>
      <c r="I177" s="334"/>
      <c r="J177" s="321"/>
    </row>
    <row r="178" spans="1:10" s="132" customFormat="1" ht="31.5" x14ac:dyDescent="0.25">
      <c r="A178" s="364" t="s">
        <v>153</v>
      </c>
      <c r="B178" s="455">
        <v>902</v>
      </c>
      <c r="C178" s="402" t="s">
        <v>159</v>
      </c>
      <c r="D178" s="402" t="s">
        <v>174</v>
      </c>
      <c r="E178" s="402" t="s">
        <v>452</v>
      </c>
      <c r="F178" s="402" t="s">
        <v>124</v>
      </c>
      <c r="G178" s="20">
        <f>G179</f>
        <v>197</v>
      </c>
      <c r="H178" s="522"/>
      <c r="I178" s="334"/>
      <c r="J178" s="321"/>
    </row>
    <row r="179" spans="1:10" s="132" customFormat="1" ht="31.5" x14ac:dyDescent="0.25">
      <c r="A179" s="364" t="s">
        <v>125</v>
      </c>
      <c r="B179" s="455">
        <v>902</v>
      </c>
      <c r="C179" s="402" t="s">
        <v>159</v>
      </c>
      <c r="D179" s="402" t="s">
        <v>174</v>
      </c>
      <c r="E179" s="402" t="s">
        <v>452</v>
      </c>
      <c r="F179" s="402" t="s">
        <v>126</v>
      </c>
      <c r="G179" s="20">
        <v>197</v>
      </c>
      <c r="H179" s="522"/>
      <c r="I179" s="334"/>
      <c r="J179" s="321"/>
    </row>
    <row r="180" spans="1:10" s="132" customFormat="1" ht="34.5" customHeight="1" x14ac:dyDescent="0.25">
      <c r="A180" s="315" t="s">
        <v>494</v>
      </c>
      <c r="B180" s="454">
        <v>902</v>
      </c>
      <c r="C180" s="414" t="s">
        <v>159</v>
      </c>
      <c r="D180" s="414" t="s">
        <v>174</v>
      </c>
      <c r="E180" s="414" t="s">
        <v>448</v>
      </c>
      <c r="F180" s="414"/>
      <c r="G180" s="314">
        <f>G181+G186</f>
        <v>6315.9</v>
      </c>
      <c r="H180" s="522"/>
      <c r="I180" s="334"/>
      <c r="J180" s="321"/>
    </row>
    <row r="181" spans="1:10" s="132" customFormat="1" ht="31.5" x14ac:dyDescent="0.25">
      <c r="A181" s="364" t="s">
        <v>498</v>
      </c>
      <c r="B181" s="455">
        <v>902</v>
      </c>
      <c r="C181" s="402" t="s">
        <v>159</v>
      </c>
      <c r="D181" s="402" t="s">
        <v>174</v>
      </c>
      <c r="E181" s="402" t="s">
        <v>449</v>
      </c>
      <c r="F181" s="402"/>
      <c r="G181" s="318">
        <f>G182+G184</f>
        <v>6057.9</v>
      </c>
      <c r="H181" s="522"/>
      <c r="I181" s="334"/>
      <c r="J181" s="321"/>
    </row>
    <row r="182" spans="1:10" s="132" customFormat="1" ht="63" x14ac:dyDescent="0.25">
      <c r="A182" s="364" t="s">
        <v>119</v>
      </c>
      <c r="B182" s="455">
        <v>902</v>
      </c>
      <c r="C182" s="402" t="s">
        <v>159</v>
      </c>
      <c r="D182" s="402" t="s">
        <v>174</v>
      </c>
      <c r="E182" s="402" t="s">
        <v>449</v>
      </c>
      <c r="F182" s="402" t="s">
        <v>120</v>
      </c>
      <c r="G182" s="318">
        <f>G183</f>
        <v>5894.9</v>
      </c>
      <c r="H182" s="522"/>
      <c r="I182" s="334"/>
      <c r="J182" s="321"/>
    </row>
    <row r="183" spans="1:10" s="132" customFormat="1" ht="15.75" x14ac:dyDescent="0.25">
      <c r="A183" s="364" t="s">
        <v>155</v>
      </c>
      <c r="B183" s="455">
        <v>902</v>
      </c>
      <c r="C183" s="402" t="s">
        <v>159</v>
      </c>
      <c r="D183" s="402" t="s">
        <v>174</v>
      </c>
      <c r="E183" s="402" t="s">
        <v>449</v>
      </c>
      <c r="F183" s="402" t="s">
        <v>156</v>
      </c>
      <c r="G183" s="20">
        <f>5884+10.9</f>
        <v>5894.9</v>
      </c>
      <c r="H183" s="522" t="s">
        <v>1235</v>
      </c>
      <c r="I183" s="334" t="s">
        <v>1236</v>
      </c>
      <c r="J183" s="321"/>
    </row>
    <row r="184" spans="1:10" s="132" customFormat="1" ht="31.5" x14ac:dyDescent="0.25">
      <c r="A184" s="364" t="s">
        <v>153</v>
      </c>
      <c r="B184" s="455">
        <v>902</v>
      </c>
      <c r="C184" s="402" t="s">
        <v>159</v>
      </c>
      <c r="D184" s="402" t="s">
        <v>174</v>
      </c>
      <c r="E184" s="402" t="s">
        <v>449</v>
      </c>
      <c r="F184" s="402" t="s">
        <v>124</v>
      </c>
      <c r="G184" s="318">
        <f>G185</f>
        <v>163</v>
      </c>
      <c r="H184" s="522"/>
      <c r="I184" s="334"/>
      <c r="J184" s="321"/>
    </row>
    <row r="185" spans="1:10" s="132" customFormat="1" ht="31.5" x14ac:dyDescent="0.25">
      <c r="A185" s="364" t="s">
        <v>125</v>
      </c>
      <c r="B185" s="455">
        <v>902</v>
      </c>
      <c r="C185" s="402" t="s">
        <v>159</v>
      </c>
      <c r="D185" s="402" t="s">
        <v>174</v>
      </c>
      <c r="E185" s="402" t="s">
        <v>449</v>
      </c>
      <c r="F185" s="402" t="s">
        <v>126</v>
      </c>
      <c r="G185" s="20">
        <f>163</f>
        <v>163</v>
      </c>
      <c r="H185" s="522"/>
      <c r="I185" s="334"/>
      <c r="J185" s="321"/>
    </row>
    <row r="186" spans="1:10" s="132" customFormat="1" ht="31.5" x14ac:dyDescent="0.25">
      <c r="A186" s="364" t="s">
        <v>416</v>
      </c>
      <c r="B186" s="455">
        <v>902</v>
      </c>
      <c r="C186" s="402" t="s">
        <v>159</v>
      </c>
      <c r="D186" s="402" t="s">
        <v>174</v>
      </c>
      <c r="E186" s="402" t="s">
        <v>450</v>
      </c>
      <c r="F186" s="402"/>
      <c r="G186" s="318">
        <f>G187</f>
        <v>258</v>
      </c>
      <c r="H186" s="522"/>
      <c r="I186" s="334"/>
      <c r="J186" s="321"/>
    </row>
    <row r="187" spans="1:10" s="132" customFormat="1" ht="63" x14ac:dyDescent="0.25">
      <c r="A187" s="364" t="s">
        <v>119</v>
      </c>
      <c r="B187" s="455">
        <v>902</v>
      </c>
      <c r="C187" s="402" t="s">
        <v>159</v>
      </c>
      <c r="D187" s="402" t="s">
        <v>174</v>
      </c>
      <c r="E187" s="402" t="s">
        <v>450</v>
      </c>
      <c r="F187" s="402" t="s">
        <v>120</v>
      </c>
      <c r="G187" s="318">
        <f>G188</f>
        <v>258</v>
      </c>
      <c r="H187" s="522"/>
      <c r="I187" s="334"/>
      <c r="J187" s="321"/>
    </row>
    <row r="188" spans="1:10" s="132" customFormat="1" ht="15.75" x14ac:dyDescent="0.25">
      <c r="A188" s="364" t="s">
        <v>155</v>
      </c>
      <c r="B188" s="455">
        <v>902</v>
      </c>
      <c r="C188" s="402" t="s">
        <v>159</v>
      </c>
      <c r="D188" s="402" t="s">
        <v>174</v>
      </c>
      <c r="E188" s="402" t="s">
        <v>450</v>
      </c>
      <c r="F188" s="402" t="s">
        <v>156</v>
      </c>
      <c r="G188" s="318">
        <f>258</f>
        <v>258</v>
      </c>
      <c r="H188" s="522"/>
      <c r="I188" s="334"/>
      <c r="J188" s="321"/>
    </row>
    <row r="189" spans="1:10" s="132" customFormat="1" ht="47.25" hidden="1" x14ac:dyDescent="0.25">
      <c r="A189" s="359" t="s">
        <v>844</v>
      </c>
      <c r="B189" s="454">
        <v>902</v>
      </c>
      <c r="C189" s="414" t="s">
        <v>159</v>
      </c>
      <c r="D189" s="414" t="s">
        <v>174</v>
      </c>
      <c r="E189" s="414" t="s">
        <v>339</v>
      </c>
      <c r="F189" s="402"/>
      <c r="G189" s="314">
        <f>G190</f>
        <v>0</v>
      </c>
      <c r="H189" s="522"/>
      <c r="I189" s="334"/>
      <c r="J189" s="321"/>
    </row>
    <row r="190" spans="1:10" s="132" customFormat="1" ht="31.5" hidden="1" x14ac:dyDescent="0.25">
      <c r="A190" s="322" t="s">
        <v>1017</v>
      </c>
      <c r="B190" s="454">
        <v>902</v>
      </c>
      <c r="C190" s="414" t="s">
        <v>159</v>
      </c>
      <c r="D190" s="414" t="s">
        <v>174</v>
      </c>
      <c r="E190" s="414" t="s">
        <v>1018</v>
      </c>
      <c r="F190" s="464"/>
      <c r="G190" s="314">
        <f>G191+G194+G197</f>
        <v>0</v>
      </c>
      <c r="H190" s="522"/>
      <c r="I190" s="334"/>
      <c r="J190" s="321"/>
    </row>
    <row r="191" spans="1:10" s="132" customFormat="1" ht="15.75" hidden="1" x14ac:dyDescent="0.25">
      <c r="A191" s="364" t="s">
        <v>165</v>
      </c>
      <c r="B191" s="455">
        <v>902</v>
      </c>
      <c r="C191" s="402" t="s">
        <v>159</v>
      </c>
      <c r="D191" s="402" t="s">
        <v>174</v>
      </c>
      <c r="E191" s="402" t="s">
        <v>1019</v>
      </c>
      <c r="F191" s="467"/>
      <c r="G191" s="318">
        <f>G192</f>
        <v>0</v>
      </c>
      <c r="H191" s="522"/>
      <c r="I191" s="334"/>
      <c r="J191" s="321"/>
    </row>
    <row r="192" spans="1:10" s="132" customFormat="1" ht="31.5" hidden="1" x14ac:dyDescent="0.25">
      <c r="A192" s="364" t="s">
        <v>123</v>
      </c>
      <c r="B192" s="455">
        <v>902</v>
      </c>
      <c r="C192" s="402" t="s">
        <v>159</v>
      </c>
      <c r="D192" s="402" t="s">
        <v>174</v>
      </c>
      <c r="E192" s="402" t="s">
        <v>1019</v>
      </c>
      <c r="F192" s="467" t="s">
        <v>124</v>
      </c>
      <c r="G192" s="318">
        <f>G193</f>
        <v>0</v>
      </c>
      <c r="H192" s="522"/>
      <c r="I192" s="334"/>
      <c r="J192" s="321"/>
    </row>
    <row r="193" spans="1:11" s="132" customFormat="1" ht="31.5" hidden="1" x14ac:dyDescent="0.25">
      <c r="A193" s="364" t="s">
        <v>125</v>
      </c>
      <c r="B193" s="455">
        <v>902</v>
      </c>
      <c r="C193" s="402" t="s">
        <v>159</v>
      </c>
      <c r="D193" s="402" t="s">
        <v>174</v>
      </c>
      <c r="E193" s="402" t="s">
        <v>1019</v>
      </c>
      <c r="F193" s="467" t="s">
        <v>126</v>
      </c>
      <c r="G193" s="318">
        <f>100-100</f>
        <v>0</v>
      </c>
      <c r="H193" s="522"/>
      <c r="I193" s="334"/>
      <c r="J193" s="321"/>
    </row>
    <row r="194" spans="1:11" s="132" customFormat="1" ht="31.5" hidden="1" x14ac:dyDescent="0.25">
      <c r="A194" s="364" t="s">
        <v>1052</v>
      </c>
      <c r="B194" s="455">
        <v>902</v>
      </c>
      <c r="C194" s="402" t="s">
        <v>159</v>
      </c>
      <c r="D194" s="402" t="s">
        <v>174</v>
      </c>
      <c r="E194" s="402" t="s">
        <v>1053</v>
      </c>
      <c r="F194" s="467"/>
      <c r="G194" s="318">
        <f>G195+G198</f>
        <v>0</v>
      </c>
      <c r="H194" s="522"/>
      <c r="I194" s="334"/>
      <c r="J194" s="321"/>
    </row>
    <row r="195" spans="1:11" s="132" customFormat="1" ht="31.5" hidden="1" x14ac:dyDescent="0.25">
      <c r="A195" s="364" t="s">
        <v>123</v>
      </c>
      <c r="B195" s="455">
        <v>902</v>
      </c>
      <c r="C195" s="402" t="s">
        <v>159</v>
      </c>
      <c r="D195" s="402" t="s">
        <v>174</v>
      </c>
      <c r="E195" s="402" t="s">
        <v>1053</v>
      </c>
      <c r="F195" s="467" t="s">
        <v>124</v>
      </c>
      <c r="G195" s="318">
        <f>G196</f>
        <v>0</v>
      </c>
      <c r="H195" s="522"/>
      <c r="I195" s="334"/>
      <c r="J195" s="321"/>
    </row>
    <row r="196" spans="1:11" s="132" customFormat="1" ht="31.5" hidden="1" x14ac:dyDescent="0.25">
      <c r="A196" s="364" t="s">
        <v>125</v>
      </c>
      <c r="B196" s="455">
        <v>902</v>
      </c>
      <c r="C196" s="402" t="s">
        <v>159</v>
      </c>
      <c r="D196" s="402" t="s">
        <v>174</v>
      </c>
      <c r="E196" s="402" t="s">
        <v>1053</v>
      </c>
      <c r="F196" s="467" t="s">
        <v>126</v>
      </c>
      <c r="G196" s="318">
        <f>448+100-548</f>
        <v>0</v>
      </c>
      <c r="H196" s="522"/>
      <c r="I196" s="334"/>
      <c r="J196" s="321"/>
    </row>
    <row r="197" spans="1:11" s="132" customFormat="1" ht="31.5" hidden="1" x14ac:dyDescent="0.25">
      <c r="A197" s="364" t="s">
        <v>1052</v>
      </c>
      <c r="B197" s="455">
        <v>902</v>
      </c>
      <c r="C197" s="402" t="s">
        <v>159</v>
      </c>
      <c r="D197" s="402" t="s">
        <v>174</v>
      </c>
      <c r="E197" s="402" t="s">
        <v>1053</v>
      </c>
      <c r="F197" s="467"/>
      <c r="G197" s="318"/>
      <c r="H197" s="522"/>
      <c r="I197" s="334"/>
      <c r="J197" s="321"/>
    </row>
    <row r="198" spans="1:11" s="132" customFormat="1" ht="15.75" hidden="1" x14ac:dyDescent="0.25">
      <c r="A198" s="364" t="s">
        <v>177</v>
      </c>
      <c r="B198" s="455">
        <v>902</v>
      </c>
      <c r="C198" s="402" t="s">
        <v>159</v>
      </c>
      <c r="D198" s="402" t="s">
        <v>174</v>
      </c>
      <c r="E198" s="402" t="s">
        <v>1053</v>
      </c>
      <c r="F198" s="467" t="s">
        <v>178</v>
      </c>
      <c r="G198" s="318">
        <f>G199</f>
        <v>0</v>
      </c>
      <c r="H198" s="522"/>
      <c r="I198" s="334"/>
      <c r="J198" s="321"/>
    </row>
    <row r="199" spans="1:11" s="132" customFormat="1" ht="30" hidden="1" customHeight="1" x14ac:dyDescent="0.25">
      <c r="A199" s="364" t="s">
        <v>179</v>
      </c>
      <c r="B199" s="455">
        <v>902</v>
      </c>
      <c r="C199" s="402" t="s">
        <v>159</v>
      </c>
      <c r="D199" s="402" t="s">
        <v>174</v>
      </c>
      <c r="E199" s="402" t="s">
        <v>1053</v>
      </c>
      <c r="F199" s="467" t="s">
        <v>180</v>
      </c>
      <c r="G199" s="318"/>
      <c r="H199" s="522"/>
      <c r="I199" s="334"/>
      <c r="J199" s="321"/>
    </row>
    <row r="200" spans="1:11" ht="15.75" x14ac:dyDescent="0.25">
      <c r="A200" s="315" t="s">
        <v>166</v>
      </c>
      <c r="B200" s="454">
        <v>902</v>
      </c>
      <c r="C200" s="414" t="s">
        <v>139</v>
      </c>
      <c r="D200" s="414"/>
      <c r="E200" s="414"/>
      <c r="F200" s="402"/>
      <c r="G200" s="314">
        <f>G211+G201</f>
        <v>485</v>
      </c>
      <c r="H200" s="523"/>
      <c r="I200" s="334"/>
      <c r="J200" s="321"/>
      <c r="K200" s="132"/>
    </row>
    <row r="201" spans="1:11" ht="15.75" x14ac:dyDescent="0.25">
      <c r="A201" s="315" t="s">
        <v>167</v>
      </c>
      <c r="B201" s="454">
        <v>902</v>
      </c>
      <c r="C201" s="414" t="s">
        <v>139</v>
      </c>
      <c r="D201" s="414" t="s">
        <v>168</v>
      </c>
      <c r="E201" s="414"/>
      <c r="F201" s="402"/>
      <c r="G201" s="314">
        <f>G202</f>
        <v>19.199999999999989</v>
      </c>
      <c r="H201" s="522"/>
      <c r="I201" s="334"/>
      <c r="J201" s="321"/>
      <c r="K201" s="132"/>
    </row>
    <row r="202" spans="1:11" ht="42.4" customHeight="1" x14ac:dyDescent="0.25">
      <c r="A202" s="26" t="s">
        <v>847</v>
      </c>
      <c r="B202" s="454">
        <v>902</v>
      </c>
      <c r="C202" s="414" t="s">
        <v>139</v>
      </c>
      <c r="D202" s="414" t="s">
        <v>168</v>
      </c>
      <c r="E202" s="470" t="s">
        <v>147</v>
      </c>
      <c r="F202" s="464"/>
      <c r="G202" s="314">
        <f>G203+G207</f>
        <v>19.199999999999989</v>
      </c>
      <c r="H202" s="522"/>
      <c r="I202" s="334"/>
      <c r="J202" s="321"/>
      <c r="K202" s="132"/>
    </row>
    <row r="203" spans="1:11" s="132" customFormat="1" ht="35.450000000000003" customHeight="1" x14ac:dyDescent="0.25">
      <c r="A203" s="26" t="s">
        <v>569</v>
      </c>
      <c r="B203" s="454">
        <v>902</v>
      </c>
      <c r="C203" s="414" t="s">
        <v>139</v>
      </c>
      <c r="D203" s="414" t="s">
        <v>168</v>
      </c>
      <c r="E203" s="475" t="s">
        <v>453</v>
      </c>
      <c r="F203" s="464"/>
      <c r="G203" s="314">
        <f t="shared" ref="G203:G205" si="10">G204</f>
        <v>19.199999999999989</v>
      </c>
      <c r="H203" s="522"/>
      <c r="I203" s="334"/>
      <c r="J203" s="321"/>
    </row>
    <row r="204" spans="1:11" ht="31.5" x14ac:dyDescent="0.25">
      <c r="A204" s="364" t="s">
        <v>169</v>
      </c>
      <c r="B204" s="455">
        <v>902</v>
      </c>
      <c r="C204" s="402" t="s">
        <v>139</v>
      </c>
      <c r="D204" s="402" t="s">
        <v>168</v>
      </c>
      <c r="E204" s="402" t="s">
        <v>469</v>
      </c>
      <c r="F204" s="467"/>
      <c r="G204" s="318">
        <f t="shared" si="10"/>
        <v>19.199999999999989</v>
      </c>
      <c r="H204" s="522"/>
      <c r="I204" s="334"/>
      <c r="J204" s="321"/>
      <c r="K204" s="132"/>
    </row>
    <row r="205" spans="1:11" ht="15.75" x14ac:dyDescent="0.25">
      <c r="A205" s="22" t="s">
        <v>127</v>
      </c>
      <c r="B205" s="455">
        <v>902</v>
      </c>
      <c r="C205" s="402" t="s">
        <v>139</v>
      </c>
      <c r="D205" s="402" t="s">
        <v>168</v>
      </c>
      <c r="E205" s="402" t="s">
        <v>469</v>
      </c>
      <c r="F205" s="467" t="s">
        <v>134</v>
      </c>
      <c r="G205" s="318">
        <f t="shared" si="10"/>
        <v>19.199999999999989</v>
      </c>
      <c r="H205" s="522"/>
      <c r="I205" s="334"/>
      <c r="J205" s="321"/>
      <c r="K205" s="132"/>
    </row>
    <row r="206" spans="1:11" ht="47.25" x14ac:dyDescent="0.25">
      <c r="A206" s="22" t="s">
        <v>148</v>
      </c>
      <c r="B206" s="455">
        <v>902</v>
      </c>
      <c r="C206" s="402" t="s">
        <v>139</v>
      </c>
      <c r="D206" s="402" t="s">
        <v>168</v>
      </c>
      <c r="E206" s="402" t="s">
        <v>469</v>
      </c>
      <c r="F206" s="467" t="s">
        <v>142</v>
      </c>
      <c r="G206" s="318">
        <f>19.2+255-255</f>
        <v>19.199999999999989</v>
      </c>
      <c r="H206" s="522" t="s">
        <v>1207</v>
      </c>
      <c r="I206" s="334"/>
      <c r="J206" s="321"/>
      <c r="K206" s="132"/>
    </row>
    <row r="207" spans="1:11" s="132" customFormat="1" ht="31.5" hidden="1" x14ac:dyDescent="0.25">
      <c r="A207" s="515" t="s">
        <v>570</v>
      </c>
      <c r="B207" s="454">
        <v>902</v>
      </c>
      <c r="C207" s="414" t="s">
        <v>139</v>
      </c>
      <c r="D207" s="414" t="s">
        <v>168</v>
      </c>
      <c r="E207" s="470" t="s">
        <v>455</v>
      </c>
      <c r="F207" s="464"/>
      <c r="G207" s="314">
        <f t="shared" ref="G207:G209" si="11">G208</f>
        <v>0</v>
      </c>
      <c r="H207" s="522"/>
      <c r="I207" s="334"/>
      <c r="J207" s="321"/>
    </row>
    <row r="208" spans="1:11" s="132" customFormat="1" ht="15.75" hidden="1" x14ac:dyDescent="0.25">
      <c r="A208" s="364" t="s">
        <v>454</v>
      </c>
      <c r="B208" s="455">
        <v>902</v>
      </c>
      <c r="C208" s="402" t="s">
        <v>139</v>
      </c>
      <c r="D208" s="402" t="s">
        <v>168</v>
      </c>
      <c r="E208" s="404" t="s">
        <v>470</v>
      </c>
      <c r="F208" s="467"/>
      <c r="G208" s="318">
        <f t="shared" si="11"/>
        <v>0</v>
      </c>
      <c r="H208" s="522"/>
      <c r="I208" s="334"/>
      <c r="J208" s="321"/>
    </row>
    <row r="209" spans="1:11" s="132" customFormat="1" ht="15.75" hidden="1" x14ac:dyDescent="0.25">
      <c r="A209" s="22" t="s">
        <v>127</v>
      </c>
      <c r="B209" s="455">
        <v>902</v>
      </c>
      <c r="C209" s="402" t="s">
        <v>139</v>
      </c>
      <c r="D209" s="402" t="s">
        <v>168</v>
      </c>
      <c r="E209" s="404" t="s">
        <v>470</v>
      </c>
      <c r="F209" s="467" t="s">
        <v>134</v>
      </c>
      <c r="G209" s="318">
        <f t="shared" si="11"/>
        <v>0</v>
      </c>
      <c r="H209" s="522"/>
      <c r="I209" s="334"/>
      <c r="J209" s="321"/>
    </row>
    <row r="210" spans="1:11" s="132" customFormat="1" ht="47.25" hidden="1" x14ac:dyDescent="0.25">
      <c r="A210" s="22" t="s">
        <v>148</v>
      </c>
      <c r="B210" s="455">
        <v>902</v>
      </c>
      <c r="C210" s="402" t="s">
        <v>139</v>
      </c>
      <c r="D210" s="402" t="s">
        <v>168</v>
      </c>
      <c r="E210" s="404" t="s">
        <v>470</v>
      </c>
      <c r="F210" s="467" t="s">
        <v>142</v>
      </c>
      <c r="G210" s="318">
        <v>0</v>
      </c>
      <c r="H210" s="522"/>
      <c r="I210" s="334"/>
      <c r="J210" s="321"/>
    </row>
    <row r="211" spans="1:11" ht="15.75" x14ac:dyDescent="0.25">
      <c r="A211" s="315" t="s">
        <v>170</v>
      </c>
      <c r="B211" s="454">
        <v>902</v>
      </c>
      <c r="C211" s="414" t="s">
        <v>139</v>
      </c>
      <c r="D211" s="414" t="s">
        <v>171</v>
      </c>
      <c r="E211" s="414"/>
      <c r="F211" s="414"/>
      <c r="G211" s="314">
        <f>G212+G219</f>
        <v>465.8</v>
      </c>
      <c r="H211" s="522"/>
      <c r="I211" s="334"/>
      <c r="J211" s="321"/>
      <c r="K211" s="132"/>
    </row>
    <row r="212" spans="1:11" ht="31.5" x14ac:dyDescent="0.25">
      <c r="A212" s="315" t="s">
        <v>488</v>
      </c>
      <c r="B212" s="454">
        <v>902</v>
      </c>
      <c r="C212" s="414" t="s">
        <v>139</v>
      </c>
      <c r="D212" s="414" t="s">
        <v>171</v>
      </c>
      <c r="E212" s="414" t="s">
        <v>434</v>
      </c>
      <c r="F212" s="414"/>
      <c r="G212" s="314">
        <f>G213</f>
        <v>315.8</v>
      </c>
      <c r="H212" s="522"/>
      <c r="I212" s="334"/>
      <c r="J212" s="321"/>
      <c r="K212" s="132"/>
    </row>
    <row r="213" spans="1:11" ht="31.5" x14ac:dyDescent="0.25">
      <c r="A213" s="315" t="s">
        <v>460</v>
      </c>
      <c r="B213" s="454">
        <v>902</v>
      </c>
      <c r="C213" s="414" t="s">
        <v>139</v>
      </c>
      <c r="D213" s="414" t="s">
        <v>171</v>
      </c>
      <c r="E213" s="414" t="s">
        <v>439</v>
      </c>
      <c r="F213" s="414"/>
      <c r="G213" s="314">
        <f>G214</f>
        <v>315.8</v>
      </c>
      <c r="H213" s="522"/>
      <c r="I213" s="334"/>
      <c r="J213" s="321"/>
      <c r="K213" s="132"/>
    </row>
    <row r="214" spans="1:11" ht="69.75" customHeight="1" x14ac:dyDescent="0.25">
      <c r="A214" s="24" t="s">
        <v>172</v>
      </c>
      <c r="B214" s="455">
        <v>902</v>
      </c>
      <c r="C214" s="402" t="s">
        <v>139</v>
      </c>
      <c r="D214" s="402" t="s">
        <v>171</v>
      </c>
      <c r="E214" s="402" t="s">
        <v>495</v>
      </c>
      <c r="F214" s="402"/>
      <c r="G214" s="318">
        <f>G215+G217</f>
        <v>315.8</v>
      </c>
      <c r="H214" s="522"/>
      <c r="I214" s="334"/>
      <c r="J214" s="321"/>
      <c r="K214" s="132"/>
    </row>
    <row r="215" spans="1:11" ht="63" x14ac:dyDescent="0.25">
      <c r="A215" s="364" t="s">
        <v>119</v>
      </c>
      <c r="B215" s="455">
        <v>902</v>
      </c>
      <c r="C215" s="402" t="s">
        <v>139</v>
      </c>
      <c r="D215" s="402" t="s">
        <v>171</v>
      </c>
      <c r="E215" s="402" t="s">
        <v>495</v>
      </c>
      <c r="F215" s="402" t="s">
        <v>120</v>
      </c>
      <c r="G215" s="318">
        <f>G216</f>
        <v>287.10000000000002</v>
      </c>
      <c r="H215" s="522"/>
      <c r="I215" s="334"/>
      <c r="J215" s="321"/>
      <c r="K215" s="132"/>
    </row>
    <row r="216" spans="1:11" ht="31.5" x14ac:dyDescent="0.25">
      <c r="A216" s="364" t="s">
        <v>121</v>
      </c>
      <c r="B216" s="455">
        <v>902</v>
      </c>
      <c r="C216" s="402" t="s">
        <v>139</v>
      </c>
      <c r="D216" s="402" t="s">
        <v>171</v>
      </c>
      <c r="E216" s="402" t="s">
        <v>495</v>
      </c>
      <c r="F216" s="402" t="s">
        <v>122</v>
      </c>
      <c r="G216" s="318">
        <v>287.10000000000002</v>
      </c>
      <c r="H216" s="522"/>
      <c r="I216" s="334"/>
      <c r="J216" s="321"/>
      <c r="K216" s="132"/>
    </row>
    <row r="217" spans="1:11" ht="31.5" x14ac:dyDescent="0.25">
      <c r="A217" s="364" t="s">
        <v>123</v>
      </c>
      <c r="B217" s="455">
        <v>902</v>
      </c>
      <c r="C217" s="402" t="s">
        <v>139</v>
      </c>
      <c r="D217" s="402" t="s">
        <v>171</v>
      </c>
      <c r="E217" s="402" t="s">
        <v>495</v>
      </c>
      <c r="F217" s="402" t="s">
        <v>124</v>
      </c>
      <c r="G217" s="318">
        <f>G218</f>
        <v>28.7</v>
      </c>
      <c r="H217" s="522"/>
      <c r="I217" s="334"/>
      <c r="J217" s="321"/>
      <c r="K217" s="132"/>
    </row>
    <row r="218" spans="1:11" ht="31.5" x14ac:dyDescent="0.25">
      <c r="A218" s="364" t="s">
        <v>125</v>
      </c>
      <c r="B218" s="455">
        <v>902</v>
      </c>
      <c r="C218" s="402" t="s">
        <v>139</v>
      </c>
      <c r="D218" s="402" t="s">
        <v>171</v>
      </c>
      <c r="E218" s="402" t="s">
        <v>495</v>
      </c>
      <c r="F218" s="402" t="s">
        <v>126</v>
      </c>
      <c r="G218" s="318">
        <v>28.7</v>
      </c>
      <c r="H218" s="522"/>
      <c r="I218" s="334"/>
      <c r="J218" s="321"/>
      <c r="K218" s="132"/>
    </row>
    <row r="219" spans="1:11" s="132" customFormat="1" ht="33.4" customHeight="1" x14ac:dyDescent="0.25">
      <c r="A219" s="315" t="s">
        <v>839</v>
      </c>
      <c r="B219" s="454">
        <v>902</v>
      </c>
      <c r="C219" s="414" t="s">
        <v>139</v>
      </c>
      <c r="D219" s="414" t="s">
        <v>171</v>
      </c>
      <c r="E219" s="414" t="s">
        <v>141</v>
      </c>
      <c r="F219" s="414"/>
      <c r="G219" s="314">
        <f t="shared" ref="G219:G222" si="12">G220</f>
        <v>150</v>
      </c>
      <c r="H219" s="522"/>
      <c r="I219" s="334"/>
      <c r="J219" s="321"/>
    </row>
    <row r="220" spans="1:11" s="132" customFormat="1" ht="31.5" x14ac:dyDescent="0.25">
      <c r="A220" s="315" t="s">
        <v>621</v>
      </c>
      <c r="B220" s="454">
        <v>902</v>
      </c>
      <c r="C220" s="414" t="s">
        <v>139</v>
      </c>
      <c r="D220" s="414" t="s">
        <v>171</v>
      </c>
      <c r="E220" s="414" t="s">
        <v>619</v>
      </c>
      <c r="F220" s="414"/>
      <c r="G220" s="314">
        <f t="shared" si="12"/>
        <v>150</v>
      </c>
      <c r="H220" s="522"/>
      <c r="I220" s="334"/>
      <c r="J220" s="321"/>
    </row>
    <row r="221" spans="1:11" s="132" customFormat="1" ht="31.5" x14ac:dyDescent="0.25">
      <c r="A221" s="364" t="s">
        <v>622</v>
      </c>
      <c r="B221" s="455">
        <v>902</v>
      </c>
      <c r="C221" s="402" t="s">
        <v>139</v>
      </c>
      <c r="D221" s="402" t="s">
        <v>171</v>
      </c>
      <c r="E221" s="402" t="s">
        <v>620</v>
      </c>
      <c r="F221" s="402"/>
      <c r="G221" s="318">
        <f t="shared" si="12"/>
        <v>150</v>
      </c>
      <c r="H221" s="522"/>
      <c r="I221" s="334"/>
      <c r="J221" s="321"/>
    </row>
    <row r="222" spans="1:11" s="132" customFormat="1" ht="15.75" x14ac:dyDescent="0.25">
      <c r="A222" s="364" t="s">
        <v>127</v>
      </c>
      <c r="B222" s="455">
        <v>902</v>
      </c>
      <c r="C222" s="402" t="s">
        <v>139</v>
      </c>
      <c r="D222" s="402" t="s">
        <v>171</v>
      </c>
      <c r="E222" s="402" t="s">
        <v>620</v>
      </c>
      <c r="F222" s="402" t="s">
        <v>134</v>
      </c>
      <c r="G222" s="318">
        <f t="shared" si="12"/>
        <v>150</v>
      </c>
      <c r="H222" s="522"/>
      <c r="I222" s="334"/>
      <c r="J222" s="321"/>
    </row>
    <row r="223" spans="1:11" s="132" customFormat="1" ht="47.25" x14ac:dyDescent="0.25">
      <c r="A223" s="364" t="s">
        <v>148</v>
      </c>
      <c r="B223" s="455">
        <v>902</v>
      </c>
      <c r="C223" s="402" t="s">
        <v>139</v>
      </c>
      <c r="D223" s="402" t="s">
        <v>171</v>
      </c>
      <c r="E223" s="402" t="s">
        <v>620</v>
      </c>
      <c r="F223" s="402" t="s">
        <v>142</v>
      </c>
      <c r="G223" s="318">
        <v>150</v>
      </c>
      <c r="H223" s="522"/>
      <c r="I223" s="334"/>
      <c r="J223" s="321"/>
    </row>
    <row r="224" spans="1:11" ht="16.5" customHeight="1" x14ac:dyDescent="0.25">
      <c r="A224" s="315" t="s">
        <v>173</v>
      </c>
      <c r="B224" s="454">
        <v>902</v>
      </c>
      <c r="C224" s="414" t="s">
        <v>174</v>
      </c>
      <c r="D224" s="414"/>
      <c r="E224" s="414"/>
      <c r="F224" s="414"/>
      <c r="G224" s="314">
        <f>G225+G231+G237</f>
        <v>13475</v>
      </c>
      <c r="H224" s="523"/>
      <c r="I224" s="334"/>
      <c r="J224" s="321"/>
      <c r="K224" s="132"/>
    </row>
    <row r="225" spans="1:11" ht="15.75" x14ac:dyDescent="0.25">
      <c r="A225" s="315" t="s">
        <v>175</v>
      </c>
      <c r="B225" s="454">
        <v>902</v>
      </c>
      <c r="C225" s="414" t="s">
        <v>174</v>
      </c>
      <c r="D225" s="414" t="s">
        <v>116</v>
      </c>
      <c r="E225" s="414"/>
      <c r="F225" s="414"/>
      <c r="G225" s="314">
        <f t="shared" ref="G225:G229" si="13">G226</f>
        <v>9913.5</v>
      </c>
      <c r="H225" s="522"/>
      <c r="I225" s="334"/>
      <c r="J225" s="321"/>
      <c r="K225" s="132"/>
    </row>
    <row r="226" spans="1:11" ht="15.75" x14ac:dyDescent="0.25">
      <c r="A226" s="315" t="s">
        <v>133</v>
      </c>
      <c r="B226" s="454">
        <v>902</v>
      </c>
      <c r="C226" s="414" t="s">
        <v>174</v>
      </c>
      <c r="D226" s="414" t="s">
        <v>116</v>
      </c>
      <c r="E226" s="414" t="s">
        <v>442</v>
      </c>
      <c r="F226" s="414"/>
      <c r="G226" s="314">
        <f t="shared" si="13"/>
        <v>9913.5</v>
      </c>
      <c r="H226" s="522"/>
      <c r="I226" s="334"/>
      <c r="J226" s="321"/>
      <c r="K226" s="132"/>
    </row>
    <row r="227" spans="1:11" ht="31.5" x14ac:dyDescent="0.25">
      <c r="A227" s="315" t="s">
        <v>446</v>
      </c>
      <c r="B227" s="454">
        <v>902</v>
      </c>
      <c r="C227" s="414" t="s">
        <v>174</v>
      </c>
      <c r="D227" s="414" t="s">
        <v>116</v>
      </c>
      <c r="E227" s="414" t="s">
        <v>441</v>
      </c>
      <c r="F227" s="414"/>
      <c r="G227" s="314">
        <f t="shared" si="13"/>
        <v>9913.5</v>
      </c>
      <c r="H227" s="522"/>
      <c r="I227" s="334"/>
      <c r="J227" s="321"/>
      <c r="K227" s="132"/>
    </row>
    <row r="228" spans="1:11" ht="15.75" x14ac:dyDescent="0.25">
      <c r="A228" s="364" t="s">
        <v>176</v>
      </c>
      <c r="B228" s="455">
        <v>902</v>
      </c>
      <c r="C228" s="402" t="s">
        <v>174</v>
      </c>
      <c r="D228" s="402" t="s">
        <v>116</v>
      </c>
      <c r="E228" s="402" t="s">
        <v>456</v>
      </c>
      <c r="F228" s="402"/>
      <c r="G228" s="318">
        <f t="shared" si="13"/>
        <v>9913.5</v>
      </c>
      <c r="H228" s="522"/>
      <c r="I228" s="334"/>
      <c r="J228" s="321"/>
      <c r="K228" s="132"/>
    </row>
    <row r="229" spans="1:11" ht="15.75" x14ac:dyDescent="0.25">
      <c r="A229" s="364" t="s">
        <v>177</v>
      </c>
      <c r="B229" s="455">
        <v>902</v>
      </c>
      <c r="C229" s="402" t="s">
        <v>174</v>
      </c>
      <c r="D229" s="402" t="s">
        <v>116</v>
      </c>
      <c r="E229" s="402" t="s">
        <v>456</v>
      </c>
      <c r="F229" s="402" t="s">
        <v>178</v>
      </c>
      <c r="G229" s="318">
        <f t="shared" si="13"/>
        <v>9913.5</v>
      </c>
      <c r="H229" s="522"/>
      <c r="I229" s="334"/>
      <c r="J229" s="321"/>
      <c r="K229" s="132"/>
    </row>
    <row r="230" spans="1:11" ht="15.75" x14ac:dyDescent="0.25">
      <c r="A230" s="364" t="s">
        <v>216</v>
      </c>
      <c r="B230" s="455">
        <v>902</v>
      </c>
      <c r="C230" s="402" t="s">
        <v>174</v>
      </c>
      <c r="D230" s="402" t="s">
        <v>116</v>
      </c>
      <c r="E230" s="402" t="s">
        <v>456</v>
      </c>
      <c r="F230" s="402" t="s">
        <v>217</v>
      </c>
      <c r="G230" s="20">
        <v>9913.5</v>
      </c>
      <c r="H230" s="522"/>
      <c r="I230" s="334"/>
      <c r="J230" s="321"/>
      <c r="K230" s="132"/>
    </row>
    <row r="231" spans="1:11" ht="15.75" x14ac:dyDescent="0.25">
      <c r="A231" s="315" t="s">
        <v>181</v>
      </c>
      <c r="B231" s="454">
        <v>902</v>
      </c>
      <c r="C231" s="414" t="s">
        <v>174</v>
      </c>
      <c r="D231" s="414" t="s">
        <v>159</v>
      </c>
      <c r="E231" s="402"/>
      <c r="F231" s="402"/>
      <c r="G231" s="314">
        <f t="shared" ref="G231:G235" si="14">G232</f>
        <v>10</v>
      </c>
      <c r="H231" s="522"/>
      <c r="I231" s="334"/>
      <c r="J231" s="321"/>
      <c r="K231" s="132"/>
    </row>
    <row r="232" spans="1:11" ht="47.25" x14ac:dyDescent="0.25">
      <c r="A232" s="315" t="s">
        <v>849</v>
      </c>
      <c r="B232" s="454">
        <v>902</v>
      </c>
      <c r="C232" s="414" t="s">
        <v>174</v>
      </c>
      <c r="D232" s="414" t="s">
        <v>159</v>
      </c>
      <c r="E232" s="414" t="s">
        <v>182</v>
      </c>
      <c r="F232" s="414"/>
      <c r="G232" s="314">
        <f t="shared" si="14"/>
        <v>10</v>
      </c>
      <c r="H232" s="522"/>
      <c r="I232" s="334"/>
      <c r="J232" s="321"/>
      <c r="K232" s="132"/>
    </row>
    <row r="233" spans="1:11" s="132" customFormat="1" ht="31.5" x14ac:dyDescent="0.25">
      <c r="A233" s="26" t="s">
        <v>459</v>
      </c>
      <c r="B233" s="454">
        <v>902</v>
      </c>
      <c r="C233" s="414" t="s">
        <v>174</v>
      </c>
      <c r="D233" s="414" t="s">
        <v>159</v>
      </c>
      <c r="E233" s="414" t="s">
        <v>457</v>
      </c>
      <c r="F233" s="414"/>
      <c r="G233" s="314">
        <f t="shared" si="14"/>
        <v>10</v>
      </c>
      <c r="H233" s="522"/>
      <c r="I233" s="334"/>
      <c r="J233" s="321"/>
    </row>
    <row r="234" spans="1:11" ht="28.5" customHeight="1" x14ac:dyDescent="0.25">
      <c r="A234" s="364" t="s">
        <v>730</v>
      </c>
      <c r="B234" s="455">
        <v>902</v>
      </c>
      <c r="C234" s="402" t="s">
        <v>174</v>
      </c>
      <c r="D234" s="402" t="s">
        <v>159</v>
      </c>
      <c r="E234" s="402" t="s">
        <v>728</v>
      </c>
      <c r="F234" s="402"/>
      <c r="G234" s="318">
        <f t="shared" si="14"/>
        <v>10</v>
      </c>
      <c r="H234" s="522"/>
      <c r="I234" s="334"/>
      <c r="J234" s="321"/>
      <c r="K234" s="132"/>
    </row>
    <row r="235" spans="1:11" ht="19.5" customHeight="1" x14ac:dyDescent="0.25">
      <c r="A235" s="364" t="s">
        <v>177</v>
      </c>
      <c r="B235" s="455">
        <v>902</v>
      </c>
      <c r="C235" s="402" t="s">
        <v>174</v>
      </c>
      <c r="D235" s="402" t="s">
        <v>159</v>
      </c>
      <c r="E235" s="402" t="s">
        <v>728</v>
      </c>
      <c r="F235" s="402" t="s">
        <v>178</v>
      </c>
      <c r="G235" s="318">
        <f t="shared" si="14"/>
        <v>10</v>
      </c>
      <c r="H235" s="522"/>
      <c r="I235" s="334"/>
      <c r="J235" s="321"/>
      <c r="K235" s="132"/>
    </row>
    <row r="236" spans="1:11" ht="15.75" x14ac:dyDescent="0.25">
      <c r="A236" s="364" t="s">
        <v>216</v>
      </c>
      <c r="B236" s="455">
        <v>902</v>
      </c>
      <c r="C236" s="402" t="s">
        <v>174</v>
      </c>
      <c r="D236" s="402" t="s">
        <v>159</v>
      </c>
      <c r="E236" s="402" t="s">
        <v>728</v>
      </c>
      <c r="F236" s="402" t="s">
        <v>217</v>
      </c>
      <c r="G236" s="318">
        <v>10</v>
      </c>
      <c r="H236" s="522"/>
      <c r="I236" s="334"/>
      <c r="J236" s="321"/>
      <c r="K236" s="132"/>
    </row>
    <row r="237" spans="1:11" ht="15.75" x14ac:dyDescent="0.25">
      <c r="A237" s="315" t="s">
        <v>183</v>
      </c>
      <c r="B237" s="454">
        <v>902</v>
      </c>
      <c r="C237" s="414" t="s">
        <v>174</v>
      </c>
      <c r="D237" s="414" t="s">
        <v>118</v>
      </c>
      <c r="E237" s="414"/>
      <c r="F237" s="414"/>
      <c r="G237" s="314">
        <f t="shared" ref="G237:G239" si="15">G238</f>
        <v>3551.5</v>
      </c>
      <c r="H237" s="522"/>
      <c r="I237" s="334"/>
      <c r="J237" s="321"/>
      <c r="K237" s="132"/>
    </row>
    <row r="238" spans="1:11" ht="31.5" x14ac:dyDescent="0.25">
      <c r="A238" s="315" t="s">
        <v>488</v>
      </c>
      <c r="B238" s="454">
        <v>902</v>
      </c>
      <c r="C238" s="414" t="s">
        <v>174</v>
      </c>
      <c r="D238" s="414" t="s">
        <v>118</v>
      </c>
      <c r="E238" s="414" t="s">
        <v>434</v>
      </c>
      <c r="F238" s="414"/>
      <c r="G238" s="314">
        <f t="shared" si="15"/>
        <v>3551.5</v>
      </c>
      <c r="H238" s="522"/>
      <c r="I238" s="334"/>
      <c r="J238" s="321"/>
      <c r="K238" s="132"/>
    </row>
    <row r="239" spans="1:11" ht="31.5" x14ac:dyDescent="0.25">
      <c r="A239" s="315" t="s">
        <v>460</v>
      </c>
      <c r="B239" s="454">
        <v>902</v>
      </c>
      <c r="C239" s="414" t="s">
        <v>174</v>
      </c>
      <c r="D239" s="414" t="s">
        <v>118</v>
      </c>
      <c r="E239" s="414" t="s">
        <v>439</v>
      </c>
      <c r="F239" s="414"/>
      <c r="G239" s="314">
        <f t="shared" si="15"/>
        <v>3551.5</v>
      </c>
      <c r="H239" s="522"/>
      <c r="I239" s="334"/>
      <c r="J239" s="321"/>
      <c r="K239" s="132"/>
    </row>
    <row r="240" spans="1:11" ht="47.25" customHeight="1" x14ac:dyDescent="0.25">
      <c r="A240" s="24" t="s">
        <v>184</v>
      </c>
      <c r="B240" s="455">
        <v>902</v>
      </c>
      <c r="C240" s="402" t="s">
        <v>174</v>
      </c>
      <c r="D240" s="402" t="s">
        <v>118</v>
      </c>
      <c r="E240" s="402" t="s">
        <v>496</v>
      </c>
      <c r="F240" s="402"/>
      <c r="G240" s="318">
        <f>G241+G243</f>
        <v>3551.5</v>
      </c>
      <c r="H240" s="522"/>
      <c r="I240" s="334"/>
      <c r="J240" s="321"/>
      <c r="K240" s="132"/>
    </row>
    <row r="241" spans="1:11" ht="63" x14ac:dyDescent="0.25">
      <c r="A241" s="364" t="s">
        <v>119</v>
      </c>
      <c r="B241" s="455">
        <v>902</v>
      </c>
      <c r="C241" s="402" t="s">
        <v>174</v>
      </c>
      <c r="D241" s="402" t="s">
        <v>118</v>
      </c>
      <c r="E241" s="402" t="s">
        <v>496</v>
      </c>
      <c r="F241" s="402" t="s">
        <v>120</v>
      </c>
      <c r="G241" s="318">
        <f>G242</f>
        <v>3426.1</v>
      </c>
      <c r="H241" s="522"/>
      <c r="I241" s="334"/>
      <c r="J241" s="321"/>
      <c r="K241" s="132"/>
    </row>
    <row r="242" spans="1:11" ht="31.5" x14ac:dyDescent="0.25">
      <c r="A242" s="364" t="s">
        <v>121</v>
      </c>
      <c r="B242" s="455">
        <v>902</v>
      </c>
      <c r="C242" s="402" t="s">
        <v>174</v>
      </c>
      <c r="D242" s="402" t="s">
        <v>118</v>
      </c>
      <c r="E242" s="402" t="s">
        <v>496</v>
      </c>
      <c r="F242" s="402" t="s">
        <v>122</v>
      </c>
      <c r="G242" s="20">
        <v>3426.1</v>
      </c>
      <c r="H242" s="522"/>
      <c r="I242" s="334"/>
      <c r="J242" s="321"/>
      <c r="K242" s="132"/>
    </row>
    <row r="243" spans="1:11" ht="31.5" x14ac:dyDescent="0.25">
      <c r="A243" s="364" t="s">
        <v>123</v>
      </c>
      <c r="B243" s="455">
        <v>902</v>
      </c>
      <c r="C243" s="402" t="s">
        <v>174</v>
      </c>
      <c r="D243" s="402" t="s">
        <v>118</v>
      </c>
      <c r="E243" s="402" t="s">
        <v>496</v>
      </c>
      <c r="F243" s="402" t="s">
        <v>124</v>
      </c>
      <c r="G243" s="318">
        <f>G244</f>
        <v>125.4</v>
      </c>
      <c r="H243" s="522"/>
      <c r="I243" s="334"/>
      <c r="J243" s="321"/>
      <c r="K243" s="132"/>
    </row>
    <row r="244" spans="1:11" ht="31.5" x14ac:dyDescent="0.25">
      <c r="A244" s="364" t="s">
        <v>125</v>
      </c>
      <c r="B244" s="455">
        <v>902</v>
      </c>
      <c r="C244" s="402" t="s">
        <v>174</v>
      </c>
      <c r="D244" s="402" t="s">
        <v>118</v>
      </c>
      <c r="E244" s="402" t="s">
        <v>496</v>
      </c>
      <c r="F244" s="402" t="s">
        <v>126</v>
      </c>
      <c r="G244" s="20">
        <v>125.4</v>
      </c>
      <c r="H244" s="522"/>
      <c r="I244" s="334"/>
      <c r="J244" s="321"/>
      <c r="K244" s="132"/>
    </row>
    <row r="245" spans="1:11" ht="48.75" customHeight="1" x14ac:dyDescent="0.25">
      <c r="A245" s="312" t="s">
        <v>185</v>
      </c>
      <c r="B245" s="454">
        <v>903</v>
      </c>
      <c r="C245" s="402"/>
      <c r="D245" s="402"/>
      <c r="E245" s="402"/>
      <c r="F245" s="402"/>
      <c r="G245" s="314">
        <f>G302+G371+G496+G246+G282+G521</f>
        <v>118977.38300000002</v>
      </c>
      <c r="H245" s="523"/>
      <c r="I245" s="334"/>
      <c r="J245" s="321"/>
      <c r="K245" s="132"/>
    </row>
    <row r="246" spans="1:11" ht="15.75" x14ac:dyDescent="0.25">
      <c r="A246" s="315" t="s">
        <v>115</v>
      </c>
      <c r="B246" s="454">
        <v>903</v>
      </c>
      <c r="C246" s="414" t="s">
        <v>116</v>
      </c>
      <c r="D246" s="402"/>
      <c r="E246" s="402"/>
      <c r="F246" s="402"/>
      <c r="G246" s="314">
        <f>G247</f>
        <v>788.31999999999994</v>
      </c>
      <c r="H246" s="522"/>
      <c r="I246" s="334"/>
      <c r="J246" s="321"/>
      <c r="K246" s="132"/>
    </row>
    <row r="247" spans="1:11" ht="15.75" x14ac:dyDescent="0.25">
      <c r="A247" s="315" t="s">
        <v>131</v>
      </c>
      <c r="B247" s="454">
        <v>903</v>
      </c>
      <c r="C247" s="414" t="s">
        <v>116</v>
      </c>
      <c r="D247" s="414" t="s">
        <v>132</v>
      </c>
      <c r="E247" s="402"/>
      <c r="F247" s="402"/>
      <c r="G247" s="314">
        <f>G248+G260+G277</f>
        <v>788.31999999999994</v>
      </c>
      <c r="H247" s="522"/>
      <c r="I247" s="334"/>
      <c r="J247" s="321"/>
      <c r="K247" s="132"/>
    </row>
    <row r="248" spans="1:11" ht="47.25" x14ac:dyDescent="0.25">
      <c r="A248" s="315" t="s">
        <v>850</v>
      </c>
      <c r="B248" s="454">
        <v>903</v>
      </c>
      <c r="C248" s="469" t="s">
        <v>116</v>
      </c>
      <c r="D248" s="469" t="s">
        <v>132</v>
      </c>
      <c r="E248" s="470" t="s">
        <v>213</v>
      </c>
      <c r="F248" s="469"/>
      <c r="G248" s="314">
        <f>G249</f>
        <v>762.31999999999994</v>
      </c>
      <c r="H248" s="522"/>
      <c r="I248" s="334"/>
      <c r="J248" s="321"/>
      <c r="K248" s="132"/>
    </row>
    <row r="249" spans="1:11" ht="73.5" customHeight="1" x14ac:dyDescent="0.25">
      <c r="A249" s="359" t="s">
        <v>851</v>
      </c>
      <c r="B249" s="454">
        <v>903</v>
      </c>
      <c r="C249" s="407" t="s">
        <v>116</v>
      </c>
      <c r="D249" s="407" t="s">
        <v>132</v>
      </c>
      <c r="E249" s="407" t="s">
        <v>222</v>
      </c>
      <c r="F249" s="407"/>
      <c r="G249" s="314">
        <f>G250</f>
        <v>762.31999999999994</v>
      </c>
      <c r="H249" s="522"/>
      <c r="I249" s="334"/>
      <c r="J249" s="321"/>
      <c r="K249" s="132"/>
    </row>
    <row r="250" spans="1:11" s="132" customFormat="1" ht="47.25" x14ac:dyDescent="0.25">
      <c r="A250" s="170" t="s">
        <v>606</v>
      </c>
      <c r="B250" s="454">
        <v>903</v>
      </c>
      <c r="C250" s="407" t="s">
        <v>116</v>
      </c>
      <c r="D250" s="407" t="s">
        <v>132</v>
      </c>
      <c r="E250" s="407" t="s">
        <v>480</v>
      </c>
      <c r="F250" s="407"/>
      <c r="G250" s="314">
        <f>G251+G254+G257</f>
        <v>762.31999999999994</v>
      </c>
      <c r="H250" s="522"/>
      <c r="I250" s="334"/>
      <c r="J250" s="321"/>
    </row>
    <row r="251" spans="1:11" ht="31.5" x14ac:dyDescent="0.25">
      <c r="A251" s="70" t="s">
        <v>649</v>
      </c>
      <c r="B251" s="455">
        <v>903</v>
      </c>
      <c r="C251" s="403" t="s">
        <v>116</v>
      </c>
      <c r="D251" s="403" t="s">
        <v>132</v>
      </c>
      <c r="E251" s="403" t="s">
        <v>738</v>
      </c>
      <c r="F251" s="403"/>
      <c r="G251" s="318">
        <f>G252</f>
        <v>440.8</v>
      </c>
      <c r="H251" s="522"/>
      <c r="I251" s="334"/>
      <c r="J251" s="321"/>
      <c r="K251" s="132"/>
    </row>
    <row r="252" spans="1:11" ht="31.5" x14ac:dyDescent="0.25">
      <c r="A252" s="22" t="s">
        <v>123</v>
      </c>
      <c r="B252" s="455">
        <v>903</v>
      </c>
      <c r="C252" s="403" t="s">
        <v>116</v>
      </c>
      <c r="D252" s="403" t="s">
        <v>132</v>
      </c>
      <c r="E252" s="403" t="s">
        <v>738</v>
      </c>
      <c r="F252" s="403" t="s">
        <v>124</v>
      </c>
      <c r="G252" s="318">
        <f>G253</f>
        <v>440.8</v>
      </c>
      <c r="H252" s="522"/>
      <c r="I252" s="334"/>
      <c r="J252" s="321"/>
      <c r="K252" s="132"/>
    </row>
    <row r="253" spans="1:11" ht="31.5" x14ac:dyDescent="0.25">
      <c r="A253" s="22" t="s">
        <v>125</v>
      </c>
      <c r="B253" s="455">
        <v>903</v>
      </c>
      <c r="C253" s="403" t="s">
        <v>116</v>
      </c>
      <c r="D253" s="403" t="s">
        <v>132</v>
      </c>
      <c r="E253" s="403" t="s">
        <v>738</v>
      </c>
      <c r="F253" s="403" t="s">
        <v>126</v>
      </c>
      <c r="G253" s="318">
        <f>247.3+200-6.5</f>
        <v>440.8</v>
      </c>
      <c r="H253" s="522"/>
      <c r="I253" s="334"/>
      <c r="J253" s="321"/>
      <c r="K253" s="132"/>
    </row>
    <row r="254" spans="1:11" s="132" customFormat="1" ht="31.5" x14ac:dyDescent="0.25">
      <c r="A254" s="31" t="s">
        <v>1016</v>
      </c>
      <c r="B254" s="455">
        <v>903</v>
      </c>
      <c r="C254" s="403" t="s">
        <v>116</v>
      </c>
      <c r="D254" s="403" t="s">
        <v>132</v>
      </c>
      <c r="E254" s="403" t="s">
        <v>1049</v>
      </c>
      <c r="F254" s="403"/>
      <c r="G254" s="318">
        <f>G255</f>
        <v>215.1</v>
      </c>
      <c r="H254" s="522"/>
      <c r="I254" s="334"/>
      <c r="J254" s="321"/>
    </row>
    <row r="255" spans="1:11" s="132" customFormat="1" ht="31.5" x14ac:dyDescent="0.25">
      <c r="A255" s="22" t="s">
        <v>123</v>
      </c>
      <c r="B255" s="455">
        <v>903</v>
      </c>
      <c r="C255" s="403" t="s">
        <v>116</v>
      </c>
      <c r="D255" s="403" t="s">
        <v>132</v>
      </c>
      <c r="E255" s="403" t="s">
        <v>1049</v>
      </c>
      <c r="F255" s="403" t="s">
        <v>124</v>
      </c>
      <c r="G255" s="318">
        <f>G256</f>
        <v>215.1</v>
      </c>
      <c r="H255" s="522"/>
      <c r="I255" s="334"/>
      <c r="J255" s="321"/>
    </row>
    <row r="256" spans="1:11" s="132" customFormat="1" ht="31.5" x14ac:dyDescent="0.25">
      <c r="A256" s="22" t="s">
        <v>125</v>
      </c>
      <c r="B256" s="455">
        <v>903</v>
      </c>
      <c r="C256" s="403" t="s">
        <v>116</v>
      </c>
      <c r="D256" s="403" t="s">
        <v>132</v>
      </c>
      <c r="E256" s="403" t="s">
        <v>1049</v>
      </c>
      <c r="F256" s="403" t="s">
        <v>126</v>
      </c>
      <c r="G256" s="318">
        <f>200+15.1</f>
        <v>215.1</v>
      </c>
      <c r="H256" s="524"/>
      <c r="I256" s="334"/>
      <c r="J256" s="321"/>
    </row>
    <row r="257" spans="1:11" s="357" customFormat="1" ht="30.6" customHeight="1" x14ac:dyDescent="0.25">
      <c r="A257" s="22" t="s">
        <v>1131</v>
      </c>
      <c r="B257" s="455">
        <v>903</v>
      </c>
      <c r="C257" s="403" t="s">
        <v>116</v>
      </c>
      <c r="D257" s="403" t="s">
        <v>132</v>
      </c>
      <c r="E257" s="473" t="s">
        <v>1132</v>
      </c>
      <c r="F257" s="403"/>
      <c r="G257" s="318">
        <f>G259</f>
        <v>106.42</v>
      </c>
      <c r="H257" s="524"/>
      <c r="I257" s="334"/>
      <c r="J257" s="321"/>
    </row>
    <row r="258" spans="1:11" s="357" customFormat="1" ht="31.5" x14ac:dyDescent="0.25">
      <c r="A258" s="22" t="s">
        <v>123</v>
      </c>
      <c r="B258" s="455">
        <v>903</v>
      </c>
      <c r="C258" s="403" t="s">
        <v>116</v>
      </c>
      <c r="D258" s="403" t="s">
        <v>132</v>
      </c>
      <c r="E258" s="473" t="s">
        <v>1132</v>
      </c>
      <c r="F258" s="403" t="s">
        <v>124</v>
      </c>
      <c r="G258" s="318">
        <f>G259</f>
        <v>106.42</v>
      </c>
      <c r="H258" s="524"/>
      <c r="I258" s="334"/>
      <c r="J258" s="321"/>
    </row>
    <row r="259" spans="1:11" s="357" customFormat="1" ht="31.5" x14ac:dyDescent="0.25">
      <c r="A259" s="22" t="s">
        <v>125</v>
      </c>
      <c r="B259" s="455">
        <v>903</v>
      </c>
      <c r="C259" s="403" t="s">
        <v>116</v>
      </c>
      <c r="D259" s="403" t="s">
        <v>132</v>
      </c>
      <c r="E259" s="473" t="s">
        <v>1132</v>
      </c>
      <c r="F259" s="403" t="s">
        <v>126</v>
      </c>
      <c r="G259" s="318">
        <f>98.967+9.9-2.447</f>
        <v>106.42</v>
      </c>
      <c r="H259" s="524" t="s">
        <v>1217</v>
      </c>
      <c r="I259" s="334"/>
      <c r="J259" s="321"/>
    </row>
    <row r="260" spans="1:11" ht="31.5" x14ac:dyDescent="0.25">
      <c r="A260" s="315" t="s">
        <v>852</v>
      </c>
      <c r="B260" s="454">
        <v>903</v>
      </c>
      <c r="C260" s="414" t="s">
        <v>116</v>
      </c>
      <c r="D260" s="414" t="s">
        <v>132</v>
      </c>
      <c r="E260" s="414" t="s">
        <v>209</v>
      </c>
      <c r="F260" s="414"/>
      <c r="G260" s="314">
        <f>G261</f>
        <v>20</v>
      </c>
      <c r="H260" s="524"/>
      <c r="I260" s="334"/>
      <c r="J260" s="321"/>
      <c r="K260" s="132"/>
    </row>
    <row r="261" spans="1:11" s="132" customFormat="1" ht="31.5" x14ac:dyDescent="0.25">
      <c r="A261" s="315" t="s">
        <v>610</v>
      </c>
      <c r="B261" s="454">
        <v>903</v>
      </c>
      <c r="C261" s="414" t="s">
        <v>116</v>
      </c>
      <c r="D261" s="414" t="s">
        <v>132</v>
      </c>
      <c r="E261" s="414" t="s">
        <v>611</v>
      </c>
      <c r="F261" s="414"/>
      <c r="G261" s="314">
        <f>G262+G265+G268+G271+G274</f>
        <v>20</v>
      </c>
      <c r="H261" s="522"/>
      <c r="I261" s="334"/>
      <c r="J261" s="321"/>
    </row>
    <row r="262" spans="1:11" ht="31.5" hidden="1" x14ac:dyDescent="0.25">
      <c r="A262" s="69" t="s">
        <v>210</v>
      </c>
      <c r="B262" s="455">
        <v>903</v>
      </c>
      <c r="C262" s="402" t="s">
        <v>116</v>
      </c>
      <c r="D262" s="402" t="s">
        <v>132</v>
      </c>
      <c r="E262" s="402" t="s">
        <v>612</v>
      </c>
      <c r="F262" s="402"/>
      <c r="G262" s="318">
        <f>G263</f>
        <v>0</v>
      </c>
      <c r="H262" s="522"/>
      <c r="I262" s="334"/>
      <c r="J262" s="321"/>
      <c r="K262" s="132"/>
    </row>
    <row r="263" spans="1:11" ht="31.5" hidden="1" x14ac:dyDescent="0.25">
      <c r="A263" s="364" t="s">
        <v>123</v>
      </c>
      <c r="B263" s="455">
        <v>903</v>
      </c>
      <c r="C263" s="402" t="s">
        <v>116</v>
      </c>
      <c r="D263" s="402" t="s">
        <v>132</v>
      </c>
      <c r="E263" s="402" t="s">
        <v>612</v>
      </c>
      <c r="F263" s="402" t="s">
        <v>124</v>
      </c>
      <c r="G263" s="318">
        <f>G264</f>
        <v>0</v>
      </c>
      <c r="H263" s="522"/>
      <c r="I263" s="334"/>
      <c r="J263" s="321"/>
      <c r="K263" s="132"/>
    </row>
    <row r="264" spans="1:11" ht="31.5" hidden="1" x14ac:dyDescent="0.25">
      <c r="A264" s="364" t="s">
        <v>125</v>
      </c>
      <c r="B264" s="455">
        <v>903</v>
      </c>
      <c r="C264" s="402" t="s">
        <v>116</v>
      </c>
      <c r="D264" s="402" t="s">
        <v>132</v>
      </c>
      <c r="E264" s="402" t="s">
        <v>612</v>
      </c>
      <c r="F264" s="402" t="s">
        <v>126</v>
      </c>
      <c r="G264" s="318">
        <v>0</v>
      </c>
      <c r="H264" s="522"/>
      <c r="I264" s="334"/>
      <c r="J264" s="321"/>
      <c r="K264" s="132"/>
    </row>
    <row r="265" spans="1:11" ht="15.75" x14ac:dyDescent="0.25">
      <c r="A265" s="364" t="s">
        <v>211</v>
      </c>
      <c r="B265" s="455">
        <v>903</v>
      </c>
      <c r="C265" s="402" t="s">
        <v>116</v>
      </c>
      <c r="D265" s="402" t="s">
        <v>132</v>
      </c>
      <c r="E265" s="402" t="s">
        <v>613</v>
      </c>
      <c r="F265" s="402"/>
      <c r="G265" s="318">
        <f>G266</f>
        <v>20</v>
      </c>
      <c r="H265" s="522"/>
      <c r="I265" s="334"/>
      <c r="J265" s="321"/>
      <c r="K265" s="132"/>
    </row>
    <row r="266" spans="1:11" ht="31.5" x14ac:dyDescent="0.25">
      <c r="A266" s="364" t="s">
        <v>123</v>
      </c>
      <c r="B266" s="455">
        <v>903</v>
      </c>
      <c r="C266" s="402" t="s">
        <v>116</v>
      </c>
      <c r="D266" s="402" t="s">
        <v>132</v>
      </c>
      <c r="E266" s="402" t="s">
        <v>613</v>
      </c>
      <c r="F266" s="402" t="s">
        <v>124</v>
      </c>
      <c r="G266" s="318">
        <f>G267</f>
        <v>20</v>
      </c>
      <c r="H266" s="522"/>
      <c r="I266" s="334"/>
      <c r="J266" s="321"/>
      <c r="K266" s="132"/>
    </row>
    <row r="267" spans="1:11" ht="31.5" x14ac:dyDescent="0.25">
      <c r="A267" s="364" t="s">
        <v>125</v>
      </c>
      <c r="B267" s="455">
        <v>903</v>
      </c>
      <c r="C267" s="402" t="s">
        <v>116</v>
      </c>
      <c r="D267" s="402" t="s">
        <v>132</v>
      </c>
      <c r="E267" s="402" t="s">
        <v>613</v>
      </c>
      <c r="F267" s="402" t="s">
        <v>126</v>
      </c>
      <c r="G267" s="318">
        <v>20</v>
      </c>
      <c r="H267" s="522"/>
      <c r="I267" s="334"/>
      <c r="J267" s="321"/>
      <c r="K267" s="132"/>
    </row>
    <row r="268" spans="1:11" ht="36.75" hidden="1" customHeight="1" x14ac:dyDescent="0.25">
      <c r="A268" s="24" t="s">
        <v>351</v>
      </c>
      <c r="B268" s="455">
        <v>903</v>
      </c>
      <c r="C268" s="402" t="s">
        <v>116</v>
      </c>
      <c r="D268" s="402" t="s">
        <v>132</v>
      </c>
      <c r="E268" s="402" t="s">
        <v>614</v>
      </c>
      <c r="F268" s="402"/>
      <c r="G268" s="318">
        <f>G269</f>
        <v>0</v>
      </c>
      <c r="H268" s="522"/>
      <c r="I268" s="334"/>
      <c r="J268" s="321"/>
      <c r="K268" s="132"/>
    </row>
    <row r="269" spans="1:11" ht="31.15" hidden="1" customHeight="1" x14ac:dyDescent="0.25">
      <c r="A269" s="364" t="s">
        <v>123</v>
      </c>
      <c r="B269" s="455">
        <v>903</v>
      </c>
      <c r="C269" s="402" t="s">
        <v>116</v>
      </c>
      <c r="D269" s="402" t="s">
        <v>132</v>
      </c>
      <c r="E269" s="402" t="s">
        <v>614</v>
      </c>
      <c r="F269" s="402" t="s">
        <v>124</v>
      </c>
      <c r="G269" s="318">
        <f>G270</f>
        <v>0</v>
      </c>
      <c r="H269" s="522"/>
      <c r="I269" s="334"/>
      <c r="J269" s="321"/>
      <c r="K269" s="132"/>
    </row>
    <row r="270" spans="1:11" ht="31.15" hidden="1" customHeight="1" x14ac:dyDescent="0.25">
      <c r="A270" s="364" t="s">
        <v>125</v>
      </c>
      <c r="B270" s="455">
        <v>903</v>
      </c>
      <c r="C270" s="402" t="s">
        <v>116</v>
      </c>
      <c r="D270" s="402" t="s">
        <v>132</v>
      </c>
      <c r="E270" s="402" t="s">
        <v>614</v>
      </c>
      <c r="F270" s="402" t="s">
        <v>126</v>
      </c>
      <c r="G270" s="318">
        <v>0</v>
      </c>
      <c r="H270" s="522"/>
      <c r="I270" s="334"/>
      <c r="J270" s="321"/>
      <c r="K270" s="132"/>
    </row>
    <row r="271" spans="1:11" ht="15.6" hidden="1" customHeight="1" x14ac:dyDescent="0.25">
      <c r="A271" s="364" t="s">
        <v>557</v>
      </c>
      <c r="B271" s="455">
        <v>903</v>
      </c>
      <c r="C271" s="402" t="s">
        <v>116</v>
      </c>
      <c r="D271" s="402" t="s">
        <v>132</v>
      </c>
      <c r="E271" s="402" t="s">
        <v>615</v>
      </c>
      <c r="F271" s="402"/>
      <c r="G271" s="318">
        <f>G272</f>
        <v>0</v>
      </c>
      <c r="H271" s="522"/>
      <c r="I271" s="334"/>
      <c r="J271" s="321"/>
      <c r="K271" s="132"/>
    </row>
    <row r="272" spans="1:11" ht="31.15" hidden="1" customHeight="1" x14ac:dyDescent="0.25">
      <c r="A272" s="364" t="s">
        <v>123</v>
      </c>
      <c r="B272" s="455">
        <v>903</v>
      </c>
      <c r="C272" s="402" t="s">
        <v>116</v>
      </c>
      <c r="D272" s="402" t="s">
        <v>132</v>
      </c>
      <c r="E272" s="402" t="s">
        <v>615</v>
      </c>
      <c r="F272" s="402" t="s">
        <v>124</v>
      </c>
      <c r="G272" s="318">
        <f>G273</f>
        <v>0</v>
      </c>
      <c r="H272" s="522"/>
      <c r="I272" s="334"/>
      <c r="J272" s="321"/>
      <c r="K272" s="132"/>
    </row>
    <row r="273" spans="1:11" ht="31.15" hidden="1" customHeight="1" x14ac:dyDescent="0.25">
      <c r="A273" s="364" t="s">
        <v>125</v>
      </c>
      <c r="B273" s="455">
        <v>903</v>
      </c>
      <c r="C273" s="402" t="s">
        <v>116</v>
      </c>
      <c r="D273" s="402" t="s">
        <v>132</v>
      </c>
      <c r="E273" s="402" t="s">
        <v>615</v>
      </c>
      <c r="F273" s="402" t="s">
        <v>126</v>
      </c>
      <c r="G273" s="318">
        <v>0</v>
      </c>
      <c r="H273" s="522"/>
      <c r="I273" s="334"/>
      <c r="J273" s="321"/>
      <c r="K273" s="132"/>
    </row>
    <row r="274" spans="1:11" ht="40.700000000000003" hidden="1" customHeight="1" x14ac:dyDescent="0.25">
      <c r="A274" s="24" t="s">
        <v>352</v>
      </c>
      <c r="B274" s="455">
        <v>903</v>
      </c>
      <c r="C274" s="402" t="s">
        <v>116</v>
      </c>
      <c r="D274" s="402" t="s">
        <v>132</v>
      </c>
      <c r="E274" s="402" t="s">
        <v>616</v>
      </c>
      <c r="F274" s="402"/>
      <c r="G274" s="318">
        <f>G275</f>
        <v>0</v>
      </c>
      <c r="H274" s="522"/>
      <c r="I274" s="334"/>
      <c r="J274" s="321"/>
      <c r="K274" s="132"/>
    </row>
    <row r="275" spans="1:11" ht="31.15" hidden="1" customHeight="1" x14ac:dyDescent="0.25">
      <c r="A275" s="364" t="s">
        <v>123</v>
      </c>
      <c r="B275" s="455">
        <v>903</v>
      </c>
      <c r="C275" s="402" t="s">
        <v>116</v>
      </c>
      <c r="D275" s="402" t="s">
        <v>132</v>
      </c>
      <c r="E275" s="402" t="s">
        <v>616</v>
      </c>
      <c r="F275" s="402" t="s">
        <v>124</v>
      </c>
      <c r="G275" s="318">
        <f>G276</f>
        <v>0</v>
      </c>
      <c r="H275" s="522"/>
      <c r="I275" s="334"/>
      <c r="J275" s="321"/>
      <c r="K275" s="132"/>
    </row>
    <row r="276" spans="1:11" ht="31.15" hidden="1" customHeight="1" x14ac:dyDescent="0.25">
      <c r="A276" s="364" t="s">
        <v>125</v>
      </c>
      <c r="B276" s="455">
        <v>903</v>
      </c>
      <c r="C276" s="402" t="s">
        <v>116</v>
      </c>
      <c r="D276" s="402" t="s">
        <v>132</v>
      </c>
      <c r="E276" s="402" t="s">
        <v>616</v>
      </c>
      <c r="F276" s="402" t="s">
        <v>126</v>
      </c>
      <c r="G276" s="318">
        <v>0</v>
      </c>
      <c r="H276" s="522"/>
      <c r="I276" s="334"/>
      <c r="J276" s="321"/>
      <c r="K276" s="132"/>
    </row>
    <row r="277" spans="1:11" ht="47.25" x14ac:dyDescent="0.25">
      <c r="A277" s="359" t="s">
        <v>853</v>
      </c>
      <c r="B277" s="454">
        <v>903</v>
      </c>
      <c r="C277" s="414" t="s">
        <v>116</v>
      </c>
      <c r="D277" s="414" t="s">
        <v>132</v>
      </c>
      <c r="E277" s="414" t="s">
        <v>339</v>
      </c>
      <c r="F277" s="414"/>
      <c r="G277" s="314">
        <f>G279</f>
        <v>6</v>
      </c>
      <c r="H277" s="522"/>
      <c r="I277" s="334"/>
      <c r="J277" s="321"/>
      <c r="K277" s="132"/>
    </row>
    <row r="278" spans="1:11" s="132" customFormat="1" ht="44.45" customHeight="1" x14ac:dyDescent="0.25">
      <c r="A278" s="358" t="s">
        <v>422</v>
      </c>
      <c r="B278" s="454">
        <v>903</v>
      </c>
      <c r="C278" s="414" t="s">
        <v>116</v>
      </c>
      <c r="D278" s="414" t="s">
        <v>132</v>
      </c>
      <c r="E278" s="414" t="s">
        <v>428</v>
      </c>
      <c r="F278" s="414"/>
      <c r="G278" s="314">
        <f t="shared" ref="G278:G280" si="16">G279</f>
        <v>6</v>
      </c>
      <c r="H278" s="522"/>
      <c r="I278" s="334"/>
      <c r="J278" s="321"/>
    </row>
    <row r="279" spans="1:11" ht="31.5" x14ac:dyDescent="0.25">
      <c r="A279" s="70" t="s">
        <v>355</v>
      </c>
      <c r="B279" s="455">
        <v>903</v>
      </c>
      <c r="C279" s="402" t="s">
        <v>116</v>
      </c>
      <c r="D279" s="402" t="s">
        <v>132</v>
      </c>
      <c r="E279" s="402" t="s">
        <v>423</v>
      </c>
      <c r="F279" s="402"/>
      <c r="G279" s="318">
        <f t="shared" si="16"/>
        <v>6</v>
      </c>
      <c r="H279" s="522"/>
      <c r="I279" s="334"/>
      <c r="J279" s="321"/>
      <c r="K279" s="132"/>
    </row>
    <row r="280" spans="1:11" ht="31.5" x14ac:dyDescent="0.25">
      <c r="A280" s="364" t="s">
        <v>123</v>
      </c>
      <c r="B280" s="455">
        <v>903</v>
      </c>
      <c r="C280" s="402" t="s">
        <v>116</v>
      </c>
      <c r="D280" s="402" t="s">
        <v>132</v>
      </c>
      <c r="E280" s="402" t="s">
        <v>423</v>
      </c>
      <c r="F280" s="402" t="s">
        <v>124</v>
      </c>
      <c r="G280" s="318">
        <f t="shared" si="16"/>
        <v>6</v>
      </c>
      <c r="H280" s="522"/>
      <c r="I280" s="334"/>
      <c r="J280" s="321"/>
      <c r="K280" s="132"/>
    </row>
    <row r="281" spans="1:11" ht="31.5" x14ac:dyDescent="0.25">
      <c r="A281" s="364" t="s">
        <v>125</v>
      </c>
      <c r="B281" s="455">
        <v>903</v>
      </c>
      <c r="C281" s="402" t="s">
        <v>116</v>
      </c>
      <c r="D281" s="402" t="s">
        <v>132</v>
      </c>
      <c r="E281" s="402" t="s">
        <v>423</v>
      </c>
      <c r="F281" s="402" t="s">
        <v>126</v>
      </c>
      <c r="G281" s="318">
        <v>6</v>
      </c>
      <c r="H281" s="522"/>
      <c r="I281" s="334"/>
      <c r="J281" s="321"/>
      <c r="K281" s="132"/>
    </row>
    <row r="282" spans="1:11" ht="21.2" customHeight="1" x14ac:dyDescent="0.25">
      <c r="A282" s="143" t="s">
        <v>166</v>
      </c>
      <c r="B282" s="454">
        <v>903</v>
      </c>
      <c r="C282" s="414" t="s">
        <v>139</v>
      </c>
      <c r="D282" s="402"/>
      <c r="E282" s="402"/>
      <c r="F282" s="467"/>
      <c r="G282" s="314">
        <f t="shared" ref="G282:G284" si="17">G283</f>
        <v>260</v>
      </c>
      <c r="H282" s="522"/>
      <c r="I282" s="334"/>
      <c r="J282" s="321"/>
      <c r="K282" s="132"/>
    </row>
    <row r="283" spans="1:11" ht="21.2" customHeight="1" x14ac:dyDescent="0.25">
      <c r="A283" s="315" t="s">
        <v>170</v>
      </c>
      <c r="B283" s="454">
        <v>903</v>
      </c>
      <c r="C283" s="414" t="s">
        <v>139</v>
      </c>
      <c r="D283" s="414" t="s">
        <v>171</v>
      </c>
      <c r="E283" s="402"/>
      <c r="F283" s="467"/>
      <c r="G283" s="314">
        <f t="shared" si="17"/>
        <v>260</v>
      </c>
      <c r="H283" s="522"/>
      <c r="I283" s="334"/>
      <c r="J283" s="321"/>
      <c r="K283" s="132"/>
    </row>
    <row r="284" spans="1:11" ht="54" customHeight="1" x14ac:dyDescent="0.25">
      <c r="A284" s="315" t="s">
        <v>850</v>
      </c>
      <c r="B284" s="454">
        <v>903</v>
      </c>
      <c r="C284" s="414" t="s">
        <v>139</v>
      </c>
      <c r="D284" s="414" t="s">
        <v>171</v>
      </c>
      <c r="E284" s="414" t="s">
        <v>213</v>
      </c>
      <c r="F284" s="464"/>
      <c r="G284" s="314">
        <f t="shared" si="17"/>
        <v>260</v>
      </c>
      <c r="H284" s="522"/>
      <c r="I284" s="334"/>
      <c r="J284" s="321"/>
      <c r="K284" s="132"/>
    </row>
    <row r="285" spans="1:11" ht="53.45" customHeight="1" x14ac:dyDescent="0.25">
      <c r="A285" s="315" t="s">
        <v>224</v>
      </c>
      <c r="B285" s="454">
        <v>903</v>
      </c>
      <c r="C285" s="414" t="s">
        <v>139</v>
      </c>
      <c r="D285" s="414" t="s">
        <v>171</v>
      </c>
      <c r="E285" s="414" t="s">
        <v>221</v>
      </c>
      <c r="F285" s="414"/>
      <c r="G285" s="314">
        <f>G286+G290+G294+G298</f>
        <v>260</v>
      </c>
      <c r="H285" s="522"/>
      <c r="I285" s="334"/>
      <c r="J285" s="321"/>
      <c r="K285" s="132"/>
    </row>
    <row r="286" spans="1:11" s="132" customFormat="1" ht="33" hidden="1" customHeight="1" x14ac:dyDescent="0.25">
      <c r="A286" s="141" t="s">
        <v>604</v>
      </c>
      <c r="B286" s="454">
        <v>903</v>
      </c>
      <c r="C286" s="414" t="s">
        <v>139</v>
      </c>
      <c r="D286" s="414" t="s">
        <v>171</v>
      </c>
      <c r="E286" s="414" t="s">
        <v>478</v>
      </c>
      <c r="F286" s="414"/>
      <c r="G286" s="314">
        <f t="shared" ref="G286:G288" si="18">G287</f>
        <v>0</v>
      </c>
      <c r="H286" s="522"/>
      <c r="I286" s="334"/>
      <c r="J286" s="321"/>
    </row>
    <row r="287" spans="1:11" ht="47.25" hidden="1" customHeight="1" x14ac:dyDescent="0.25">
      <c r="A287" s="364" t="s">
        <v>647</v>
      </c>
      <c r="B287" s="455">
        <v>903</v>
      </c>
      <c r="C287" s="402" t="s">
        <v>139</v>
      </c>
      <c r="D287" s="402" t="s">
        <v>171</v>
      </c>
      <c r="E287" s="402" t="s">
        <v>824</v>
      </c>
      <c r="F287" s="402"/>
      <c r="G287" s="318">
        <f t="shared" si="18"/>
        <v>0</v>
      </c>
      <c r="H287" s="522"/>
      <c r="I287" s="334"/>
      <c r="J287" s="321"/>
      <c r="K287" s="132"/>
    </row>
    <row r="288" spans="1:11" ht="21.2" hidden="1" customHeight="1" x14ac:dyDescent="0.25">
      <c r="A288" s="364" t="s">
        <v>177</v>
      </c>
      <c r="B288" s="455">
        <v>903</v>
      </c>
      <c r="C288" s="402" t="s">
        <v>139</v>
      </c>
      <c r="D288" s="402" t="s">
        <v>171</v>
      </c>
      <c r="E288" s="402" t="s">
        <v>824</v>
      </c>
      <c r="F288" s="402" t="s">
        <v>178</v>
      </c>
      <c r="G288" s="318">
        <f t="shared" si="18"/>
        <v>0</v>
      </c>
      <c r="H288" s="522"/>
      <c r="I288" s="334"/>
      <c r="J288" s="321"/>
      <c r="K288" s="132"/>
    </row>
    <row r="289" spans="1:11" ht="29.25" hidden="1" customHeight="1" x14ac:dyDescent="0.25">
      <c r="A289" s="364" t="s">
        <v>179</v>
      </c>
      <c r="B289" s="455">
        <v>903</v>
      </c>
      <c r="C289" s="402" t="s">
        <v>139</v>
      </c>
      <c r="D289" s="402" t="s">
        <v>171</v>
      </c>
      <c r="E289" s="402" t="s">
        <v>824</v>
      </c>
      <c r="F289" s="402" t="s">
        <v>180</v>
      </c>
      <c r="G289" s="318">
        <v>0</v>
      </c>
      <c r="H289" s="522"/>
      <c r="I289" s="334"/>
      <c r="J289" s="321"/>
      <c r="K289" s="132"/>
    </row>
    <row r="290" spans="1:11" s="132" customFormat="1" ht="33" customHeight="1" x14ac:dyDescent="0.25">
      <c r="A290" s="315" t="s">
        <v>603</v>
      </c>
      <c r="B290" s="454">
        <v>903</v>
      </c>
      <c r="C290" s="414" t="s">
        <v>139</v>
      </c>
      <c r="D290" s="414" t="s">
        <v>171</v>
      </c>
      <c r="E290" s="414" t="s">
        <v>739</v>
      </c>
      <c r="F290" s="414"/>
      <c r="G290" s="314">
        <f t="shared" ref="G290:G292" si="19">G291</f>
        <v>260</v>
      </c>
      <c r="H290" s="522"/>
      <c r="I290" s="334"/>
      <c r="J290" s="321"/>
    </row>
    <row r="291" spans="1:11" s="132" customFormat="1" ht="94.5" x14ac:dyDescent="0.25">
      <c r="A291" s="364" t="s">
        <v>226</v>
      </c>
      <c r="B291" s="455">
        <v>903</v>
      </c>
      <c r="C291" s="402" t="s">
        <v>139</v>
      </c>
      <c r="D291" s="402" t="s">
        <v>171</v>
      </c>
      <c r="E291" s="402" t="s">
        <v>740</v>
      </c>
      <c r="F291" s="402"/>
      <c r="G291" s="318">
        <f t="shared" si="19"/>
        <v>260</v>
      </c>
      <c r="H291" s="522"/>
      <c r="I291" s="334"/>
      <c r="J291" s="321"/>
    </row>
    <row r="292" spans="1:11" s="132" customFormat="1" ht="39.200000000000003" customHeight="1" x14ac:dyDescent="0.25">
      <c r="A292" s="364" t="s">
        <v>191</v>
      </c>
      <c r="B292" s="455">
        <v>903</v>
      </c>
      <c r="C292" s="402" t="s">
        <v>139</v>
      </c>
      <c r="D292" s="402" t="s">
        <v>171</v>
      </c>
      <c r="E292" s="402" t="s">
        <v>740</v>
      </c>
      <c r="F292" s="402" t="s">
        <v>192</v>
      </c>
      <c r="G292" s="318">
        <f t="shared" si="19"/>
        <v>260</v>
      </c>
      <c r="H292" s="522"/>
      <c r="I292" s="334"/>
      <c r="J292" s="321"/>
    </row>
    <row r="293" spans="1:11" s="132" customFormat="1" ht="63" x14ac:dyDescent="0.25">
      <c r="A293" s="364" t="s">
        <v>643</v>
      </c>
      <c r="B293" s="455">
        <v>903</v>
      </c>
      <c r="C293" s="402" t="s">
        <v>139</v>
      </c>
      <c r="D293" s="402" t="s">
        <v>171</v>
      </c>
      <c r="E293" s="402" t="s">
        <v>740</v>
      </c>
      <c r="F293" s="402" t="s">
        <v>225</v>
      </c>
      <c r="G293" s="318">
        <f>200+60</f>
        <v>260</v>
      </c>
      <c r="H293" s="522"/>
      <c r="I293" s="334"/>
      <c r="J293" s="321"/>
    </row>
    <row r="294" spans="1:11" s="132" customFormat="1" ht="21.2" hidden="1" customHeight="1" x14ac:dyDescent="0.25">
      <c r="A294" s="315" t="s">
        <v>558</v>
      </c>
      <c r="B294" s="454">
        <v>903</v>
      </c>
      <c r="C294" s="414" t="s">
        <v>139</v>
      </c>
      <c r="D294" s="414" t="s">
        <v>171</v>
      </c>
      <c r="E294" s="414" t="s">
        <v>821</v>
      </c>
      <c r="F294" s="414"/>
      <c r="G294" s="314">
        <f t="shared" ref="G294:G296" si="20">G295</f>
        <v>0</v>
      </c>
      <c r="H294" s="522"/>
      <c r="I294" s="334"/>
      <c r="J294" s="321"/>
    </row>
    <row r="295" spans="1:11" s="132" customFormat="1" ht="41.25" hidden="1" customHeight="1" x14ac:dyDescent="0.25">
      <c r="A295" s="364" t="s">
        <v>228</v>
      </c>
      <c r="B295" s="455">
        <v>903</v>
      </c>
      <c r="C295" s="402" t="s">
        <v>139</v>
      </c>
      <c r="D295" s="402" t="s">
        <v>171</v>
      </c>
      <c r="E295" s="402" t="s">
        <v>822</v>
      </c>
      <c r="F295" s="402"/>
      <c r="G295" s="318">
        <f t="shared" si="20"/>
        <v>0</v>
      </c>
      <c r="H295" s="522"/>
      <c r="I295" s="334"/>
      <c r="J295" s="321"/>
    </row>
    <row r="296" spans="1:11" s="132" customFormat="1" ht="29.25" hidden="1" customHeight="1" x14ac:dyDescent="0.25">
      <c r="A296" s="364" t="s">
        <v>123</v>
      </c>
      <c r="B296" s="455">
        <v>903</v>
      </c>
      <c r="C296" s="402" t="s">
        <v>139</v>
      </c>
      <c r="D296" s="402" t="s">
        <v>171</v>
      </c>
      <c r="E296" s="402" t="s">
        <v>822</v>
      </c>
      <c r="F296" s="402" t="s">
        <v>124</v>
      </c>
      <c r="G296" s="318">
        <f t="shared" si="20"/>
        <v>0</v>
      </c>
      <c r="H296" s="522"/>
      <c r="I296" s="334"/>
      <c r="J296" s="321"/>
    </row>
    <row r="297" spans="1:11" s="132" customFormat="1" ht="29.25" hidden="1" customHeight="1" x14ac:dyDescent="0.25">
      <c r="A297" s="364" t="s">
        <v>125</v>
      </c>
      <c r="B297" s="455">
        <v>903</v>
      </c>
      <c r="C297" s="402" t="s">
        <v>139</v>
      </c>
      <c r="D297" s="402" t="s">
        <v>171</v>
      </c>
      <c r="E297" s="402" t="s">
        <v>822</v>
      </c>
      <c r="F297" s="402" t="s">
        <v>126</v>
      </c>
      <c r="G297" s="318">
        <v>0</v>
      </c>
      <c r="H297" s="522"/>
      <c r="I297" s="334"/>
      <c r="J297" s="321"/>
    </row>
    <row r="298" spans="1:11" s="132" customFormat="1" ht="33.75" hidden="1" customHeight="1" x14ac:dyDescent="0.25">
      <c r="A298" s="322" t="s">
        <v>656</v>
      </c>
      <c r="B298" s="454">
        <v>903</v>
      </c>
      <c r="C298" s="414" t="s">
        <v>139</v>
      </c>
      <c r="D298" s="414" t="s">
        <v>171</v>
      </c>
      <c r="E298" s="414" t="s">
        <v>741</v>
      </c>
      <c r="F298" s="414"/>
      <c r="G298" s="314">
        <f t="shared" ref="G298:G300" si="21">G299</f>
        <v>0</v>
      </c>
      <c r="H298" s="522"/>
      <c r="I298" s="334"/>
      <c r="J298" s="321"/>
    </row>
    <row r="299" spans="1:11" s="132" customFormat="1" ht="29.25" hidden="1" customHeight="1" x14ac:dyDescent="0.25">
      <c r="A299" s="155" t="s">
        <v>699</v>
      </c>
      <c r="B299" s="455">
        <v>903</v>
      </c>
      <c r="C299" s="402" t="s">
        <v>139</v>
      </c>
      <c r="D299" s="402" t="s">
        <v>171</v>
      </c>
      <c r="E299" s="402" t="s">
        <v>742</v>
      </c>
      <c r="F299" s="402"/>
      <c r="G299" s="318">
        <f t="shared" si="21"/>
        <v>0</v>
      </c>
      <c r="H299" s="522"/>
      <c r="I299" s="334"/>
      <c r="J299" s="321"/>
    </row>
    <row r="300" spans="1:11" s="132" customFormat="1" ht="29.25" hidden="1" customHeight="1" x14ac:dyDescent="0.25">
      <c r="A300" s="364" t="s">
        <v>123</v>
      </c>
      <c r="B300" s="455">
        <v>903</v>
      </c>
      <c r="C300" s="402" t="s">
        <v>139</v>
      </c>
      <c r="D300" s="402" t="s">
        <v>171</v>
      </c>
      <c r="E300" s="402" t="s">
        <v>742</v>
      </c>
      <c r="F300" s="402" t="s">
        <v>124</v>
      </c>
      <c r="G300" s="318">
        <f t="shared" si="21"/>
        <v>0</v>
      </c>
      <c r="H300" s="522"/>
      <c r="I300" s="334"/>
      <c r="J300" s="321"/>
    </row>
    <row r="301" spans="1:11" s="132" customFormat="1" ht="29.25" hidden="1" customHeight="1" x14ac:dyDescent="0.25">
      <c r="A301" s="364" t="s">
        <v>125</v>
      </c>
      <c r="B301" s="455">
        <v>903</v>
      </c>
      <c r="C301" s="402" t="s">
        <v>139</v>
      </c>
      <c r="D301" s="402" t="s">
        <v>171</v>
      </c>
      <c r="E301" s="402" t="s">
        <v>742</v>
      </c>
      <c r="F301" s="402" t="s">
        <v>126</v>
      </c>
      <c r="G301" s="318">
        <v>0</v>
      </c>
      <c r="H301" s="522"/>
      <c r="I301" s="334"/>
      <c r="J301" s="321"/>
    </row>
    <row r="302" spans="1:11" ht="15.75" x14ac:dyDescent="0.25">
      <c r="A302" s="315" t="s">
        <v>186</v>
      </c>
      <c r="B302" s="454">
        <v>903</v>
      </c>
      <c r="C302" s="414" t="s">
        <v>187</v>
      </c>
      <c r="D302" s="402"/>
      <c r="E302" s="402"/>
      <c r="F302" s="402"/>
      <c r="G302" s="314">
        <f>G303+G346+G366</f>
        <v>21007.659999999996</v>
      </c>
      <c r="H302" s="523"/>
      <c r="I302" s="334"/>
      <c r="J302" s="321"/>
      <c r="K302" s="132"/>
    </row>
    <row r="303" spans="1:11" ht="15.75" x14ac:dyDescent="0.25">
      <c r="A303" s="315" t="s">
        <v>188</v>
      </c>
      <c r="B303" s="454">
        <v>903</v>
      </c>
      <c r="C303" s="414" t="s">
        <v>187</v>
      </c>
      <c r="D303" s="414" t="s">
        <v>159</v>
      </c>
      <c r="E303" s="414"/>
      <c r="F303" s="414"/>
      <c r="G303" s="314">
        <f>G304+G341+G336</f>
        <v>20247.559999999998</v>
      </c>
      <c r="H303" s="522"/>
      <c r="I303" s="334"/>
      <c r="J303" s="321"/>
      <c r="K303" s="132"/>
    </row>
    <row r="304" spans="1:11" ht="31.5" x14ac:dyDescent="0.25">
      <c r="A304" s="315" t="s">
        <v>854</v>
      </c>
      <c r="B304" s="454">
        <v>903</v>
      </c>
      <c r="C304" s="414" t="s">
        <v>187</v>
      </c>
      <c r="D304" s="414" t="s">
        <v>159</v>
      </c>
      <c r="E304" s="414" t="s">
        <v>189</v>
      </c>
      <c r="F304" s="414"/>
      <c r="G304" s="314">
        <f>G305+G316+G325+G329</f>
        <v>19750.659999999996</v>
      </c>
      <c r="H304" s="522"/>
      <c r="I304" s="334"/>
      <c r="J304" s="321"/>
      <c r="K304" s="132"/>
    </row>
    <row r="305" spans="1:11" s="132" customFormat="1" ht="31.5" x14ac:dyDescent="0.25">
      <c r="A305" s="315" t="s">
        <v>814</v>
      </c>
      <c r="B305" s="454">
        <v>903</v>
      </c>
      <c r="C305" s="414" t="s">
        <v>187</v>
      </c>
      <c r="D305" s="414" t="s">
        <v>159</v>
      </c>
      <c r="E305" s="414" t="s">
        <v>743</v>
      </c>
      <c r="F305" s="414"/>
      <c r="G305" s="30">
        <f>G306+G313</f>
        <v>18740.359999999997</v>
      </c>
      <c r="H305" s="522"/>
      <c r="I305" s="334"/>
      <c r="J305" s="321"/>
    </row>
    <row r="306" spans="1:11" s="132" customFormat="1" ht="15.75" x14ac:dyDescent="0.25">
      <c r="A306" s="364" t="s">
        <v>378</v>
      </c>
      <c r="B306" s="455">
        <v>903</v>
      </c>
      <c r="C306" s="402" t="s">
        <v>187</v>
      </c>
      <c r="D306" s="402" t="s">
        <v>159</v>
      </c>
      <c r="E306" s="402" t="s">
        <v>744</v>
      </c>
      <c r="F306" s="402"/>
      <c r="G306" s="20">
        <f>G307+G309+G311</f>
        <v>18740.359999999997</v>
      </c>
      <c r="H306" s="522"/>
      <c r="I306" s="334"/>
      <c r="J306" s="321"/>
    </row>
    <row r="307" spans="1:11" s="132" customFormat="1" ht="63" x14ac:dyDescent="0.25">
      <c r="A307" s="364" t="s">
        <v>119</v>
      </c>
      <c r="B307" s="455">
        <v>903</v>
      </c>
      <c r="C307" s="402" t="s">
        <v>187</v>
      </c>
      <c r="D307" s="402" t="s">
        <v>159</v>
      </c>
      <c r="E307" s="402" t="s">
        <v>744</v>
      </c>
      <c r="F307" s="402" t="s">
        <v>120</v>
      </c>
      <c r="G307" s="20">
        <f>G308</f>
        <v>16693.199999999997</v>
      </c>
      <c r="H307" s="522"/>
      <c r="I307" s="334"/>
      <c r="J307" s="321"/>
    </row>
    <row r="308" spans="1:11" s="132" customFormat="1" ht="15.75" x14ac:dyDescent="0.25">
      <c r="A308" s="32" t="s">
        <v>212</v>
      </c>
      <c r="B308" s="455">
        <v>903</v>
      </c>
      <c r="C308" s="402" t="s">
        <v>187</v>
      </c>
      <c r="D308" s="402" t="s">
        <v>159</v>
      </c>
      <c r="E308" s="402" t="s">
        <v>744</v>
      </c>
      <c r="F308" s="402" t="s">
        <v>156</v>
      </c>
      <c r="G308" s="20">
        <f>16647.1+46.1</f>
        <v>16693.199999999997</v>
      </c>
      <c r="H308" s="522" t="s">
        <v>1237</v>
      </c>
      <c r="I308" s="334"/>
      <c r="J308" s="321"/>
    </row>
    <row r="309" spans="1:11" s="132" customFormat="1" ht="31.5" x14ac:dyDescent="0.25">
      <c r="A309" s="364" t="s">
        <v>123</v>
      </c>
      <c r="B309" s="455">
        <v>903</v>
      </c>
      <c r="C309" s="402" t="s">
        <v>187</v>
      </c>
      <c r="D309" s="402" t="s">
        <v>159</v>
      </c>
      <c r="E309" s="402" t="s">
        <v>744</v>
      </c>
      <c r="F309" s="402" t="s">
        <v>124</v>
      </c>
      <c r="G309" s="20">
        <f>G310</f>
        <v>1974.16</v>
      </c>
      <c r="H309" s="522"/>
      <c r="I309" s="334"/>
      <c r="J309" s="321"/>
    </row>
    <row r="310" spans="1:11" s="132" customFormat="1" ht="31.5" x14ac:dyDescent="0.25">
      <c r="A310" s="364" t="s">
        <v>125</v>
      </c>
      <c r="B310" s="455">
        <v>903</v>
      </c>
      <c r="C310" s="402" t="s">
        <v>187</v>
      </c>
      <c r="D310" s="402" t="s">
        <v>159</v>
      </c>
      <c r="E310" s="402" t="s">
        <v>744</v>
      </c>
      <c r="F310" s="402" t="s">
        <v>126</v>
      </c>
      <c r="G310" s="20">
        <v>1974.16</v>
      </c>
      <c r="H310" s="520"/>
      <c r="I310" s="334"/>
      <c r="J310" s="321"/>
    </row>
    <row r="311" spans="1:11" s="132" customFormat="1" ht="15.75" x14ac:dyDescent="0.25">
      <c r="A311" s="364" t="s">
        <v>127</v>
      </c>
      <c r="B311" s="455">
        <v>903</v>
      </c>
      <c r="C311" s="402" t="s">
        <v>187</v>
      </c>
      <c r="D311" s="402" t="s">
        <v>159</v>
      </c>
      <c r="E311" s="402" t="s">
        <v>744</v>
      </c>
      <c r="F311" s="402" t="s">
        <v>134</v>
      </c>
      <c r="G311" s="20">
        <f>G312</f>
        <v>73</v>
      </c>
      <c r="H311" s="525"/>
      <c r="I311" s="334"/>
      <c r="J311" s="321"/>
    </row>
    <row r="312" spans="1:11" s="132" customFormat="1" ht="15.75" x14ac:dyDescent="0.25">
      <c r="A312" s="364" t="s">
        <v>338</v>
      </c>
      <c r="B312" s="455">
        <v>903</v>
      </c>
      <c r="C312" s="402" t="s">
        <v>187</v>
      </c>
      <c r="D312" s="402" t="s">
        <v>159</v>
      </c>
      <c r="E312" s="402" t="s">
        <v>744</v>
      </c>
      <c r="F312" s="402" t="s">
        <v>130</v>
      </c>
      <c r="G312" s="20">
        <v>73</v>
      </c>
      <c r="H312" s="522"/>
      <c r="I312" s="334"/>
      <c r="J312" s="321"/>
    </row>
    <row r="313" spans="1:11" s="132" customFormat="1" ht="22.7" hidden="1" customHeight="1" x14ac:dyDescent="0.25">
      <c r="A313" s="24" t="s">
        <v>968</v>
      </c>
      <c r="B313" s="455">
        <v>903</v>
      </c>
      <c r="C313" s="402" t="s">
        <v>187</v>
      </c>
      <c r="D313" s="402" t="s">
        <v>159</v>
      </c>
      <c r="E313" s="402" t="s">
        <v>962</v>
      </c>
      <c r="F313" s="402"/>
      <c r="G313" s="318">
        <f>G314</f>
        <v>0</v>
      </c>
      <c r="H313" s="522"/>
      <c r="I313" s="334"/>
      <c r="J313" s="321"/>
    </row>
    <row r="314" spans="1:11" s="132" customFormat="1" ht="63" hidden="1" x14ac:dyDescent="0.25">
      <c r="A314" s="364" t="s">
        <v>119</v>
      </c>
      <c r="B314" s="455">
        <v>903</v>
      </c>
      <c r="C314" s="402" t="s">
        <v>187</v>
      </c>
      <c r="D314" s="402" t="s">
        <v>159</v>
      </c>
      <c r="E314" s="402" t="s">
        <v>962</v>
      </c>
      <c r="F314" s="402" t="s">
        <v>120</v>
      </c>
      <c r="G314" s="318">
        <f>G315</f>
        <v>0</v>
      </c>
      <c r="H314" s="522"/>
      <c r="I314" s="334"/>
      <c r="J314" s="321"/>
    </row>
    <row r="315" spans="1:11" s="132" customFormat="1" ht="15.75" hidden="1" x14ac:dyDescent="0.25">
      <c r="A315" s="364" t="s">
        <v>155</v>
      </c>
      <c r="B315" s="455">
        <v>903</v>
      </c>
      <c r="C315" s="402" t="s">
        <v>187</v>
      </c>
      <c r="D315" s="402" t="s">
        <v>159</v>
      </c>
      <c r="E315" s="402" t="s">
        <v>962</v>
      </c>
      <c r="F315" s="402" t="s">
        <v>156</v>
      </c>
      <c r="G315" s="318"/>
      <c r="H315" s="522"/>
      <c r="I315" s="334"/>
      <c r="J315" s="321"/>
    </row>
    <row r="316" spans="1:11" s="132" customFormat="1" ht="29.25" customHeight="1" x14ac:dyDescent="0.25">
      <c r="A316" s="142" t="s">
        <v>817</v>
      </c>
      <c r="B316" s="454">
        <v>903</v>
      </c>
      <c r="C316" s="414" t="s">
        <v>187</v>
      </c>
      <c r="D316" s="414" t="s">
        <v>159</v>
      </c>
      <c r="E316" s="414" t="s">
        <v>745</v>
      </c>
      <c r="F316" s="414"/>
      <c r="G316" s="30">
        <f>G317+G320</f>
        <v>292</v>
      </c>
      <c r="H316" s="522"/>
      <c r="I316" s="334"/>
      <c r="J316" s="321"/>
    </row>
    <row r="317" spans="1:11" ht="15.75" x14ac:dyDescent="0.25">
      <c r="A317" s="123" t="s">
        <v>377</v>
      </c>
      <c r="B317" s="455">
        <v>903</v>
      </c>
      <c r="C317" s="402" t="s">
        <v>187</v>
      </c>
      <c r="D317" s="402" t="s">
        <v>159</v>
      </c>
      <c r="E317" s="402" t="s">
        <v>746</v>
      </c>
      <c r="F317" s="402"/>
      <c r="G317" s="20">
        <f>G318</f>
        <v>42</v>
      </c>
      <c r="H317" s="522"/>
      <c r="I317" s="334"/>
      <c r="J317" s="321"/>
      <c r="K317" s="132"/>
    </row>
    <row r="318" spans="1:11" ht="15.75" x14ac:dyDescent="0.25">
      <c r="A318" s="364" t="s">
        <v>177</v>
      </c>
      <c r="B318" s="455">
        <v>903</v>
      </c>
      <c r="C318" s="402" t="s">
        <v>187</v>
      </c>
      <c r="D318" s="402" t="s">
        <v>159</v>
      </c>
      <c r="E318" s="402" t="s">
        <v>746</v>
      </c>
      <c r="F318" s="402" t="s">
        <v>178</v>
      </c>
      <c r="G318" s="20">
        <f>G319</f>
        <v>42</v>
      </c>
      <c r="H318" s="522"/>
      <c r="I318" s="334"/>
      <c r="J318" s="321"/>
      <c r="K318" s="132"/>
    </row>
    <row r="319" spans="1:11" ht="15.75" x14ac:dyDescent="0.25">
      <c r="A319" s="364" t="s">
        <v>398</v>
      </c>
      <c r="B319" s="455">
        <v>903</v>
      </c>
      <c r="C319" s="402" t="s">
        <v>187</v>
      </c>
      <c r="D319" s="402" t="s">
        <v>159</v>
      </c>
      <c r="E319" s="402" t="s">
        <v>746</v>
      </c>
      <c r="F319" s="402" t="s">
        <v>397</v>
      </c>
      <c r="G319" s="20">
        <v>42</v>
      </c>
      <c r="H319" s="522"/>
      <c r="I319" s="334"/>
      <c r="J319" s="321"/>
      <c r="K319" s="132"/>
    </row>
    <row r="320" spans="1:11" ht="36" customHeight="1" x14ac:dyDescent="0.25">
      <c r="A320" s="24" t="s">
        <v>394</v>
      </c>
      <c r="B320" s="455">
        <v>903</v>
      </c>
      <c r="C320" s="402" t="s">
        <v>187</v>
      </c>
      <c r="D320" s="402" t="s">
        <v>159</v>
      </c>
      <c r="E320" s="402" t="s">
        <v>747</v>
      </c>
      <c r="F320" s="402"/>
      <c r="G320" s="20">
        <f>G323+G321</f>
        <v>250</v>
      </c>
      <c r="H320" s="522"/>
      <c r="I320" s="334"/>
      <c r="J320" s="321"/>
      <c r="K320" s="132"/>
    </row>
    <row r="321" spans="1:11" ht="63" x14ac:dyDescent="0.25">
      <c r="A321" s="364" t="s">
        <v>119</v>
      </c>
      <c r="B321" s="455">
        <v>903</v>
      </c>
      <c r="C321" s="402" t="s">
        <v>187</v>
      </c>
      <c r="D321" s="402" t="s">
        <v>159</v>
      </c>
      <c r="E321" s="402" t="s">
        <v>747</v>
      </c>
      <c r="F321" s="402" t="s">
        <v>120</v>
      </c>
      <c r="G321" s="20">
        <f>G322</f>
        <v>250</v>
      </c>
      <c r="H321" s="522"/>
      <c r="I321" s="334"/>
      <c r="J321" s="321"/>
      <c r="K321" s="132"/>
    </row>
    <row r="322" spans="1:11" ht="24.75" customHeight="1" x14ac:dyDescent="0.25">
      <c r="A322" s="32" t="s">
        <v>212</v>
      </c>
      <c r="B322" s="455">
        <v>903</v>
      </c>
      <c r="C322" s="402" t="s">
        <v>187</v>
      </c>
      <c r="D322" s="402" t="s">
        <v>159</v>
      </c>
      <c r="E322" s="402" t="s">
        <v>747</v>
      </c>
      <c r="F322" s="402" t="s">
        <v>156</v>
      </c>
      <c r="G322" s="20">
        <v>250</v>
      </c>
      <c r="H322" s="522"/>
      <c r="I322" s="334"/>
      <c r="J322" s="321"/>
      <c r="K322" s="132"/>
    </row>
    <row r="323" spans="1:11" ht="30.75" hidden="1" customHeight="1" x14ac:dyDescent="0.25">
      <c r="A323" s="364" t="s">
        <v>123</v>
      </c>
      <c r="B323" s="455">
        <v>903</v>
      </c>
      <c r="C323" s="402" t="s">
        <v>187</v>
      </c>
      <c r="D323" s="402" t="s">
        <v>159</v>
      </c>
      <c r="E323" s="402" t="s">
        <v>747</v>
      </c>
      <c r="F323" s="402" t="s">
        <v>124</v>
      </c>
      <c r="G323" s="20">
        <f>G324</f>
        <v>0</v>
      </c>
      <c r="H323" s="522"/>
      <c r="I323" s="334"/>
      <c r="J323" s="321"/>
      <c r="K323" s="132"/>
    </row>
    <row r="324" spans="1:11" ht="39.200000000000003" hidden="1" customHeight="1" x14ac:dyDescent="0.25">
      <c r="A324" s="364" t="s">
        <v>125</v>
      </c>
      <c r="B324" s="455">
        <v>903</v>
      </c>
      <c r="C324" s="402" t="s">
        <v>187</v>
      </c>
      <c r="D324" s="402" t="s">
        <v>159</v>
      </c>
      <c r="E324" s="402" t="s">
        <v>747</v>
      </c>
      <c r="F324" s="402" t="s">
        <v>126</v>
      </c>
      <c r="G324" s="20"/>
      <c r="H324" s="522"/>
      <c r="I324" s="334"/>
      <c r="J324" s="321"/>
      <c r="K324" s="132"/>
    </row>
    <row r="325" spans="1:11" s="132" customFormat="1" ht="39.200000000000003" customHeight="1" x14ac:dyDescent="0.25">
      <c r="A325" s="315" t="s">
        <v>514</v>
      </c>
      <c r="B325" s="454">
        <v>903</v>
      </c>
      <c r="C325" s="414" t="s">
        <v>187</v>
      </c>
      <c r="D325" s="414" t="s">
        <v>159</v>
      </c>
      <c r="E325" s="414" t="s">
        <v>748</v>
      </c>
      <c r="F325" s="414"/>
      <c r="G325" s="30">
        <f t="shared" ref="G325:G327" si="22">G326</f>
        <v>473</v>
      </c>
      <c r="H325" s="522"/>
      <c r="I325" s="334"/>
      <c r="J325" s="321"/>
    </row>
    <row r="326" spans="1:11" s="132" customFormat="1" ht="39.200000000000003" customHeight="1" x14ac:dyDescent="0.25">
      <c r="A326" s="364" t="s">
        <v>416</v>
      </c>
      <c r="B326" s="455">
        <v>903</v>
      </c>
      <c r="C326" s="402" t="s">
        <v>187</v>
      </c>
      <c r="D326" s="402" t="s">
        <v>159</v>
      </c>
      <c r="E326" s="402" t="s">
        <v>749</v>
      </c>
      <c r="F326" s="402"/>
      <c r="G326" s="318">
        <f t="shared" si="22"/>
        <v>473</v>
      </c>
      <c r="H326" s="522"/>
      <c r="I326" s="334"/>
      <c r="J326" s="321"/>
    </row>
    <row r="327" spans="1:11" s="132" customFormat="1" ht="70.5" customHeight="1" x14ac:dyDescent="0.25">
      <c r="A327" s="364" t="s">
        <v>119</v>
      </c>
      <c r="B327" s="455">
        <v>903</v>
      </c>
      <c r="C327" s="402" t="s">
        <v>187</v>
      </c>
      <c r="D327" s="402" t="s">
        <v>159</v>
      </c>
      <c r="E327" s="402" t="s">
        <v>749</v>
      </c>
      <c r="F327" s="402" t="s">
        <v>120</v>
      </c>
      <c r="G327" s="318">
        <f t="shared" si="22"/>
        <v>473</v>
      </c>
      <c r="H327" s="522"/>
      <c r="I327" s="334"/>
      <c r="J327" s="321"/>
    </row>
    <row r="328" spans="1:11" s="132" customFormat="1" ht="19.7" customHeight="1" x14ac:dyDescent="0.25">
      <c r="A328" s="364" t="s">
        <v>212</v>
      </c>
      <c r="B328" s="455">
        <v>903</v>
      </c>
      <c r="C328" s="402" t="s">
        <v>187</v>
      </c>
      <c r="D328" s="402" t="s">
        <v>159</v>
      </c>
      <c r="E328" s="402" t="s">
        <v>749</v>
      </c>
      <c r="F328" s="402" t="s">
        <v>156</v>
      </c>
      <c r="G328" s="318">
        <v>473</v>
      </c>
      <c r="H328" s="522"/>
      <c r="I328" s="334"/>
      <c r="J328" s="321"/>
    </row>
    <row r="329" spans="1:11" s="132" customFormat="1" ht="39.200000000000003" customHeight="1" x14ac:dyDescent="0.25">
      <c r="A329" s="315" t="s">
        <v>471</v>
      </c>
      <c r="B329" s="454">
        <v>903</v>
      </c>
      <c r="C329" s="414" t="s">
        <v>187</v>
      </c>
      <c r="D329" s="414" t="s">
        <v>159</v>
      </c>
      <c r="E329" s="414" t="s">
        <v>750</v>
      </c>
      <c r="F329" s="414"/>
      <c r="G329" s="30">
        <f>G330+G333</f>
        <v>245.29999999999998</v>
      </c>
      <c r="H329" s="522"/>
      <c r="I329" s="334"/>
      <c r="J329" s="321"/>
    </row>
    <row r="330" spans="1:11" s="132" customFormat="1" ht="85.7" hidden="1" customHeight="1" x14ac:dyDescent="0.25">
      <c r="A330" s="24" t="s">
        <v>200</v>
      </c>
      <c r="B330" s="455">
        <v>903</v>
      </c>
      <c r="C330" s="402" t="s">
        <v>187</v>
      </c>
      <c r="D330" s="402" t="s">
        <v>159</v>
      </c>
      <c r="E330" s="402" t="s">
        <v>897</v>
      </c>
      <c r="F330" s="402"/>
      <c r="G330" s="318">
        <f>G331</f>
        <v>0</v>
      </c>
      <c r="H330" s="522"/>
      <c r="I330" s="334"/>
      <c r="J330" s="321"/>
    </row>
    <row r="331" spans="1:11" s="132" customFormat="1" ht="61.15" hidden="1" customHeight="1" x14ac:dyDescent="0.25">
      <c r="A331" s="364" t="s">
        <v>119</v>
      </c>
      <c r="B331" s="455">
        <v>903</v>
      </c>
      <c r="C331" s="402" t="s">
        <v>187</v>
      </c>
      <c r="D331" s="402" t="s">
        <v>159</v>
      </c>
      <c r="E331" s="402" t="s">
        <v>897</v>
      </c>
      <c r="F331" s="402" t="s">
        <v>120</v>
      </c>
      <c r="G331" s="318">
        <f>G332</f>
        <v>0</v>
      </c>
      <c r="H331" s="522"/>
      <c r="I331" s="334"/>
      <c r="J331" s="321"/>
    </row>
    <row r="332" spans="1:11" s="132" customFormat="1" ht="19.149999999999999" hidden="1" customHeight="1" x14ac:dyDescent="0.25">
      <c r="A332" s="32" t="s">
        <v>212</v>
      </c>
      <c r="B332" s="455">
        <v>903</v>
      </c>
      <c r="C332" s="402" t="s">
        <v>187</v>
      </c>
      <c r="D332" s="402" t="s">
        <v>159</v>
      </c>
      <c r="E332" s="402" t="s">
        <v>897</v>
      </c>
      <c r="F332" s="402" t="s">
        <v>156</v>
      </c>
      <c r="G332" s="318">
        <f>511-511</f>
        <v>0</v>
      </c>
      <c r="H332" s="522" t="s">
        <v>1333</v>
      </c>
      <c r="I332" s="334"/>
      <c r="J332" s="321"/>
    </row>
    <row r="333" spans="1:11" s="132" customFormat="1" ht="31.5" x14ac:dyDescent="0.25">
      <c r="A333" s="364" t="s">
        <v>1147</v>
      </c>
      <c r="B333" s="455">
        <v>903</v>
      </c>
      <c r="C333" s="402" t="s">
        <v>187</v>
      </c>
      <c r="D333" s="402" t="s">
        <v>159</v>
      </c>
      <c r="E333" s="402" t="s">
        <v>1149</v>
      </c>
      <c r="F333" s="402"/>
      <c r="G333" s="318">
        <f>G334</f>
        <v>245.29999999999998</v>
      </c>
      <c r="H333" s="522"/>
      <c r="I333" s="334"/>
      <c r="J333" s="321"/>
    </row>
    <row r="334" spans="1:11" s="132" customFormat="1" ht="69.75" customHeight="1" x14ac:dyDescent="0.25">
      <c r="A334" s="364" t="s">
        <v>119</v>
      </c>
      <c r="B334" s="455">
        <v>903</v>
      </c>
      <c r="C334" s="402" t="s">
        <v>187</v>
      </c>
      <c r="D334" s="402" t="s">
        <v>159</v>
      </c>
      <c r="E334" s="402" t="s">
        <v>1149</v>
      </c>
      <c r="F334" s="402" t="s">
        <v>120</v>
      </c>
      <c r="G334" s="318">
        <f>G335</f>
        <v>245.29999999999998</v>
      </c>
      <c r="H334" s="522"/>
      <c r="I334" s="334"/>
      <c r="J334" s="321"/>
    </row>
    <row r="335" spans="1:11" s="132" customFormat="1" ht="21.2" customHeight="1" x14ac:dyDescent="0.25">
      <c r="A335" s="32" t="s">
        <v>212</v>
      </c>
      <c r="B335" s="455">
        <v>903</v>
      </c>
      <c r="C335" s="402" t="s">
        <v>187</v>
      </c>
      <c r="D335" s="402" t="s">
        <v>159</v>
      </c>
      <c r="E335" s="402" t="s">
        <v>1149</v>
      </c>
      <c r="F335" s="402" t="s">
        <v>156</v>
      </c>
      <c r="G335" s="318">
        <f>404.4-159.1</f>
        <v>245.29999999999998</v>
      </c>
      <c r="H335" s="522" t="s">
        <v>1328</v>
      </c>
      <c r="I335" s="334"/>
      <c r="J335" s="321"/>
    </row>
    <row r="336" spans="1:11" s="132" customFormat="1" ht="50.25" customHeight="1" x14ac:dyDescent="0.25">
      <c r="A336" s="26" t="s">
        <v>859</v>
      </c>
      <c r="B336" s="454">
        <v>903</v>
      </c>
      <c r="C336" s="414" t="s">
        <v>187</v>
      </c>
      <c r="D336" s="414" t="s">
        <v>159</v>
      </c>
      <c r="E336" s="414" t="s">
        <v>206</v>
      </c>
      <c r="F336" s="414"/>
      <c r="G336" s="314">
        <f>G338</f>
        <v>6</v>
      </c>
      <c r="H336" s="522"/>
      <c r="I336" s="334"/>
      <c r="J336" s="321"/>
    </row>
    <row r="337" spans="1:11" s="132" customFormat="1" ht="49.7" customHeight="1" x14ac:dyDescent="0.25">
      <c r="A337" s="26" t="s">
        <v>588</v>
      </c>
      <c r="B337" s="454">
        <v>903</v>
      </c>
      <c r="C337" s="414" t="s">
        <v>187</v>
      </c>
      <c r="D337" s="414" t="s">
        <v>159</v>
      </c>
      <c r="E337" s="414" t="s">
        <v>504</v>
      </c>
      <c r="F337" s="414"/>
      <c r="G337" s="314">
        <f>G340</f>
        <v>6</v>
      </c>
      <c r="H337" s="522"/>
      <c r="I337" s="334"/>
      <c r="J337" s="321"/>
    </row>
    <row r="338" spans="1:11" s="132" customFormat="1" ht="48.2" customHeight="1" x14ac:dyDescent="0.25">
      <c r="A338" s="24" t="s">
        <v>634</v>
      </c>
      <c r="B338" s="455">
        <v>903</v>
      </c>
      <c r="C338" s="402" t="s">
        <v>187</v>
      </c>
      <c r="D338" s="402" t="s">
        <v>159</v>
      </c>
      <c r="E338" s="402" t="s">
        <v>589</v>
      </c>
      <c r="F338" s="402"/>
      <c r="G338" s="318">
        <f>G339</f>
        <v>6</v>
      </c>
      <c r="H338" s="522"/>
      <c r="I338" s="334"/>
      <c r="J338" s="321"/>
    </row>
    <row r="339" spans="1:11" s="132" customFormat="1" ht="31.9" customHeight="1" x14ac:dyDescent="0.25">
      <c r="A339" s="364" t="s">
        <v>123</v>
      </c>
      <c r="B339" s="455">
        <v>903</v>
      </c>
      <c r="C339" s="402" t="s">
        <v>187</v>
      </c>
      <c r="D339" s="402" t="s">
        <v>159</v>
      </c>
      <c r="E339" s="402" t="s">
        <v>589</v>
      </c>
      <c r="F339" s="402" t="s">
        <v>124</v>
      </c>
      <c r="G339" s="318">
        <f>G340</f>
        <v>6</v>
      </c>
      <c r="H339" s="522"/>
      <c r="I339" s="334"/>
      <c r="J339" s="321"/>
    </row>
    <row r="340" spans="1:11" s="132" customFormat="1" ht="34.700000000000003" customHeight="1" x14ac:dyDescent="0.25">
      <c r="A340" s="364" t="s">
        <v>125</v>
      </c>
      <c r="B340" s="455">
        <v>903</v>
      </c>
      <c r="C340" s="402" t="s">
        <v>187</v>
      </c>
      <c r="D340" s="402" t="s">
        <v>159</v>
      </c>
      <c r="E340" s="402" t="s">
        <v>589</v>
      </c>
      <c r="F340" s="402" t="s">
        <v>126</v>
      </c>
      <c r="G340" s="318">
        <v>6</v>
      </c>
      <c r="H340" s="522"/>
      <c r="I340" s="334"/>
      <c r="J340" s="321"/>
    </row>
    <row r="341" spans="1:11" ht="51" customHeight="1" x14ac:dyDescent="0.25">
      <c r="A341" s="359" t="s">
        <v>855</v>
      </c>
      <c r="B341" s="454">
        <v>903</v>
      </c>
      <c r="C341" s="414" t="s">
        <v>187</v>
      </c>
      <c r="D341" s="414" t="s">
        <v>159</v>
      </c>
      <c r="E341" s="414" t="s">
        <v>339</v>
      </c>
      <c r="F341" s="414"/>
      <c r="G341" s="314">
        <f>G343</f>
        <v>490.9</v>
      </c>
      <c r="H341" s="522"/>
      <c r="I341" s="334"/>
      <c r="J341" s="321"/>
      <c r="K341" s="132"/>
    </row>
    <row r="342" spans="1:11" s="132" customFormat="1" ht="48.75" customHeight="1" x14ac:dyDescent="0.25">
      <c r="A342" s="359" t="s">
        <v>463</v>
      </c>
      <c r="B342" s="454">
        <v>903</v>
      </c>
      <c r="C342" s="414" t="s">
        <v>187</v>
      </c>
      <c r="D342" s="414" t="s">
        <v>159</v>
      </c>
      <c r="E342" s="414" t="s">
        <v>461</v>
      </c>
      <c r="F342" s="414"/>
      <c r="G342" s="314">
        <f t="shared" ref="G342:G344" si="23">G343</f>
        <v>490.9</v>
      </c>
      <c r="H342" s="522"/>
      <c r="I342" s="334"/>
      <c r="J342" s="321"/>
    </row>
    <row r="343" spans="1:11" ht="32.25" customHeight="1" x14ac:dyDescent="0.25">
      <c r="A343" s="70" t="s">
        <v>567</v>
      </c>
      <c r="B343" s="402" t="s">
        <v>305</v>
      </c>
      <c r="C343" s="402" t="s">
        <v>187</v>
      </c>
      <c r="D343" s="402" t="s">
        <v>159</v>
      </c>
      <c r="E343" s="402" t="s">
        <v>462</v>
      </c>
      <c r="F343" s="467"/>
      <c r="G343" s="318">
        <f t="shared" si="23"/>
        <v>490.9</v>
      </c>
      <c r="H343" s="522"/>
      <c r="I343" s="334"/>
      <c r="J343" s="321"/>
      <c r="K343" s="132"/>
    </row>
    <row r="344" spans="1:11" ht="33" customHeight="1" x14ac:dyDescent="0.25">
      <c r="A344" s="364" t="s">
        <v>123</v>
      </c>
      <c r="B344" s="455">
        <v>903</v>
      </c>
      <c r="C344" s="402" t="s">
        <v>187</v>
      </c>
      <c r="D344" s="402" t="s">
        <v>159</v>
      </c>
      <c r="E344" s="402" t="s">
        <v>462</v>
      </c>
      <c r="F344" s="467" t="s">
        <v>124</v>
      </c>
      <c r="G344" s="318">
        <f t="shared" si="23"/>
        <v>490.9</v>
      </c>
      <c r="H344" s="522"/>
      <c r="I344" s="334"/>
      <c r="J344" s="321"/>
      <c r="K344" s="132"/>
    </row>
    <row r="345" spans="1:11" ht="34.5" customHeight="1" x14ac:dyDescent="0.25">
      <c r="A345" s="364" t="s">
        <v>125</v>
      </c>
      <c r="B345" s="455">
        <v>903</v>
      </c>
      <c r="C345" s="402" t="s">
        <v>187</v>
      </c>
      <c r="D345" s="402" t="s">
        <v>159</v>
      </c>
      <c r="E345" s="402" t="s">
        <v>462</v>
      </c>
      <c r="F345" s="467" t="s">
        <v>126</v>
      </c>
      <c r="G345" s="318">
        <v>490.9</v>
      </c>
      <c r="H345" s="522"/>
      <c r="I345" s="334"/>
      <c r="J345" s="334"/>
      <c r="K345" s="132"/>
    </row>
    <row r="346" spans="1:11" ht="19.5" customHeight="1" x14ac:dyDescent="0.25">
      <c r="A346" s="315" t="s">
        <v>246</v>
      </c>
      <c r="B346" s="454">
        <v>903</v>
      </c>
      <c r="C346" s="414" t="s">
        <v>187</v>
      </c>
      <c r="D346" s="414" t="s">
        <v>187</v>
      </c>
      <c r="E346" s="402"/>
      <c r="F346" s="402"/>
      <c r="G346" s="314">
        <f>G347</f>
        <v>760.1</v>
      </c>
      <c r="H346" s="522"/>
      <c r="I346" s="334"/>
      <c r="J346" s="321"/>
      <c r="K346" s="132"/>
    </row>
    <row r="347" spans="1:11" ht="50.25" customHeight="1" x14ac:dyDescent="0.25">
      <c r="A347" s="315" t="s">
        <v>850</v>
      </c>
      <c r="B347" s="454">
        <v>903</v>
      </c>
      <c r="C347" s="414" t="s">
        <v>187</v>
      </c>
      <c r="D347" s="414" t="s">
        <v>187</v>
      </c>
      <c r="E347" s="414" t="s">
        <v>213</v>
      </c>
      <c r="F347" s="414"/>
      <c r="G347" s="314">
        <f>G348</f>
        <v>760.1</v>
      </c>
      <c r="H347" s="522"/>
      <c r="I347" s="334"/>
      <c r="J347" s="321"/>
      <c r="K347" s="132"/>
    </row>
    <row r="348" spans="1:11" ht="32.25" customHeight="1" x14ac:dyDescent="0.25">
      <c r="A348" s="315" t="s">
        <v>214</v>
      </c>
      <c r="B348" s="454">
        <v>903</v>
      </c>
      <c r="C348" s="414" t="s">
        <v>187</v>
      </c>
      <c r="D348" s="414" t="s">
        <v>187</v>
      </c>
      <c r="E348" s="414" t="s">
        <v>215</v>
      </c>
      <c r="F348" s="414"/>
      <c r="G348" s="314">
        <f>G349+G356+G362</f>
        <v>760.1</v>
      </c>
      <c r="H348" s="522"/>
      <c r="I348" s="334"/>
      <c r="J348" s="321"/>
      <c r="K348" s="132"/>
    </row>
    <row r="349" spans="1:11" s="132" customFormat="1" ht="48.75" customHeight="1" x14ac:dyDescent="0.25">
      <c r="A349" s="358" t="s">
        <v>591</v>
      </c>
      <c r="B349" s="454">
        <v>903</v>
      </c>
      <c r="C349" s="414" t="s">
        <v>187</v>
      </c>
      <c r="D349" s="414" t="s">
        <v>187</v>
      </c>
      <c r="E349" s="414" t="s">
        <v>465</v>
      </c>
      <c r="F349" s="414"/>
      <c r="G349" s="314">
        <f>G350+G353</f>
        <v>280</v>
      </c>
      <c r="H349" s="522"/>
      <c r="I349" s="334"/>
      <c r="J349" s="321"/>
    </row>
    <row r="350" spans="1:11" s="132" customFormat="1" ht="23.25" customHeight="1" x14ac:dyDescent="0.25">
      <c r="A350" s="70" t="s">
        <v>597</v>
      </c>
      <c r="B350" s="455">
        <v>903</v>
      </c>
      <c r="C350" s="402" t="s">
        <v>187</v>
      </c>
      <c r="D350" s="402" t="s">
        <v>187</v>
      </c>
      <c r="E350" s="402" t="s">
        <v>466</v>
      </c>
      <c r="F350" s="402"/>
      <c r="G350" s="318">
        <f>G351</f>
        <v>280</v>
      </c>
      <c r="H350" s="522"/>
      <c r="I350" s="334"/>
      <c r="J350" s="321"/>
    </row>
    <row r="351" spans="1:11" s="132" customFormat="1" ht="66.599999999999994" customHeight="1" x14ac:dyDescent="0.25">
      <c r="A351" s="364" t="s">
        <v>119</v>
      </c>
      <c r="B351" s="455">
        <v>903</v>
      </c>
      <c r="C351" s="402" t="s">
        <v>187</v>
      </c>
      <c r="D351" s="402" t="s">
        <v>187</v>
      </c>
      <c r="E351" s="402" t="s">
        <v>466</v>
      </c>
      <c r="F351" s="402" t="s">
        <v>120</v>
      </c>
      <c r="G351" s="318">
        <f>G352</f>
        <v>280</v>
      </c>
      <c r="H351" s="522"/>
      <c r="I351" s="334"/>
      <c r="J351" s="321"/>
    </row>
    <row r="352" spans="1:11" s="132" customFormat="1" ht="18" customHeight="1" x14ac:dyDescent="0.25">
      <c r="A352" s="364" t="s">
        <v>212</v>
      </c>
      <c r="B352" s="455">
        <v>903</v>
      </c>
      <c r="C352" s="402" t="s">
        <v>187</v>
      </c>
      <c r="D352" s="402" t="s">
        <v>187</v>
      </c>
      <c r="E352" s="402" t="s">
        <v>466</v>
      </c>
      <c r="F352" s="402" t="s">
        <v>156</v>
      </c>
      <c r="G352" s="318">
        <v>280</v>
      </c>
      <c r="H352" s="522"/>
      <c r="I352" s="334"/>
      <c r="J352" s="321"/>
    </row>
    <row r="353" spans="1:11" s="132" customFormat="1" ht="19.5" hidden="1" customHeight="1" x14ac:dyDescent="0.25">
      <c r="A353" s="364" t="s">
        <v>592</v>
      </c>
      <c r="B353" s="455">
        <v>903</v>
      </c>
      <c r="C353" s="402" t="s">
        <v>187</v>
      </c>
      <c r="D353" s="402" t="s">
        <v>187</v>
      </c>
      <c r="E353" s="402" t="s">
        <v>607</v>
      </c>
      <c r="F353" s="402"/>
      <c r="G353" s="318">
        <f>G354</f>
        <v>0</v>
      </c>
      <c r="H353" s="522"/>
      <c r="I353" s="334"/>
      <c r="J353" s="321"/>
    </row>
    <row r="354" spans="1:11" s="132" customFormat="1" ht="32.25" hidden="1" customHeight="1" x14ac:dyDescent="0.25">
      <c r="A354" s="364" t="s">
        <v>123</v>
      </c>
      <c r="B354" s="455">
        <v>903</v>
      </c>
      <c r="C354" s="402" t="s">
        <v>187</v>
      </c>
      <c r="D354" s="402" t="s">
        <v>187</v>
      </c>
      <c r="E354" s="402" t="s">
        <v>607</v>
      </c>
      <c r="F354" s="402" t="s">
        <v>124</v>
      </c>
      <c r="G354" s="318">
        <f>G355</f>
        <v>0</v>
      </c>
      <c r="H354" s="522"/>
      <c r="I354" s="334"/>
      <c r="J354" s="321"/>
    </row>
    <row r="355" spans="1:11" s="132" customFormat="1" ht="37.5" hidden="1" customHeight="1" x14ac:dyDescent="0.25">
      <c r="A355" s="364" t="s">
        <v>125</v>
      </c>
      <c r="B355" s="455">
        <v>903</v>
      </c>
      <c r="C355" s="402" t="s">
        <v>187</v>
      </c>
      <c r="D355" s="402" t="s">
        <v>187</v>
      </c>
      <c r="E355" s="402" t="s">
        <v>607</v>
      </c>
      <c r="F355" s="402" t="s">
        <v>126</v>
      </c>
      <c r="G355" s="318">
        <v>0</v>
      </c>
      <c r="H355" s="522"/>
      <c r="I355" s="334"/>
      <c r="J355" s="321"/>
    </row>
    <row r="356" spans="1:11" s="132" customFormat="1" ht="64.5" customHeight="1" x14ac:dyDescent="0.25">
      <c r="A356" s="315" t="s">
        <v>593</v>
      </c>
      <c r="B356" s="454">
        <v>903</v>
      </c>
      <c r="C356" s="414" t="s">
        <v>187</v>
      </c>
      <c r="D356" s="414" t="s">
        <v>187</v>
      </c>
      <c r="E356" s="414" t="s">
        <v>467</v>
      </c>
      <c r="F356" s="414"/>
      <c r="G356" s="314">
        <f>G357</f>
        <v>455.1</v>
      </c>
      <c r="H356" s="522"/>
      <c r="I356" s="334"/>
      <c r="J356" s="321"/>
    </row>
    <row r="357" spans="1:11" ht="15.75" customHeight="1" x14ac:dyDescent="0.25">
      <c r="A357" s="364" t="s">
        <v>594</v>
      </c>
      <c r="B357" s="455">
        <v>903</v>
      </c>
      <c r="C357" s="402" t="s">
        <v>187</v>
      </c>
      <c r="D357" s="402" t="s">
        <v>187</v>
      </c>
      <c r="E357" s="402" t="s">
        <v>472</v>
      </c>
      <c r="F357" s="402"/>
      <c r="G357" s="318">
        <f>G360+G359</f>
        <v>455.1</v>
      </c>
      <c r="H357" s="522"/>
      <c r="I357" s="334"/>
      <c r="J357" s="321"/>
      <c r="K357" s="132"/>
    </row>
    <row r="358" spans="1:11" ht="63" customHeight="1" x14ac:dyDescent="0.25">
      <c r="A358" s="364" t="s">
        <v>119</v>
      </c>
      <c r="B358" s="455">
        <v>903</v>
      </c>
      <c r="C358" s="402" t="s">
        <v>187</v>
      </c>
      <c r="D358" s="402" t="s">
        <v>187</v>
      </c>
      <c r="E358" s="402" t="s">
        <v>472</v>
      </c>
      <c r="F358" s="402" t="s">
        <v>120</v>
      </c>
      <c r="G358" s="318">
        <f>G359</f>
        <v>40.1</v>
      </c>
      <c r="H358" s="522"/>
      <c r="I358" s="334"/>
      <c r="J358" s="321"/>
      <c r="K358" s="132"/>
    </row>
    <row r="359" spans="1:11" ht="20.25" customHeight="1" x14ac:dyDescent="0.25">
      <c r="A359" s="364" t="s">
        <v>212</v>
      </c>
      <c r="B359" s="455">
        <v>903</v>
      </c>
      <c r="C359" s="402" t="s">
        <v>187</v>
      </c>
      <c r="D359" s="402" t="s">
        <v>187</v>
      </c>
      <c r="E359" s="402" t="s">
        <v>472</v>
      </c>
      <c r="F359" s="402" t="s">
        <v>156</v>
      </c>
      <c r="G359" s="318">
        <v>40.1</v>
      </c>
      <c r="H359" s="522"/>
      <c r="I359" s="334"/>
      <c r="J359" s="321"/>
      <c r="K359" s="132"/>
    </row>
    <row r="360" spans="1:11" ht="36.75" customHeight="1" x14ac:dyDescent="0.25">
      <c r="A360" s="364" t="s">
        <v>123</v>
      </c>
      <c r="B360" s="455">
        <v>903</v>
      </c>
      <c r="C360" s="402" t="s">
        <v>187</v>
      </c>
      <c r="D360" s="402" t="s">
        <v>187</v>
      </c>
      <c r="E360" s="402" t="s">
        <v>472</v>
      </c>
      <c r="F360" s="402" t="s">
        <v>124</v>
      </c>
      <c r="G360" s="318">
        <f>G361</f>
        <v>415</v>
      </c>
      <c r="H360" s="522"/>
      <c r="I360" s="334"/>
      <c r="J360" s="321"/>
      <c r="K360" s="132"/>
    </row>
    <row r="361" spans="1:11" ht="39.200000000000003" customHeight="1" x14ac:dyDescent="0.25">
      <c r="A361" s="364" t="s">
        <v>125</v>
      </c>
      <c r="B361" s="455">
        <v>903</v>
      </c>
      <c r="C361" s="402" t="s">
        <v>187</v>
      </c>
      <c r="D361" s="402" t="s">
        <v>187</v>
      </c>
      <c r="E361" s="402" t="s">
        <v>472</v>
      </c>
      <c r="F361" s="402" t="s">
        <v>126</v>
      </c>
      <c r="G361" s="318">
        <f>415-135.5+135.5</f>
        <v>415</v>
      </c>
      <c r="H361" s="522"/>
      <c r="I361" s="334"/>
      <c r="J361" s="321"/>
      <c r="K361" s="132"/>
    </row>
    <row r="362" spans="1:11" s="132" customFormat="1" ht="35.450000000000003" customHeight="1" x14ac:dyDescent="0.25">
      <c r="A362" s="315" t="s">
        <v>599</v>
      </c>
      <c r="B362" s="454">
        <v>903</v>
      </c>
      <c r="C362" s="414" t="s">
        <v>187</v>
      </c>
      <c r="D362" s="414" t="s">
        <v>187</v>
      </c>
      <c r="E362" s="414" t="s">
        <v>595</v>
      </c>
      <c r="F362" s="414"/>
      <c r="G362" s="314">
        <f t="shared" ref="G362:G364" si="24">G363</f>
        <v>25</v>
      </c>
      <c r="H362" s="522"/>
      <c r="I362" s="334"/>
      <c r="J362" s="321"/>
    </row>
    <row r="363" spans="1:11" s="132" customFormat="1" ht="39.75" customHeight="1" x14ac:dyDescent="0.25">
      <c r="A363" s="155" t="s">
        <v>596</v>
      </c>
      <c r="B363" s="455">
        <v>903</v>
      </c>
      <c r="C363" s="402" t="s">
        <v>187</v>
      </c>
      <c r="D363" s="402" t="s">
        <v>187</v>
      </c>
      <c r="E363" s="402" t="s">
        <v>608</v>
      </c>
      <c r="F363" s="402"/>
      <c r="G363" s="318">
        <f t="shared" si="24"/>
        <v>25</v>
      </c>
      <c r="H363" s="522"/>
      <c r="I363" s="334"/>
      <c r="J363" s="321"/>
    </row>
    <row r="364" spans="1:11" s="132" customFormat="1" ht="17.45" customHeight="1" x14ac:dyDescent="0.25">
      <c r="A364" s="364" t="s">
        <v>177</v>
      </c>
      <c r="B364" s="455">
        <v>903</v>
      </c>
      <c r="C364" s="402" t="s">
        <v>187</v>
      </c>
      <c r="D364" s="402" t="s">
        <v>187</v>
      </c>
      <c r="E364" s="402" t="s">
        <v>608</v>
      </c>
      <c r="F364" s="402" t="s">
        <v>178</v>
      </c>
      <c r="G364" s="318">
        <f t="shared" si="24"/>
        <v>25</v>
      </c>
      <c r="H364" s="522"/>
      <c r="I364" s="334"/>
      <c r="J364" s="321"/>
    </row>
    <row r="365" spans="1:11" s="132" customFormat="1" ht="35.450000000000003" customHeight="1" x14ac:dyDescent="0.25">
      <c r="A365" s="364" t="s">
        <v>736</v>
      </c>
      <c r="B365" s="455">
        <v>903</v>
      </c>
      <c r="C365" s="402" t="s">
        <v>187</v>
      </c>
      <c r="D365" s="402" t="s">
        <v>187</v>
      </c>
      <c r="E365" s="402" t="s">
        <v>608</v>
      </c>
      <c r="F365" s="402" t="s">
        <v>735</v>
      </c>
      <c r="G365" s="318">
        <v>25</v>
      </c>
      <c r="H365" s="522"/>
      <c r="I365" s="334"/>
      <c r="J365" s="321"/>
    </row>
    <row r="366" spans="1:11" s="132" customFormat="1" ht="21.75" hidden="1" customHeight="1" x14ac:dyDescent="0.25">
      <c r="A366" s="315" t="s">
        <v>201</v>
      </c>
      <c r="B366" s="454">
        <v>903</v>
      </c>
      <c r="C366" s="414" t="s">
        <v>187</v>
      </c>
      <c r="D366" s="414" t="s">
        <v>161</v>
      </c>
      <c r="E366" s="414"/>
      <c r="F366" s="414"/>
      <c r="G366" s="314">
        <f t="shared" ref="G366:G369" si="25">G367</f>
        <v>0</v>
      </c>
      <c r="H366" s="522"/>
      <c r="I366" s="334"/>
      <c r="J366" s="321"/>
    </row>
    <row r="367" spans="1:11" s="132" customFormat="1" ht="35.450000000000003" hidden="1" customHeight="1" x14ac:dyDescent="0.25">
      <c r="A367" s="26" t="s">
        <v>446</v>
      </c>
      <c r="B367" s="454">
        <v>903</v>
      </c>
      <c r="C367" s="414" t="s">
        <v>187</v>
      </c>
      <c r="D367" s="414" t="s">
        <v>161</v>
      </c>
      <c r="E367" s="414" t="s">
        <v>441</v>
      </c>
      <c r="F367" s="414"/>
      <c r="G367" s="314">
        <f t="shared" si="25"/>
        <v>0</v>
      </c>
      <c r="H367" s="522"/>
      <c r="I367" s="334"/>
      <c r="J367" s="321"/>
    </row>
    <row r="368" spans="1:11" s="132" customFormat="1" ht="54.4" hidden="1" customHeight="1" x14ac:dyDescent="0.25">
      <c r="A368" s="24" t="s">
        <v>1057</v>
      </c>
      <c r="B368" s="455">
        <v>903</v>
      </c>
      <c r="C368" s="402" t="s">
        <v>187</v>
      </c>
      <c r="D368" s="402" t="s">
        <v>161</v>
      </c>
      <c r="E368" s="402" t="s">
        <v>1056</v>
      </c>
      <c r="F368" s="402"/>
      <c r="G368" s="318">
        <f t="shared" si="25"/>
        <v>0</v>
      </c>
      <c r="H368" s="522"/>
      <c r="I368" s="334"/>
      <c r="J368" s="321"/>
    </row>
    <row r="369" spans="1:12" s="132" customFormat="1" ht="35.450000000000003" hidden="1" customHeight="1" x14ac:dyDescent="0.25">
      <c r="A369" s="364" t="s">
        <v>123</v>
      </c>
      <c r="B369" s="455">
        <v>903</v>
      </c>
      <c r="C369" s="402" t="s">
        <v>187</v>
      </c>
      <c r="D369" s="402" t="s">
        <v>161</v>
      </c>
      <c r="E369" s="402" t="s">
        <v>1056</v>
      </c>
      <c r="F369" s="402" t="s">
        <v>124</v>
      </c>
      <c r="G369" s="318">
        <f t="shared" si="25"/>
        <v>0</v>
      </c>
      <c r="H369" s="522"/>
      <c r="I369" s="334"/>
      <c r="J369" s="321"/>
    </row>
    <row r="370" spans="1:12" s="132" customFormat="1" ht="35.450000000000003" hidden="1" customHeight="1" x14ac:dyDescent="0.25">
      <c r="A370" s="364" t="s">
        <v>125</v>
      </c>
      <c r="B370" s="455">
        <v>903</v>
      </c>
      <c r="C370" s="402" t="s">
        <v>187</v>
      </c>
      <c r="D370" s="402" t="s">
        <v>161</v>
      </c>
      <c r="E370" s="402" t="s">
        <v>1056</v>
      </c>
      <c r="F370" s="402" t="s">
        <v>126</v>
      </c>
      <c r="G370" s="318"/>
      <c r="H370" s="522"/>
      <c r="I370" s="334"/>
      <c r="J370" s="321"/>
    </row>
    <row r="371" spans="1:12" ht="15.75" x14ac:dyDescent="0.25">
      <c r="A371" s="315" t="s">
        <v>202</v>
      </c>
      <c r="B371" s="454">
        <v>903</v>
      </c>
      <c r="C371" s="414" t="s">
        <v>203</v>
      </c>
      <c r="D371" s="414"/>
      <c r="E371" s="414"/>
      <c r="F371" s="414"/>
      <c r="G371" s="314">
        <f>G372+G455</f>
        <v>89197.35</v>
      </c>
      <c r="H371" s="522"/>
      <c r="I371" s="334"/>
      <c r="J371" s="321"/>
      <c r="K371" s="132"/>
    </row>
    <row r="372" spans="1:12" ht="15.75" x14ac:dyDescent="0.25">
      <c r="A372" s="315" t="s">
        <v>204</v>
      </c>
      <c r="B372" s="454">
        <v>903</v>
      </c>
      <c r="C372" s="414" t="s">
        <v>203</v>
      </c>
      <c r="D372" s="414" t="s">
        <v>116</v>
      </c>
      <c r="E372" s="414"/>
      <c r="F372" s="414"/>
      <c r="G372" s="314">
        <f>G373+G447+G439</f>
        <v>67916.45</v>
      </c>
      <c r="H372" s="526"/>
      <c r="I372" s="334"/>
      <c r="J372" s="321"/>
      <c r="K372" s="132"/>
    </row>
    <row r="373" spans="1:12" ht="35.450000000000003" customHeight="1" x14ac:dyDescent="0.25">
      <c r="A373" s="315" t="s">
        <v>854</v>
      </c>
      <c r="B373" s="454">
        <v>903</v>
      </c>
      <c r="C373" s="414" t="s">
        <v>203</v>
      </c>
      <c r="D373" s="414" t="s">
        <v>116</v>
      </c>
      <c r="E373" s="414" t="s">
        <v>189</v>
      </c>
      <c r="F373" s="414"/>
      <c r="G373" s="314">
        <f>G374+G388+G397+G404+G413+G417+G428+G435</f>
        <v>67027.75</v>
      </c>
      <c r="H373" s="522"/>
      <c r="I373" s="334"/>
      <c r="J373" s="321"/>
      <c r="K373" s="132"/>
    </row>
    <row r="374" spans="1:12" s="132" customFormat="1" ht="30.2" customHeight="1" x14ac:dyDescent="0.25">
      <c r="A374" s="315" t="s">
        <v>814</v>
      </c>
      <c r="B374" s="454">
        <v>903</v>
      </c>
      <c r="C374" s="414" t="s">
        <v>203</v>
      </c>
      <c r="D374" s="414" t="s">
        <v>116</v>
      </c>
      <c r="E374" s="414" t="s">
        <v>743</v>
      </c>
      <c r="F374" s="414"/>
      <c r="G374" s="314">
        <f>G375+G378</f>
        <v>52501.3</v>
      </c>
      <c r="H374" s="522"/>
      <c r="I374" s="334"/>
      <c r="J374" s="321"/>
    </row>
    <row r="375" spans="1:12" s="363" customFormat="1" ht="30.2" customHeight="1" x14ac:dyDescent="0.25">
      <c r="A375" s="364" t="s">
        <v>205</v>
      </c>
      <c r="B375" s="455">
        <v>903</v>
      </c>
      <c r="C375" s="402" t="s">
        <v>203</v>
      </c>
      <c r="D375" s="402" t="s">
        <v>116</v>
      </c>
      <c r="E375" s="402" t="s">
        <v>1192</v>
      </c>
      <c r="F375" s="402"/>
      <c r="G375" s="318">
        <f>G376</f>
        <v>28655.7</v>
      </c>
      <c r="H375" s="522"/>
      <c r="I375" s="334"/>
      <c r="J375" s="321"/>
    </row>
    <row r="376" spans="1:12" s="363" customFormat="1" ht="30.2" customHeight="1" x14ac:dyDescent="0.25">
      <c r="A376" s="364" t="s">
        <v>191</v>
      </c>
      <c r="B376" s="455">
        <v>903</v>
      </c>
      <c r="C376" s="402" t="s">
        <v>203</v>
      </c>
      <c r="D376" s="402" t="s">
        <v>116</v>
      </c>
      <c r="E376" s="402" t="s">
        <v>1192</v>
      </c>
      <c r="F376" s="402" t="s">
        <v>192</v>
      </c>
      <c r="G376" s="318">
        <f>G377</f>
        <v>28655.7</v>
      </c>
      <c r="H376" s="522"/>
      <c r="I376" s="334"/>
      <c r="J376" s="321"/>
    </row>
    <row r="377" spans="1:12" s="363" customFormat="1" ht="15.75" x14ac:dyDescent="0.25">
      <c r="A377" s="364" t="s">
        <v>193</v>
      </c>
      <c r="B377" s="455">
        <v>903</v>
      </c>
      <c r="C377" s="402" t="s">
        <v>203</v>
      </c>
      <c r="D377" s="402" t="s">
        <v>116</v>
      </c>
      <c r="E377" s="402" t="s">
        <v>1192</v>
      </c>
      <c r="F377" s="402" t="s">
        <v>194</v>
      </c>
      <c r="G377" s="318">
        <f>28932.4-330+53.3</f>
        <v>28655.7</v>
      </c>
      <c r="H377" s="522" t="s">
        <v>1238</v>
      </c>
      <c r="I377" s="334" t="s">
        <v>1239</v>
      </c>
      <c r="J377" s="321"/>
    </row>
    <row r="378" spans="1:12" s="132" customFormat="1" ht="17.45" customHeight="1" x14ac:dyDescent="0.25">
      <c r="A378" s="364" t="s">
        <v>378</v>
      </c>
      <c r="B378" s="455">
        <v>903</v>
      </c>
      <c r="C378" s="402" t="s">
        <v>203</v>
      </c>
      <c r="D378" s="402" t="s">
        <v>116</v>
      </c>
      <c r="E378" s="402" t="s">
        <v>744</v>
      </c>
      <c r="F378" s="402"/>
      <c r="G378" s="318">
        <f>G379+G381+G383</f>
        <v>23845.599999999999</v>
      </c>
      <c r="H378" s="522"/>
      <c r="I378" s="334"/>
      <c r="J378" s="321"/>
    </row>
    <row r="379" spans="1:12" s="132" customFormat="1" ht="46.5" customHeight="1" x14ac:dyDescent="0.25">
      <c r="A379" s="364" t="s">
        <v>119</v>
      </c>
      <c r="B379" s="455">
        <v>903</v>
      </c>
      <c r="C379" s="402" t="s">
        <v>203</v>
      </c>
      <c r="D379" s="402" t="s">
        <v>116</v>
      </c>
      <c r="E379" s="402" t="s">
        <v>744</v>
      </c>
      <c r="F379" s="402" t="s">
        <v>120</v>
      </c>
      <c r="G379" s="318">
        <f>G380</f>
        <v>19863.7</v>
      </c>
      <c r="H379" s="522"/>
      <c r="I379" s="334"/>
      <c r="J379" s="321"/>
    </row>
    <row r="380" spans="1:12" s="132" customFormat="1" ht="21.75" customHeight="1" x14ac:dyDescent="0.25">
      <c r="A380" s="364" t="s">
        <v>155</v>
      </c>
      <c r="B380" s="455">
        <v>903</v>
      </c>
      <c r="C380" s="402" t="s">
        <v>203</v>
      </c>
      <c r="D380" s="402" t="s">
        <v>116</v>
      </c>
      <c r="E380" s="402" t="s">
        <v>744</v>
      </c>
      <c r="F380" s="402" t="s">
        <v>156</v>
      </c>
      <c r="G380" s="20">
        <f>22394.5+19846.5-22394.5+17.2</f>
        <v>19863.7</v>
      </c>
      <c r="H380" s="522" t="s">
        <v>1240</v>
      </c>
      <c r="I380" s="334" t="s">
        <v>1241</v>
      </c>
      <c r="J380" s="334"/>
    </row>
    <row r="381" spans="1:12" s="132" customFormat="1" ht="36.75" customHeight="1" x14ac:dyDescent="0.25">
      <c r="A381" s="364" t="s">
        <v>123</v>
      </c>
      <c r="B381" s="455">
        <v>903</v>
      </c>
      <c r="C381" s="402" t="s">
        <v>203</v>
      </c>
      <c r="D381" s="402" t="s">
        <v>116</v>
      </c>
      <c r="E381" s="402" t="s">
        <v>744</v>
      </c>
      <c r="F381" s="402" t="s">
        <v>124</v>
      </c>
      <c r="G381" s="318">
        <f>G382</f>
        <v>3955.8999999999996</v>
      </c>
      <c r="H381" s="522"/>
      <c r="I381" s="334"/>
      <c r="J381" s="321"/>
    </row>
    <row r="382" spans="1:12" s="132" customFormat="1" ht="33" customHeight="1" x14ac:dyDescent="0.25">
      <c r="A382" s="364" t="s">
        <v>125</v>
      </c>
      <c r="B382" s="455">
        <v>903</v>
      </c>
      <c r="C382" s="402" t="s">
        <v>203</v>
      </c>
      <c r="D382" s="402" t="s">
        <v>116</v>
      </c>
      <c r="E382" s="402" t="s">
        <v>744</v>
      </c>
      <c r="F382" s="402" t="s">
        <v>126</v>
      </c>
      <c r="G382" s="20">
        <f>6170.9+3955.9-6170.9</f>
        <v>3955.8999999999996</v>
      </c>
      <c r="H382" s="520"/>
      <c r="I382" s="334"/>
      <c r="J382" s="321"/>
      <c r="K382" s="281"/>
      <c r="L382" s="345"/>
    </row>
    <row r="383" spans="1:12" s="132" customFormat="1" ht="18" customHeight="1" x14ac:dyDescent="0.25">
      <c r="A383" s="364" t="s">
        <v>127</v>
      </c>
      <c r="B383" s="455">
        <v>903</v>
      </c>
      <c r="C383" s="402" t="s">
        <v>203</v>
      </c>
      <c r="D383" s="402" t="s">
        <v>116</v>
      </c>
      <c r="E383" s="402" t="s">
        <v>744</v>
      </c>
      <c r="F383" s="402" t="s">
        <v>134</v>
      </c>
      <c r="G383" s="318">
        <f>G384</f>
        <v>26</v>
      </c>
      <c r="H383" s="522"/>
      <c r="I383" s="334"/>
      <c r="J383" s="321"/>
    </row>
    <row r="384" spans="1:12" s="132" customFormat="1" ht="16.5" customHeight="1" x14ac:dyDescent="0.25">
      <c r="A384" s="364" t="s">
        <v>280</v>
      </c>
      <c r="B384" s="455">
        <v>903</v>
      </c>
      <c r="C384" s="402" t="s">
        <v>203</v>
      </c>
      <c r="D384" s="402" t="s">
        <v>116</v>
      </c>
      <c r="E384" s="402" t="s">
        <v>744</v>
      </c>
      <c r="F384" s="402" t="s">
        <v>130</v>
      </c>
      <c r="G384" s="318">
        <f>37+26-37</f>
        <v>26</v>
      </c>
      <c r="H384" s="522"/>
      <c r="I384" s="334"/>
      <c r="J384" s="334"/>
    </row>
    <row r="385" spans="1:11" s="132" customFormat="1" ht="21.75" hidden="1" customHeight="1" x14ac:dyDescent="0.25">
      <c r="A385" s="24" t="s">
        <v>968</v>
      </c>
      <c r="B385" s="455">
        <v>903</v>
      </c>
      <c r="C385" s="402" t="s">
        <v>203</v>
      </c>
      <c r="D385" s="402" t="s">
        <v>116</v>
      </c>
      <c r="E385" s="402" t="s">
        <v>962</v>
      </c>
      <c r="F385" s="402"/>
      <c r="G385" s="318">
        <f>G386</f>
        <v>0</v>
      </c>
      <c r="H385" s="522"/>
      <c r="I385" s="334"/>
      <c r="J385" s="321"/>
    </row>
    <row r="386" spans="1:11" s="132" customFormat="1" ht="60.4" hidden="1" customHeight="1" x14ac:dyDescent="0.25">
      <c r="A386" s="364" t="s">
        <v>119</v>
      </c>
      <c r="B386" s="455">
        <v>903</v>
      </c>
      <c r="C386" s="402" t="s">
        <v>203</v>
      </c>
      <c r="D386" s="402" t="s">
        <v>116</v>
      </c>
      <c r="E386" s="402" t="s">
        <v>962</v>
      </c>
      <c r="F386" s="402" t="s">
        <v>120</v>
      </c>
      <c r="G386" s="318">
        <f>G387</f>
        <v>0</v>
      </c>
      <c r="H386" s="522"/>
      <c r="I386" s="334"/>
      <c r="J386" s="321"/>
    </row>
    <row r="387" spans="1:11" s="132" customFormat="1" ht="17.100000000000001" hidden="1" customHeight="1" x14ac:dyDescent="0.25">
      <c r="A387" s="364" t="s">
        <v>155</v>
      </c>
      <c r="B387" s="455">
        <v>903</v>
      </c>
      <c r="C387" s="402" t="s">
        <v>203</v>
      </c>
      <c r="D387" s="402" t="s">
        <v>116</v>
      </c>
      <c r="E387" s="402" t="s">
        <v>962</v>
      </c>
      <c r="F387" s="402" t="s">
        <v>156</v>
      </c>
      <c r="G387" s="318"/>
      <c r="H387" s="522"/>
      <c r="I387" s="334"/>
      <c r="J387" s="321"/>
    </row>
    <row r="388" spans="1:11" s="132" customFormat="1" ht="35.450000000000003" customHeight="1" x14ac:dyDescent="0.25">
      <c r="A388" s="143" t="s">
        <v>816</v>
      </c>
      <c r="B388" s="454">
        <v>903</v>
      </c>
      <c r="C388" s="414" t="s">
        <v>203</v>
      </c>
      <c r="D388" s="414" t="s">
        <v>116</v>
      </c>
      <c r="E388" s="414" t="s">
        <v>745</v>
      </c>
      <c r="F388" s="414"/>
      <c r="G388" s="314">
        <f>G389+G394</f>
        <v>725.3</v>
      </c>
      <c r="H388" s="522"/>
      <c r="I388" s="334"/>
      <c r="J388" s="321"/>
    </row>
    <row r="389" spans="1:11" ht="35.450000000000003" hidden="1" customHeight="1" x14ac:dyDescent="0.25">
      <c r="A389" s="24" t="s">
        <v>394</v>
      </c>
      <c r="B389" s="455">
        <v>903</v>
      </c>
      <c r="C389" s="402" t="s">
        <v>203</v>
      </c>
      <c r="D389" s="402" t="s">
        <v>116</v>
      </c>
      <c r="E389" s="402" t="s">
        <v>747</v>
      </c>
      <c r="F389" s="402"/>
      <c r="G389" s="20">
        <f>G392+G390</f>
        <v>0</v>
      </c>
      <c r="H389" s="522"/>
      <c r="I389" s="334"/>
      <c r="J389" s="321"/>
      <c r="K389" s="132"/>
    </row>
    <row r="390" spans="1:11" ht="66.2" hidden="1" customHeight="1" x14ac:dyDescent="0.25">
      <c r="A390" s="364" t="s">
        <v>119</v>
      </c>
      <c r="B390" s="455">
        <v>903</v>
      </c>
      <c r="C390" s="402" t="s">
        <v>203</v>
      </c>
      <c r="D390" s="402" t="s">
        <v>116</v>
      </c>
      <c r="E390" s="402" t="s">
        <v>747</v>
      </c>
      <c r="F390" s="402" t="s">
        <v>120</v>
      </c>
      <c r="G390" s="20">
        <f>G391</f>
        <v>0</v>
      </c>
      <c r="H390" s="522"/>
      <c r="I390" s="334"/>
      <c r="J390" s="321"/>
      <c r="K390" s="132"/>
    </row>
    <row r="391" spans="1:11" ht="20.25" hidden="1" customHeight="1" x14ac:dyDescent="0.25">
      <c r="A391" s="364" t="s">
        <v>155</v>
      </c>
      <c r="B391" s="455">
        <v>903</v>
      </c>
      <c r="C391" s="402" t="s">
        <v>203</v>
      </c>
      <c r="D391" s="402" t="s">
        <v>116</v>
      </c>
      <c r="E391" s="402" t="s">
        <v>747</v>
      </c>
      <c r="F391" s="402" t="s">
        <v>156</v>
      </c>
      <c r="G391" s="20">
        <f>280-280</f>
        <v>0</v>
      </c>
      <c r="H391" s="522"/>
      <c r="I391" s="334"/>
      <c r="J391" s="321"/>
      <c r="K391" s="132"/>
    </row>
    <row r="392" spans="1:11" ht="33.75" hidden="1" customHeight="1" x14ac:dyDescent="0.25">
      <c r="A392" s="364" t="s">
        <v>123</v>
      </c>
      <c r="B392" s="455">
        <v>903</v>
      </c>
      <c r="C392" s="402" t="s">
        <v>203</v>
      </c>
      <c r="D392" s="402" t="s">
        <v>116</v>
      </c>
      <c r="E392" s="402" t="s">
        <v>747</v>
      </c>
      <c r="F392" s="402" t="s">
        <v>124</v>
      </c>
      <c r="G392" s="20">
        <f>G393</f>
        <v>0</v>
      </c>
      <c r="H392" s="522"/>
      <c r="I392" s="334"/>
      <c r="J392" s="321"/>
      <c r="K392" s="132"/>
    </row>
    <row r="393" spans="1:11" ht="36.75" hidden="1" customHeight="1" x14ac:dyDescent="0.25">
      <c r="A393" s="364" t="s">
        <v>125</v>
      </c>
      <c r="B393" s="455">
        <v>903</v>
      </c>
      <c r="C393" s="402" t="s">
        <v>203</v>
      </c>
      <c r="D393" s="402" t="s">
        <v>116</v>
      </c>
      <c r="E393" s="402" t="s">
        <v>747</v>
      </c>
      <c r="F393" s="402" t="s">
        <v>126</v>
      </c>
      <c r="G393" s="20"/>
      <c r="H393" s="522"/>
      <c r="I393" s="334"/>
      <c r="J393" s="321"/>
      <c r="K393" s="132"/>
    </row>
    <row r="394" spans="1:11" s="363" customFormat="1" ht="31.5" x14ac:dyDescent="0.25">
      <c r="A394" s="364" t="s">
        <v>1193</v>
      </c>
      <c r="B394" s="455">
        <v>903</v>
      </c>
      <c r="C394" s="402" t="s">
        <v>203</v>
      </c>
      <c r="D394" s="402" t="s">
        <v>116</v>
      </c>
      <c r="E394" s="402" t="s">
        <v>1194</v>
      </c>
      <c r="F394" s="402"/>
      <c r="G394" s="20">
        <f>G395</f>
        <v>725.3</v>
      </c>
      <c r="H394" s="522"/>
      <c r="I394" s="334"/>
      <c r="J394" s="321"/>
    </row>
    <row r="395" spans="1:11" s="363" customFormat="1" ht="31.5" x14ac:dyDescent="0.25">
      <c r="A395" s="364" t="s">
        <v>191</v>
      </c>
      <c r="B395" s="455">
        <v>903</v>
      </c>
      <c r="C395" s="402" t="s">
        <v>203</v>
      </c>
      <c r="D395" s="402" t="s">
        <v>116</v>
      </c>
      <c r="E395" s="402" t="s">
        <v>1194</v>
      </c>
      <c r="F395" s="402" t="s">
        <v>192</v>
      </c>
      <c r="G395" s="20">
        <f>G396</f>
        <v>725.3</v>
      </c>
      <c r="H395" s="522"/>
      <c r="I395" s="334"/>
      <c r="J395" s="321"/>
    </row>
    <row r="396" spans="1:11" s="363" customFormat="1" ht="15.75" x14ac:dyDescent="0.25">
      <c r="A396" s="364" t="s">
        <v>193</v>
      </c>
      <c r="B396" s="455">
        <v>903</v>
      </c>
      <c r="C396" s="402" t="s">
        <v>203</v>
      </c>
      <c r="D396" s="402" t="s">
        <v>116</v>
      </c>
      <c r="E396" s="402" t="s">
        <v>1194</v>
      </c>
      <c r="F396" s="402" t="s">
        <v>194</v>
      </c>
      <c r="G396" s="20">
        <f>280+445.3</f>
        <v>725.3</v>
      </c>
      <c r="H396" s="522" t="s">
        <v>1314</v>
      </c>
      <c r="I396" s="334"/>
      <c r="J396" s="321"/>
    </row>
    <row r="397" spans="1:11" s="132" customFormat="1" ht="36.75" customHeight="1" x14ac:dyDescent="0.25">
      <c r="A397" s="315" t="s">
        <v>514</v>
      </c>
      <c r="B397" s="454">
        <v>903</v>
      </c>
      <c r="C397" s="414" t="s">
        <v>203</v>
      </c>
      <c r="D397" s="414" t="s">
        <v>116</v>
      </c>
      <c r="E397" s="414" t="s">
        <v>748</v>
      </c>
      <c r="F397" s="414"/>
      <c r="G397" s="30">
        <f>G398+G401</f>
        <v>903</v>
      </c>
      <c r="H397" s="522"/>
      <c r="I397" s="334"/>
      <c r="J397" s="321"/>
    </row>
    <row r="398" spans="1:11" s="132" customFormat="1" ht="36.75" customHeight="1" x14ac:dyDescent="0.25">
      <c r="A398" s="364" t="s">
        <v>416</v>
      </c>
      <c r="B398" s="455">
        <v>903</v>
      </c>
      <c r="C398" s="402" t="s">
        <v>203</v>
      </c>
      <c r="D398" s="402" t="s">
        <v>116</v>
      </c>
      <c r="E398" s="402" t="s">
        <v>749</v>
      </c>
      <c r="F398" s="402"/>
      <c r="G398" s="318">
        <f t="shared" ref="G398:G399" si="26">G399</f>
        <v>473</v>
      </c>
      <c r="H398" s="522"/>
      <c r="I398" s="334"/>
      <c r="J398" s="321"/>
    </row>
    <row r="399" spans="1:11" s="132" customFormat="1" ht="62.45" customHeight="1" x14ac:dyDescent="0.25">
      <c r="A399" s="364" t="s">
        <v>119</v>
      </c>
      <c r="B399" s="455">
        <v>903</v>
      </c>
      <c r="C399" s="402" t="s">
        <v>203</v>
      </c>
      <c r="D399" s="402" t="s">
        <v>116</v>
      </c>
      <c r="E399" s="402" t="s">
        <v>749</v>
      </c>
      <c r="F399" s="402" t="s">
        <v>120</v>
      </c>
      <c r="G399" s="318">
        <f t="shared" si="26"/>
        <v>473</v>
      </c>
      <c r="H399" s="522"/>
      <c r="I399" s="334"/>
      <c r="J399" s="321"/>
    </row>
    <row r="400" spans="1:11" s="132" customFormat="1" ht="36.75" customHeight="1" x14ac:dyDescent="0.25">
      <c r="A400" s="364" t="s">
        <v>121</v>
      </c>
      <c r="B400" s="455">
        <v>903</v>
      </c>
      <c r="C400" s="402" t="s">
        <v>203</v>
      </c>
      <c r="D400" s="402" t="s">
        <v>116</v>
      </c>
      <c r="E400" s="402" t="s">
        <v>749</v>
      </c>
      <c r="F400" s="402" t="s">
        <v>156</v>
      </c>
      <c r="G400" s="318">
        <f>903-430</f>
        <v>473</v>
      </c>
      <c r="H400" s="522"/>
      <c r="I400" s="334"/>
      <c r="J400" s="334"/>
    </row>
    <row r="401" spans="1:10" s="363" customFormat="1" ht="31.5" x14ac:dyDescent="0.25">
      <c r="A401" s="364" t="s">
        <v>344</v>
      </c>
      <c r="B401" s="455">
        <v>903</v>
      </c>
      <c r="C401" s="402" t="s">
        <v>203</v>
      </c>
      <c r="D401" s="402" t="s">
        <v>116</v>
      </c>
      <c r="E401" s="402" t="s">
        <v>1195</v>
      </c>
      <c r="F401" s="402"/>
      <c r="G401" s="318">
        <f>G402</f>
        <v>430</v>
      </c>
      <c r="H401" s="522"/>
      <c r="I401" s="334"/>
      <c r="J401" s="334"/>
    </row>
    <row r="402" spans="1:10" s="363" customFormat="1" ht="31.5" x14ac:dyDescent="0.25">
      <c r="A402" s="364" t="s">
        <v>191</v>
      </c>
      <c r="B402" s="455">
        <v>903</v>
      </c>
      <c r="C402" s="402" t="s">
        <v>203</v>
      </c>
      <c r="D402" s="402" t="s">
        <v>116</v>
      </c>
      <c r="E402" s="402" t="s">
        <v>1195</v>
      </c>
      <c r="F402" s="402" t="s">
        <v>192</v>
      </c>
      <c r="G402" s="318">
        <f>G403</f>
        <v>430</v>
      </c>
      <c r="H402" s="522"/>
      <c r="I402" s="334"/>
      <c r="J402" s="334"/>
    </row>
    <row r="403" spans="1:10" s="363" customFormat="1" ht="15.75" x14ac:dyDescent="0.25">
      <c r="A403" s="364" t="s">
        <v>193</v>
      </c>
      <c r="B403" s="455">
        <v>903</v>
      </c>
      <c r="C403" s="402" t="s">
        <v>203</v>
      </c>
      <c r="D403" s="402" t="s">
        <v>116</v>
      </c>
      <c r="E403" s="402" t="s">
        <v>1195</v>
      </c>
      <c r="F403" s="402" t="s">
        <v>194</v>
      </c>
      <c r="G403" s="318">
        <v>430</v>
      </c>
      <c r="H403" s="522"/>
      <c r="I403" s="334"/>
      <c r="J403" s="334"/>
    </row>
    <row r="404" spans="1:10" s="132" customFormat="1" ht="36.75" customHeight="1" x14ac:dyDescent="0.25">
      <c r="A404" s="144" t="s">
        <v>471</v>
      </c>
      <c r="B404" s="454">
        <v>903</v>
      </c>
      <c r="C404" s="414" t="s">
        <v>203</v>
      </c>
      <c r="D404" s="414" t="s">
        <v>116</v>
      </c>
      <c r="E404" s="414" t="s">
        <v>750</v>
      </c>
      <c r="F404" s="414"/>
      <c r="G404" s="314">
        <f>G405+G410</f>
        <v>2485</v>
      </c>
      <c r="H404" s="522"/>
      <c r="I404" s="334"/>
      <c r="J404" s="321"/>
    </row>
    <row r="405" spans="1:10" s="132" customFormat="1" ht="87" customHeight="1" x14ac:dyDescent="0.25">
      <c r="A405" s="24" t="s">
        <v>200</v>
      </c>
      <c r="B405" s="455">
        <v>903</v>
      </c>
      <c r="C405" s="402" t="s">
        <v>203</v>
      </c>
      <c r="D405" s="402" t="s">
        <v>116</v>
      </c>
      <c r="E405" s="402" t="s">
        <v>897</v>
      </c>
      <c r="F405" s="402"/>
      <c r="G405" s="318">
        <f>G406+G408</f>
        <v>2100.5</v>
      </c>
      <c r="H405" s="522"/>
      <c r="I405" s="334"/>
      <c r="J405" s="321"/>
    </row>
    <row r="406" spans="1:10" s="132" customFormat="1" ht="66.599999999999994" customHeight="1" x14ac:dyDescent="0.25">
      <c r="A406" s="364" t="s">
        <v>119</v>
      </c>
      <c r="B406" s="455">
        <v>903</v>
      </c>
      <c r="C406" s="402" t="s">
        <v>203</v>
      </c>
      <c r="D406" s="402" t="s">
        <v>116</v>
      </c>
      <c r="E406" s="402" t="s">
        <v>897</v>
      </c>
      <c r="F406" s="402" t="s">
        <v>120</v>
      </c>
      <c r="G406" s="318">
        <f>G407</f>
        <v>1204.3</v>
      </c>
      <c r="H406" s="522"/>
      <c r="I406" s="334"/>
      <c r="J406" s="321"/>
    </row>
    <row r="407" spans="1:10" s="132" customFormat="1" ht="21.75" customHeight="1" x14ac:dyDescent="0.25">
      <c r="A407" s="364" t="s">
        <v>155</v>
      </c>
      <c r="B407" s="455">
        <v>903</v>
      </c>
      <c r="C407" s="402" t="s">
        <v>203</v>
      </c>
      <c r="D407" s="402" t="s">
        <v>116</v>
      </c>
      <c r="E407" s="402" t="s">
        <v>897</v>
      </c>
      <c r="F407" s="402" t="s">
        <v>156</v>
      </c>
      <c r="G407" s="318">
        <f>2100.5-895.9-0.3</f>
        <v>1204.3</v>
      </c>
      <c r="H407" s="522" t="s">
        <v>1205</v>
      </c>
      <c r="I407" s="334"/>
      <c r="J407" s="321"/>
    </row>
    <row r="408" spans="1:10" s="363" customFormat="1" ht="31.15" customHeight="1" x14ac:dyDescent="0.25">
      <c r="A408" s="364" t="s">
        <v>191</v>
      </c>
      <c r="B408" s="455">
        <v>903</v>
      </c>
      <c r="C408" s="402" t="s">
        <v>203</v>
      </c>
      <c r="D408" s="402" t="s">
        <v>116</v>
      </c>
      <c r="E408" s="402" t="s">
        <v>897</v>
      </c>
      <c r="F408" s="402" t="s">
        <v>192</v>
      </c>
      <c r="G408" s="318">
        <f>G409</f>
        <v>896.19999999999993</v>
      </c>
      <c r="H408" s="522"/>
      <c r="I408" s="334"/>
      <c r="J408" s="321"/>
    </row>
    <row r="409" spans="1:10" s="363" customFormat="1" ht="21.75" customHeight="1" x14ac:dyDescent="0.25">
      <c r="A409" s="364" t="s">
        <v>193</v>
      </c>
      <c r="B409" s="455">
        <v>903</v>
      </c>
      <c r="C409" s="402" t="s">
        <v>203</v>
      </c>
      <c r="D409" s="402" t="s">
        <v>116</v>
      </c>
      <c r="E409" s="402" t="s">
        <v>897</v>
      </c>
      <c r="F409" s="402" t="s">
        <v>194</v>
      </c>
      <c r="G409" s="318">
        <f>895.9+0.3</f>
        <v>896.19999999999993</v>
      </c>
      <c r="H409" s="522" t="s">
        <v>1204</v>
      </c>
      <c r="I409" s="334"/>
      <c r="J409" s="321"/>
    </row>
    <row r="410" spans="1:10" s="132" customFormat="1" ht="69" customHeight="1" x14ac:dyDescent="0.25">
      <c r="A410" s="364" t="s">
        <v>207</v>
      </c>
      <c r="B410" s="455">
        <v>903</v>
      </c>
      <c r="C410" s="402" t="s">
        <v>203</v>
      </c>
      <c r="D410" s="402" t="s">
        <v>116</v>
      </c>
      <c r="E410" s="402" t="s">
        <v>808</v>
      </c>
      <c r="F410" s="402"/>
      <c r="G410" s="318">
        <f>G411</f>
        <v>384.5</v>
      </c>
      <c r="H410" s="522"/>
      <c r="I410" s="334"/>
      <c r="J410" s="321"/>
    </row>
    <row r="411" spans="1:10" s="132" customFormat="1" ht="72" customHeight="1" x14ac:dyDescent="0.25">
      <c r="A411" s="364" t="s">
        <v>119</v>
      </c>
      <c r="B411" s="455">
        <v>903</v>
      </c>
      <c r="C411" s="402" t="s">
        <v>203</v>
      </c>
      <c r="D411" s="402" t="s">
        <v>116</v>
      </c>
      <c r="E411" s="402" t="s">
        <v>808</v>
      </c>
      <c r="F411" s="402" t="s">
        <v>120</v>
      </c>
      <c r="G411" s="318">
        <f>G412</f>
        <v>384.5</v>
      </c>
      <c r="H411" s="522"/>
      <c r="I411" s="334"/>
      <c r="J411" s="321"/>
    </row>
    <row r="412" spans="1:10" s="132" customFormat="1" ht="19.5" customHeight="1" x14ac:dyDescent="0.25">
      <c r="A412" s="364" t="s">
        <v>155</v>
      </c>
      <c r="B412" s="455">
        <v>903</v>
      </c>
      <c r="C412" s="402" t="s">
        <v>203</v>
      </c>
      <c r="D412" s="402" t="s">
        <v>116</v>
      </c>
      <c r="E412" s="402" t="s">
        <v>808</v>
      </c>
      <c r="F412" s="402" t="s">
        <v>156</v>
      </c>
      <c r="G412" s="318">
        <v>384.5</v>
      </c>
      <c r="H412" s="522"/>
      <c r="I412" s="334"/>
      <c r="J412" s="321"/>
    </row>
    <row r="413" spans="1:10" s="132" customFormat="1" ht="33" customHeight="1" x14ac:dyDescent="0.25">
      <c r="A413" s="315" t="s">
        <v>473</v>
      </c>
      <c r="B413" s="454">
        <v>903</v>
      </c>
      <c r="C413" s="414" t="s">
        <v>203</v>
      </c>
      <c r="D413" s="414" t="s">
        <v>116</v>
      </c>
      <c r="E413" s="414" t="s">
        <v>753</v>
      </c>
      <c r="F413" s="414"/>
      <c r="G413" s="314">
        <f t="shared" ref="G413:G415" si="27">G414</f>
        <v>50</v>
      </c>
      <c r="H413" s="522"/>
      <c r="I413" s="334"/>
      <c r="J413" s="321"/>
    </row>
    <row r="414" spans="1:10" s="132" customFormat="1" ht="32.25" customHeight="1" x14ac:dyDescent="0.25">
      <c r="A414" s="364" t="s">
        <v>399</v>
      </c>
      <c r="B414" s="455">
        <v>903</v>
      </c>
      <c r="C414" s="402" t="s">
        <v>203</v>
      </c>
      <c r="D414" s="402" t="s">
        <v>116</v>
      </c>
      <c r="E414" s="402" t="s">
        <v>754</v>
      </c>
      <c r="F414" s="402"/>
      <c r="G414" s="318">
        <f t="shared" si="27"/>
        <v>50</v>
      </c>
      <c r="H414" s="522"/>
      <c r="I414" s="334"/>
      <c r="J414" s="321"/>
    </row>
    <row r="415" spans="1:10" s="132" customFormat="1" ht="33.75" customHeight="1" x14ac:dyDescent="0.25">
      <c r="A415" s="364" t="s">
        <v>123</v>
      </c>
      <c r="B415" s="455">
        <v>903</v>
      </c>
      <c r="C415" s="402" t="s">
        <v>203</v>
      </c>
      <c r="D415" s="402" t="s">
        <v>116</v>
      </c>
      <c r="E415" s="402" t="s">
        <v>754</v>
      </c>
      <c r="F415" s="402" t="s">
        <v>124</v>
      </c>
      <c r="G415" s="318">
        <f t="shared" si="27"/>
        <v>50</v>
      </c>
      <c r="H415" s="522"/>
      <c r="I415" s="334"/>
      <c r="J415" s="321"/>
    </row>
    <row r="416" spans="1:10" s="132" customFormat="1" ht="31.7" customHeight="1" x14ac:dyDescent="0.25">
      <c r="A416" s="364" t="s">
        <v>125</v>
      </c>
      <c r="B416" s="455">
        <v>903</v>
      </c>
      <c r="C416" s="402" t="s">
        <v>203</v>
      </c>
      <c r="D416" s="402" t="s">
        <v>116</v>
      </c>
      <c r="E416" s="402" t="s">
        <v>754</v>
      </c>
      <c r="F416" s="402" t="s">
        <v>126</v>
      </c>
      <c r="G416" s="318">
        <v>50</v>
      </c>
      <c r="H416" s="522"/>
      <c r="I416" s="334"/>
      <c r="J416" s="321"/>
    </row>
    <row r="417" spans="1:11" s="132" customFormat="1" ht="21.2" customHeight="1" x14ac:dyDescent="0.25">
      <c r="A417" s="315" t="s">
        <v>573</v>
      </c>
      <c r="B417" s="454">
        <v>903</v>
      </c>
      <c r="C417" s="414" t="s">
        <v>203</v>
      </c>
      <c r="D417" s="414" t="s">
        <v>116</v>
      </c>
      <c r="E417" s="414" t="s">
        <v>755</v>
      </c>
      <c r="F417" s="414"/>
      <c r="G417" s="314">
        <f>G418+G421</f>
        <v>63.95</v>
      </c>
      <c r="H417" s="522"/>
      <c r="I417" s="334"/>
      <c r="J417" s="321"/>
    </row>
    <row r="418" spans="1:11" ht="31.5" x14ac:dyDescent="0.25">
      <c r="A418" s="364" t="s">
        <v>963</v>
      </c>
      <c r="B418" s="455">
        <v>903</v>
      </c>
      <c r="C418" s="402" t="s">
        <v>203</v>
      </c>
      <c r="D418" s="402" t="s">
        <v>116</v>
      </c>
      <c r="E418" s="402" t="s">
        <v>756</v>
      </c>
      <c r="F418" s="402"/>
      <c r="G418" s="318">
        <f t="shared" ref="G418:G419" si="28">G419</f>
        <v>3.5</v>
      </c>
      <c r="H418" s="522"/>
      <c r="I418" s="334"/>
      <c r="J418" s="321"/>
      <c r="K418" s="132"/>
    </row>
    <row r="419" spans="1:11" ht="31.5" x14ac:dyDescent="0.25">
      <c r="A419" s="364" t="s">
        <v>123</v>
      </c>
      <c r="B419" s="455">
        <v>903</v>
      </c>
      <c r="C419" s="402" t="s">
        <v>203</v>
      </c>
      <c r="D419" s="402" t="s">
        <v>116</v>
      </c>
      <c r="E419" s="402" t="s">
        <v>756</v>
      </c>
      <c r="F419" s="402" t="s">
        <v>124</v>
      </c>
      <c r="G419" s="318">
        <f t="shared" si="28"/>
        <v>3.5</v>
      </c>
      <c r="H419" s="522"/>
      <c r="I419" s="334"/>
      <c r="J419" s="321"/>
      <c r="K419" s="132"/>
    </row>
    <row r="420" spans="1:11" ht="31.5" x14ac:dyDescent="0.25">
      <c r="A420" s="364" t="s">
        <v>125</v>
      </c>
      <c r="B420" s="455">
        <v>903</v>
      </c>
      <c r="C420" s="402" t="s">
        <v>203</v>
      </c>
      <c r="D420" s="402" t="s">
        <v>116</v>
      </c>
      <c r="E420" s="402" t="s">
        <v>756</v>
      </c>
      <c r="F420" s="402" t="s">
        <v>126</v>
      </c>
      <c r="G420" s="318">
        <v>3.5</v>
      </c>
      <c r="H420" s="522"/>
      <c r="I420" s="334"/>
      <c r="J420" s="321"/>
      <c r="K420" s="132"/>
    </row>
    <row r="421" spans="1:11" s="363" customFormat="1" ht="27.75" customHeight="1" x14ac:dyDescent="0.25">
      <c r="A421" s="364" t="s">
        <v>1137</v>
      </c>
      <c r="B421" s="455">
        <v>903</v>
      </c>
      <c r="C421" s="402" t="s">
        <v>203</v>
      </c>
      <c r="D421" s="402" t="s">
        <v>116</v>
      </c>
      <c r="E421" s="402" t="s">
        <v>1138</v>
      </c>
      <c r="F421" s="402"/>
      <c r="G421" s="318">
        <f>G422</f>
        <v>60.45</v>
      </c>
      <c r="H421" s="522"/>
      <c r="I421" s="334"/>
      <c r="J421" s="321"/>
    </row>
    <row r="422" spans="1:11" s="363" customFormat="1" ht="31.5" x14ac:dyDescent="0.25">
      <c r="A422" s="364" t="s">
        <v>123</v>
      </c>
      <c r="B422" s="455">
        <v>903</v>
      </c>
      <c r="C422" s="402" t="s">
        <v>203</v>
      </c>
      <c r="D422" s="402" t="s">
        <v>116</v>
      </c>
      <c r="E422" s="402" t="s">
        <v>1138</v>
      </c>
      <c r="F422" s="402" t="s">
        <v>124</v>
      </c>
      <c r="G422" s="318">
        <f>G423</f>
        <v>60.45</v>
      </c>
      <c r="H422" s="522"/>
      <c r="I422" s="334"/>
      <c r="J422" s="321"/>
    </row>
    <row r="423" spans="1:11" s="363" customFormat="1" ht="31.5" x14ac:dyDescent="0.25">
      <c r="A423" s="364" t="s">
        <v>125</v>
      </c>
      <c r="B423" s="455">
        <v>903</v>
      </c>
      <c r="C423" s="402" t="s">
        <v>203</v>
      </c>
      <c r="D423" s="402" t="s">
        <v>116</v>
      </c>
      <c r="E423" s="402" t="s">
        <v>1138</v>
      </c>
      <c r="F423" s="402" t="s">
        <v>126</v>
      </c>
      <c r="G423" s="318">
        <f>56.2+5.6-1.35</f>
        <v>60.45</v>
      </c>
      <c r="H423" s="522" t="s">
        <v>1218</v>
      </c>
      <c r="I423" s="334"/>
      <c r="J423" s="321"/>
    </row>
    <row r="424" spans="1:11" s="132" customFormat="1" ht="31.5" hidden="1" x14ac:dyDescent="0.25">
      <c r="A424" s="26" t="s">
        <v>1039</v>
      </c>
      <c r="B424" s="454">
        <v>903</v>
      </c>
      <c r="C424" s="414" t="s">
        <v>203</v>
      </c>
      <c r="D424" s="414" t="s">
        <v>116</v>
      </c>
      <c r="E424" s="414" t="s">
        <v>1041</v>
      </c>
      <c r="F424" s="414"/>
      <c r="G424" s="314">
        <f t="shared" ref="G424:G426" si="29">G425</f>
        <v>0</v>
      </c>
      <c r="H424" s="522"/>
      <c r="I424" s="334"/>
      <c r="J424" s="321"/>
    </row>
    <row r="425" spans="1:11" s="132" customFormat="1" ht="47.25" hidden="1" x14ac:dyDescent="0.25">
      <c r="A425" s="24" t="s">
        <v>1040</v>
      </c>
      <c r="B425" s="455">
        <v>903</v>
      </c>
      <c r="C425" s="402" t="s">
        <v>203</v>
      </c>
      <c r="D425" s="402" t="s">
        <v>116</v>
      </c>
      <c r="E425" s="402" t="s">
        <v>1042</v>
      </c>
      <c r="F425" s="402"/>
      <c r="G425" s="318">
        <f t="shared" si="29"/>
        <v>0</v>
      </c>
      <c r="H425" s="522"/>
      <c r="I425" s="334"/>
      <c r="J425" s="321"/>
    </row>
    <row r="426" spans="1:11" s="132" customFormat="1" ht="31.5" hidden="1" x14ac:dyDescent="0.25">
      <c r="A426" s="364" t="s">
        <v>123</v>
      </c>
      <c r="B426" s="455">
        <v>903</v>
      </c>
      <c r="C426" s="402" t="s">
        <v>203</v>
      </c>
      <c r="D426" s="402" t="s">
        <v>116</v>
      </c>
      <c r="E426" s="402" t="s">
        <v>1042</v>
      </c>
      <c r="F426" s="402" t="s">
        <v>124</v>
      </c>
      <c r="G426" s="318">
        <f t="shared" si="29"/>
        <v>0</v>
      </c>
      <c r="H426" s="522"/>
      <c r="I426" s="334"/>
      <c r="J426" s="321"/>
    </row>
    <row r="427" spans="1:11" s="132" customFormat="1" ht="31.5" hidden="1" x14ac:dyDescent="0.25">
      <c r="A427" s="364" t="s">
        <v>125</v>
      </c>
      <c r="B427" s="455">
        <v>903</v>
      </c>
      <c r="C427" s="402" t="s">
        <v>203</v>
      </c>
      <c r="D427" s="402" t="s">
        <v>116</v>
      </c>
      <c r="E427" s="402" t="s">
        <v>1042</v>
      </c>
      <c r="F427" s="402" t="s">
        <v>126</v>
      </c>
      <c r="G427" s="318">
        <f>1500-1500</f>
        <v>0</v>
      </c>
      <c r="H427" s="522"/>
      <c r="I427" s="334"/>
      <c r="J427" s="321"/>
    </row>
    <row r="428" spans="1:11" s="132" customFormat="1" ht="31.5" x14ac:dyDescent="0.25">
      <c r="A428" s="358" t="s">
        <v>725</v>
      </c>
      <c r="B428" s="454">
        <v>903</v>
      </c>
      <c r="C428" s="414" t="s">
        <v>203</v>
      </c>
      <c r="D428" s="414" t="s">
        <v>116</v>
      </c>
      <c r="E428" s="414" t="s">
        <v>751</v>
      </c>
      <c r="F428" s="414"/>
      <c r="G428" s="314">
        <f>G432</f>
        <v>10178.300000000001</v>
      </c>
      <c r="H428" s="522"/>
      <c r="I428" s="334"/>
      <c r="J428" s="321"/>
    </row>
    <row r="429" spans="1:11" s="363" customFormat="1" ht="31.5" hidden="1" x14ac:dyDescent="0.25">
      <c r="A429" s="354" t="s">
        <v>1103</v>
      </c>
      <c r="B429" s="455">
        <v>903</v>
      </c>
      <c r="C429" s="402" t="s">
        <v>203</v>
      </c>
      <c r="D429" s="402" t="s">
        <v>116</v>
      </c>
      <c r="E429" s="402" t="s">
        <v>1102</v>
      </c>
      <c r="F429" s="402"/>
      <c r="G429" s="318">
        <f>G430</f>
        <v>0</v>
      </c>
      <c r="H429" s="522"/>
      <c r="I429" s="334"/>
      <c r="J429" s="321"/>
    </row>
    <row r="430" spans="1:11" s="363" customFormat="1" ht="31.5" hidden="1" x14ac:dyDescent="0.25">
      <c r="A430" s="364" t="s">
        <v>123</v>
      </c>
      <c r="B430" s="455">
        <v>903</v>
      </c>
      <c r="C430" s="402" t="s">
        <v>203</v>
      </c>
      <c r="D430" s="402" t="s">
        <v>116</v>
      </c>
      <c r="E430" s="402" t="s">
        <v>1102</v>
      </c>
      <c r="F430" s="402" t="s">
        <v>124</v>
      </c>
      <c r="G430" s="318">
        <f>G431</f>
        <v>0</v>
      </c>
      <c r="H430" s="522"/>
      <c r="I430" s="334"/>
      <c r="J430" s="321"/>
    </row>
    <row r="431" spans="1:11" s="363" customFormat="1" ht="31.5" hidden="1" x14ac:dyDescent="0.25">
      <c r="A431" s="364" t="s">
        <v>125</v>
      </c>
      <c r="B431" s="455">
        <v>903</v>
      </c>
      <c r="C431" s="402" t="s">
        <v>203</v>
      </c>
      <c r="D431" s="402" t="s">
        <v>116</v>
      </c>
      <c r="E431" s="402" t="s">
        <v>1102</v>
      </c>
      <c r="F431" s="402" t="s">
        <v>126</v>
      </c>
      <c r="G431" s="314"/>
      <c r="H431" s="522"/>
      <c r="I431" s="334"/>
      <c r="J431" s="321"/>
    </row>
    <row r="432" spans="1:11" s="357" customFormat="1" ht="15.75" x14ac:dyDescent="0.25">
      <c r="A432" s="516" t="s">
        <v>1134</v>
      </c>
      <c r="B432" s="455">
        <v>903</v>
      </c>
      <c r="C432" s="402" t="s">
        <v>203</v>
      </c>
      <c r="D432" s="402" t="s">
        <v>116</v>
      </c>
      <c r="E432" s="402" t="s">
        <v>1135</v>
      </c>
      <c r="F432" s="414"/>
      <c r="G432" s="318">
        <f>G433</f>
        <v>10178.300000000001</v>
      </c>
      <c r="H432" s="522"/>
      <c r="I432" s="334"/>
      <c r="J432" s="321"/>
    </row>
    <row r="433" spans="1:11" s="357" customFormat="1" ht="31.5" x14ac:dyDescent="0.25">
      <c r="A433" s="364" t="s">
        <v>191</v>
      </c>
      <c r="B433" s="455">
        <v>903</v>
      </c>
      <c r="C433" s="402" t="s">
        <v>203</v>
      </c>
      <c r="D433" s="402" t="s">
        <v>116</v>
      </c>
      <c r="E433" s="402" t="s">
        <v>1135</v>
      </c>
      <c r="F433" s="402" t="s">
        <v>192</v>
      </c>
      <c r="G433" s="318">
        <f>G434</f>
        <v>10178.300000000001</v>
      </c>
      <c r="H433" s="522"/>
      <c r="I433" s="334"/>
      <c r="J433" s="321"/>
    </row>
    <row r="434" spans="1:11" s="357" customFormat="1" ht="15.75" x14ac:dyDescent="0.25">
      <c r="A434" s="364" t="s">
        <v>193</v>
      </c>
      <c r="B434" s="455">
        <v>903</v>
      </c>
      <c r="C434" s="402" t="s">
        <v>203</v>
      </c>
      <c r="D434" s="402" t="s">
        <v>116</v>
      </c>
      <c r="E434" s="402" t="s">
        <v>1135</v>
      </c>
      <c r="F434" s="402" t="s">
        <v>194</v>
      </c>
      <c r="G434" s="318">
        <f>10094.7+431.6-348</f>
        <v>10178.300000000001</v>
      </c>
      <c r="H434" s="522" t="s">
        <v>1313</v>
      </c>
      <c r="I434" s="334"/>
      <c r="J434" s="321"/>
    </row>
    <row r="435" spans="1:11" s="363" customFormat="1" ht="31.5" x14ac:dyDescent="0.25">
      <c r="A435" s="315" t="s">
        <v>1190</v>
      </c>
      <c r="B435" s="454">
        <v>903</v>
      </c>
      <c r="C435" s="414" t="s">
        <v>203</v>
      </c>
      <c r="D435" s="414" t="s">
        <v>116</v>
      </c>
      <c r="E435" s="414" t="s">
        <v>1188</v>
      </c>
      <c r="F435" s="414"/>
      <c r="G435" s="314">
        <f>G436</f>
        <v>120.9</v>
      </c>
      <c r="H435" s="522"/>
      <c r="I435" s="334"/>
      <c r="J435" s="321"/>
    </row>
    <row r="436" spans="1:11" s="132" customFormat="1" ht="15.75" x14ac:dyDescent="0.25">
      <c r="A436" s="70" t="s">
        <v>727</v>
      </c>
      <c r="B436" s="455">
        <v>903</v>
      </c>
      <c r="C436" s="402" t="s">
        <v>203</v>
      </c>
      <c r="D436" s="402" t="s">
        <v>116</v>
      </c>
      <c r="E436" s="402" t="s">
        <v>1189</v>
      </c>
      <c r="F436" s="402"/>
      <c r="G436" s="318">
        <f t="shared" ref="G436:G437" si="30">G437</f>
        <v>120.9</v>
      </c>
      <c r="H436" s="522"/>
      <c r="I436" s="334"/>
      <c r="J436" s="321"/>
    </row>
    <row r="437" spans="1:11" s="132" customFormat="1" ht="31.5" x14ac:dyDescent="0.25">
      <c r="A437" s="364" t="s">
        <v>123</v>
      </c>
      <c r="B437" s="455">
        <v>903</v>
      </c>
      <c r="C437" s="402" t="s">
        <v>203</v>
      </c>
      <c r="D437" s="402" t="s">
        <v>116</v>
      </c>
      <c r="E437" s="402" t="s">
        <v>1189</v>
      </c>
      <c r="F437" s="402" t="s">
        <v>124</v>
      </c>
      <c r="G437" s="318">
        <f t="shared" si="30"/>
        <v>120.9</v>
      </c>
      <c r="H437" s="522"/>
      <c r="I437" s="334"/>
      <c r="J437" s="321"/>
    </row>
    <row r="438" spans="1:11" s="132" customFormat="1" ht="31.5" x14ac:dyDescent="0.25">
      <c r="A438" s="364" t="s">
        <v>125</v>
      </c>
      <c r="B438" s="455">
        <v>903</v>
      </c>
      <c r="C438" s="402" t="s">
        <v>203</v>
      </c>
      <c r="D438" s="402" t="s">
        <v>116</v>
      </c>
      <c r="E438" s="402" t="s">
        <v>1189</v>
      </c>
      <c r="F438" s="402" t="s">
        <v>126</v>
      </c>
      <c r="G438" s="318">
        <f>112.4+11.3-2.8</f>
        <v>120.9</v>
      </c>
      <c r="H438" s="520" t="s">
        <v>1216</v>
      </c>
      <c r="I438" s="334"/>
      <c r="J438" s="321"/>
    </row>
    <row r="439" spans="1:11" ht="47.25" x14ac:dyDescent="0.25">
      <c r="A439" s="26" t="s">
        <v>922</v>
      </c>
      <c r="B439" s="454">
        <v>903</v>
      </c>
      <c r="C439" s="414" t="s">
        <v>203</v>
      </c>
      <c r="D439" s="414" t="s">
        <v>116</v>
      </c>
      <c r="E439" s="414" t="s">
        <v>206</v>
      </c>
      <c r="F439" s="414"/>
      <c r="G439" s="314">
        <f>G440</f>
        <v>10</v>
      </c>
      <c r="H439" s="522"/>
      <c r="I439" s="334"/>
      <c r="J439" s="321"/>
      <c r="K439" s="132"/>
    </row>
    <row r="440" spans="1:11" s="132" customFormat="1" ht="47.25" x14ac:dyDescent="0.25">
      <c r="A440" s="26" t="s">
        <v>588</v>
      </c>
      <c r="B440" s="454">
        <v>903</v>
      </c>
      <c r="C440" s="414" t="s">
        <v>203</v>
      </c>
      <c r="D440" s="414" t="s">
        <v>116</v>
      </c>
      <c r="E440" s="414" t="s">
        <v>504</v>
      </c>
      <c r="F440" s="414"/>
      <c r="G440" s="314">
        <f>G443+G444</f>
        <v>10</v>
      </c>
      <c r="H440" s="522"/>
      <c r="I440" s="334"/>
      <c r="J440" s="321"/>
    </row>
    <row r="441" spans="1:11" ht="47.25" x14ac:dyDescent="0.25">
      <c r="A441" s="24" t="s">
        <v>634</v>
      </c>
      <c r="B441" s="455">
        <v>903</v>
      </c>
      <c r="C441" s="402" t="s">
        <v>203</v>
      </c>
      <c r="D441" s="402" t="s">
        <v>116</v>
      </c>
      <c r="E441" s="402" t="s">
        <v>589</v>
      </c>
      <c r="F441" s="402"/>
      <c r="G441" s="318">
        <f>G442</f>
        <v>4</v>
      </c>
      <c r="H441" s="522"/>
      <c r="I441" s="334"/>
      <c r="J441" s="321"/>
      <c r="K441" s="132"/>
    </row>
    <row r="442" spans="1:11" ht="31.5" x14ac:dyDescent="0.25">
      <c r="A442" s="364" t="s">
        <v>123</v>
      </c>
      <c r="B442" s="455">
        <v>903</v>
      </c>
      <c r="C442" s="402" t="s">
        <v>203</v>
      </c>
      <c r="D442" s="402" t="s">
        <v>116</v>
      </c>
      <c r="E442" s="402" t="s">
        <v>589</v>
      </c>
      <c r="F442" s="402" t="s">
        <v>124</v>
      </c>
      <c r="G442" s="318">
        <f>G443</f>
        <v>4</v>
      </c>
      <c r="H442" s="522"/>
      <c r="I442" s="334"/>
      <c r="J442" s="321"/>
      <c r="K442" s="132"/>
    </row>
    <row r="443" spans="1:11" ht="31.5" x14ac:dyDescent="0.25">
      <c r="A443" s="364" t="s">
        <v>125</v>
      </c>
      <c r="B443" s="455">
        <v>903</v>
      </c>
      <c r="C443" s="402" t="s">
        <v>203</v>
      </c>
      <c r="D443" s="402" t="s">
        <v>116</v>
      </c>
      <c r="E443" s="402" t="s">
        <v>589</v>
      </c>
      <c r="F443" s="402" t="s">
        <v>126</v>
      </c>
      <c r="G443" s="318">
        <f>10-6</f>
        <v>4</v>
      </c>
      <c r="H443" s="522"/>
      <c r="I443" s="334"/>
      <c r="J443" s="321"/>
      <c r="K443" s="132"/>
    </row>
    <row r="444" spans="1:11" s="363" customFormat="1" ht="47.25" x14ac:dyDescent="0.25">
      <c r="A444" s="364" t="s">
        <v>571</v>
      </c>
      <c r="B444" s="455">
        <v>903</v>
      </c>
      <c r="C444" s="402" t="s">
        <v>203</v>
      </c>
      <c r="D444" s="402" t="s">
        <v>116</v>
      </c>
      <c r="E444" s="402" t="s">
        <v>505</v>
      </c>
      <c r="F444" s="402"/>
      <c r="G444" s="318">
        <f>G445</f>
        <v>6</v>
      </c>
      <c r="H444" s="522"/>
      <c r="I444" s="334"/>
      <c r="J444" s="321"/>
    </row>
    <row r="445" spans="1:11" s="363" customFormat="1" ht="31.5" x14ac:dyDescent="0.25">
      <c r="A445" s="364" t="s">
        <v>191</v>
      </c>
      <c r="B445" s="455">
        <v>903</v>
      </c>
      <c r="C445" s="402" t="s">
        <v>203</v>
      </c>
      <c r="D445" s="402" t="s">
        <v>116</v>
      </c>
      <c r="E445" s="402" t="s">
        <v>505</v>
      </c>
      <c r="F445" s="402" t="s">
        <v>192</v>
      </c>
      <c r="G445" s="318">
        <f>G446</f>
        <v>6</v>
      </c>
      <c r="H445" s="522"/>
      <c r="I445" s="334"/>
      <c r="J445" s="321"/>
    </row>
    <row r="446" spans="1:11" s="363" customFormat="1" ht="15.75" x14ac:dyDescent="0.25">
      <c r="A446" s="364" t="s">
        <v>193</v>
      </c>
      <c r="B446" s="455">
        <v>903</v>
      </c>
      <c r="C446" s="402" t="s">
        <v>203</v>
      </c>
      <c r="D446" s="402" t="s">
        <v>116</v>
      </c>
      <c r="E446" s="402" t="s">
        <v>505</v>
      </c>
      <c r="F446" s="402" t="s">
        <v>194</v>
      </c>
      <c r="G446" s="318">
        <v>6</v>
      </c>
      <c r="H446" s="522"/>
      <c r="I446" s="334"/>
      <c r="J446" s="321"/>
    </row>
    <row r="447" spans="1:11" ht="47.25" x14ac:dyDescent="0.25">
      <c r="A447" s="359" t="s">
        <v>844</v>
      </c>
      <c r="B447" s="454">
        <v>903</v>
      </c>
      <c r="C447" s="414" t="s">
        <v>203</v>
      </c>
      <c r="D447" s="414" t="s">
        <v>116</v>
      </c>
      <c r="E447" s="414" t="s">
        <v>339</v>
      </c>
      <c r="F447" s="464"/>
      <c r="G447" s="314">
        <f t="shared" ref="G447:G450" si="31">G448</f>
        <v>878.7</v>
      </c>
      <c r="H447" s="522"/>
      <c r="I447" s="334"/>
      <c r="J447" s="321"/>
      <c r="K447" s="132"/>
    </row>
    <row r="448" spans="1:11" s="132" customFormat="1" ht="47.25" x14ac:dyDescent="0.25">
      <c r="A448" s="359" t="s">
        <v>463</v>
      </c>
      <c r="B448" s="454">
        <v>903</v>
      </c>
      <c r="C448" s="414" t="s">
        <v>203</v>
      </c>
      <c r="D448" s="414" t="s">
        <v>116</v>
      </c>
      <c r="E448" s="414" t="s">
        <v>461</v>
      </c>
      <c r="F448" s="464"/>
      <c r="G448" s="314">
        <f>G449+G452</f>
        <v>878.7</v>
      </c>
      <c r="H448" s="522"/>
      <c r="I448" s="334"/>
      <c r="J448" s="321"/>
    </row>
    <row r="449" spans="1:11" ht="31.5" x14ac:dyDescent="0.25">
      <c r="A449" s="70" t="s">
        <v>585</v>
      </c>
      <c r="B449" s="455">
        <v>903</v>
      </c>
      <c r="C449" s="402" t="s">
        <v>203</v>
      </c>
      <c r="D449" s="402" t="s">
        <v>116</v>
      </c>
      <c r="E449" s="402" t="s">
        <v>462</v>
      </c>
      <c r="F449" s="467"/>
      <c r="G449" s="318">
        <f t="shared" si="31"/>
        <v>506.80000000000007</v>
      </c>
      <c r="H449" s="522"/>
      <c r="I449" s="334"/>
      <c r="J449" s="321"/>
      <c r="K449" s="132"/>
    </row>
    <row r="450" spans="1:11" ht="31.5" x14ac:dyDescent="0.25">
      <c r="A450" s="364" t="s">
        <v>123</v>
      </c>
      <c r="B450" s="455">
        <v>903</v>
      </c>
      <c r="C450" s="402" t="s">
        <v>203</v>
      </c>
      <c r="D450" s="402" t="s">
        <v>116</v>
      </c>
      <c r="E450" s="402" t="s">
        <v>462</v>
      </c>
      <c r="F450" s="467" t="s">
        <v>124</v>
      </c>
      <c r="G450" s="318">
        <f t="shared" si="31"/>
        <v>506.80000000000007</v>
      </c>
      <c r="H450" s="522"/>
      <c r="I450" s="334"/>
      <c r="J450" s="321"/>
      <c r="K450" s="132"/>
    </row>
    <row r="451" spans="1:11" ht="31.5" x14ac:dyDescent="0.25">
      <c r="A451" s="364" t="s">
        <v>125</v>
      </c>
      <c r="B451" s="455">
        <v>903</v>
      </c>
      <c r="C451" s="402" t="s">
        <v>203</v>
      </c>
      <c r="D451" s="402" t="s">
        <v>116</v>
      </c>
      <c r="E451" s="402" t="s">
        <v>462</v>
      </c>
      <c r="F451" s="467" t="s">
        <v>126</v>
      </c>
      <c r="G451" s="318">
        <f>878.7-371.9</f>
        <v>506.80000000000007</v>
      </c>
      <c r="H451" s="522"/>
      <c r="I451" s="334"/>
      <c r="J451" s="321"/>
      <c r="K451" s="132"/>
    </row>
    <row r="452" spans="1:11" s="363" customFormat="1" ht="47.25" x14ac:dyDescent="0.25">
      <c r="A452" s="364" t="s">
        <v>359</v>
      </c>
      <c r="B452" s="455">
        <v>903</v>
      </c>
      <c r="C452" s="402" t="s">
        <v>203</v>
      </c>
      <c r="D452" s="402" t="s">
        <v>116</v>
      </c>
      <c r="E452" s="402" t="s">
        <v>506</v>
      </c>
      <c r="F452" s="467"/>
      <c r="G452" s="318">
        <f>G453</f>
        <v>371.9</v>
      </c>
      <c r="H452" s="522"/>
      <c r="I452" s="334"/>
      <c r="J452" s="321"/>
    </row>
    <row r="453" spans="1:11" s="363" customFormat="1" ht="31.5" x14ac:dyDescent="0.25">
      <c r="A453" s="364" t="s">
        <v>191</v>
      </c>
      <c r="B453" s="455">
        <v>903</v>
      </c>
      <c r="C453" s="402" t="s">
        <v>203</v>
      </c>
      <c r="D453" s="402" t="s">
        <v>116</v>
      </c>
      <c r="E453" s="402" t="s">
        <v>506</v>
      </c>
      <c r="F453" s="467" t="s">
        <v>192</v>
      </c>
      <c r="G453" s="318">
        <f>G454</f>
        <v>371.9</v>
      </c>
      <c r="H453" s="522"/>
      <c r="I453" s="334"/>
      <c r="J453" s="321"/>
    </row>
    <row r="454" spans="1:11" s="363" customFormat="1" ht="15.75" x14ac:dyDescent="0.25">
      <c r="A454" s="364" t="s">
        <v>193</v>
      </c>
      <c r="B454" s="455">
        <v>903</v>
      </c>
      <c r="C454" s="402" t="s">
        <v>203</v>
      </c>
      <c r="D454" s="402" t="s">
        <v>116</v>
      </c>
      <c r="E454" s="402" t="s">
        <v>506</v>
      </c>
      <c r="F454" s="467" t="s">
        <v>194</v>
      </c>
      <c r="G454" s="318">
        <v>371.9</v>
      </c>
      <c r="H454" s="522"/>
      <c r="I454" s="334"/>
      <c r="J454" s="321"/>
    </row>
    <row r="455" spans="1:11" ht="15.75" x14ac:dyDescent="0.25">
      <c r="A455" s="315" t="s">
        <v>208</v>
      </c>
      <c r="B455" s="454">
        <v>903</v>
      </c>
      <c r="C455" s="414" t="s">
        <v>203</v>
      </c>
      <c r="D455" s="414" t="s">
        <v>139</v>
      </c>
      <c r="E455" s="414"/>
      <c r="F455" s="414"/>
      <c r="G455" s="314">
        <f>G456+G469+G485+G491</f>
        <v>21280.9</v>
      </c>
      <c r="H455" s="522"/>
      <c r="I455" s="334"/>
      <c r="J455" s="321"/>
      <c r="K455" s="132"/>
    </row>
    <row r="456" spans="1:11" s="132" customFormat="1" ht="31.5" x14ac:dyDescent="0.25">
      <c r="A456" s="315" t="s">
        <v>488</v>
      </c>
      <c r="B456" s="454">
        <v>903</v>
      </c>
      <c r="C456" s="414" t="s">
        <v>203</v>
      </c>
      <c r="D456" s="414" t="s">
        <v>139</v>
      </c>
      <c r="E456" s="414" t="s">
        <v>434</v>
      </c>
      <c r="F456" s="414"/>
      <c r="G456" s="314">
        <f>G457</f>
        <v>8557.3000000000011</v>
      </c>
      <c r="H456" s="522"/>
      <c r="I456" s="334"/>
      <c r="J456" s="321"/>
    </row>
    <row r="457" spans="1:11" s="132" customFormat="1" ht="15.75" x14ac:dyDescent="0.25">
      <c r="A457" s="315" t="s">
        <v>489</v>
      </c>
      <c r="B457" s="454">
        <v>903</v>
      </c>
      <c r="C457" s="414" t="s">
        <v>203</v>
      </c>
      <c r="D457" s="414" t="s">
        <v>139</v>
      </c>
      <c r="E457" s="414" t="s">
        <v>435</v>
      </c>
      <c r="F457" s="414"/>
      <c r="G457" s="314">
        <f>G458+G466+G463</f>
        <v>8557.3000000000011</v>
      </c>
      <c r="H457" s="522"/>
      <c r="I457" s="334"/>
      <c r="J457" s="321"/>
    </row>
    <row r="458" spans="1:11" s="132" customFormat="1" ht="31.5" x14ac:dyDescent="0.25">
      <c r="A458" s="364" t="s">
        <v>468</v>
      </c>
      <c r="B458" s="455">
        <v>903</v>
      </c>
      <c r="C458" s="402" t="s">
        <v>203</v>
      </c>
      <c r="D458" s="402" t="s">
        <v>139</v>
      </c>
      <c r="E458" s="402" t="s">
        <v>436</v>
      </c>
      <c r="F458" s="402"/>
      <c r="G458" s="318">
        <f>G459+G461</f>
        <v>7179.1</v>
      </c>
      <c r="H458" s="522"/>
      <c r="I458" s="334"/>
      <c r="J458" s="321"/>
    </row>
    <row r="459" spans="1:11" s="132" customFormat="1" ht="63" x14ac:dyDescent="0.25">
      <c r="A459" s="364" t="s">
        <v>119</v>
      </c>
      <c r="B459" s="455">
        <v>903</v>
      </c>
      <c r="C459" s="402" t="s">
        <v>203</v>
      </c>
      <c r="D459" s="402" t="s">
        <v>139</v>
      </c>
      <c r="E459" s="402" t="s">
        <v>436</v>
      </c>
      <c r="F459" s="402" t="s">
        <v>120</v>
      </c>
      <c r="G459" s="318">
        <f>G460</f>
        <v>7179.1</v>
      </c>
      <c r="H459" s="522"/>
      <c r="I459" s="334"/>
      <c r="J459" s="321"/>
    </row>
    <row r="460" spans="1:11" s="132" customFormat="1" ht="31.5" x14ac:dyDescent="0.25">
      <c r="A460" s="364" t="s">
        <v>121</v>
      </c>
      <c r="B460" s="455">
        <v>903</v>
      </c>
      <c r="C460" s="402" t="s">
        <v>203</v>
      </c>
      <c r="D460" s="402" t="s">
        <v>139</v>
      </c>
      <c r="E460" s="402" t="s">
        <v>436</v>
      </c>
      <c r="F460" s="402" t="s">
        <v>122</v>
      </c>
      <c r="G460" s="20">
        <f>7119.6+59.5</f>
        <v>7179.1</v>
      </c>
      <c r="H460" s="522" t="s">
        <v>1242</v>
      </c>
      <c r="I460" s="334" t="s">
        <v>1243</v>
      </c>
      <c r="J460" s="334"/>
    </row>
    <row r="461" spans="1:11" s="132" customFormat="1" ht="31.5" hidden="1" x14ac:dyDescent="0.25">
      <c r="A461" s="364" t="s">
        <v>123</v>
      </c>
      <c r="B461" s="455">
        <v>903</v>
      </c>
      <c r="C461" s="402" t="s">
        <v>203</v>
      </c>
      <c r="D461" s="402" t="s">
        <v>139</v>
      </c>
      <c r="E461" s="402" t="s">
        <v>436</v>
      </c>
      <c r="F461" s="402" t="s">
        <v>124</v>
      </c>
      <c r="G461" s="318">
        <f>G462</f>
        <v>0</v>
      </c>
      <c r="H461" s="522"/>
      <c r="I461" s="334"/>
      <c r="J461" s="321"/>
    </row>
    <row r="462" spans="1:11" s="132" customFormat="1" ht="31.5" hidden="1" x14ac:dyDescent="0.25">
      <c r="A462" s="364" t="s">
        <v>125</v>
      </c>
      <c r="B462" s="455">
        <v>903</v>
      </c>
      <c r="C462" s="402" t="s">
        <v>203</v>
      </c>
      <c r="D462" s="402" t="s">
        <v>139</v>
      </c>
      <c r="E462" s="402" t="s">
        <v>436</v>
      </c>
      <c r="F462" s="402" t="s">
        <v>126</v>
      </c>
      <c r="G462" s="318"/>
      <c r="H462" s="522"/>
      <c r="I462" s="334"/>
      <c r="J462" s="321"/>
    </row>
    <row r="463" spans="1:11" s="132" customFormat="1" ht="31.5" x14ac:dyDescent="0.25">
      <c r="A463" s="364" t="s">
        <v>417</v>
      </c>
      <c r="B463" s="455">
        <v>903</v>
      </c>
      <c r="C463" s="402" t="s">
        <v>203</v>
      </c>
      <c r="D463" s="402" t="s">
        <v>139</v>
      </c>
      <c r="E463" s="402" t="s">
        <v>437</v>
      </c>
      <c r="F463" s="402"/>
      <c r="G463" s="318">
        <f>G464</f>
        <v>948.2</v>
      </c>
      <c r="H463" s="522"/>
      <c r="I463" s="334"/>
      <c r="J463" s="321"/>
    </row>
    <row r="464" spans="1:11" s="132" customFormat="1" ht="63" x14ac:dyDescent="0.25">
      <c r="A464" s="364" t="s">
        <v>119</v>
      </c>
      <c r="B464" s="455">
        <v>903</v>
      </c>
      <c r="C464" s="402" t="s">
        <v>203</v>
      </c>
      <c r="D464" s="402" t="s">
        <v>139</v>
      </c>
      <c r="E464" s="402" t="s">
        <v>437</v>
      </c>
      <c r="F464" s="402" t="s">
        <v>120</v>
      </c>
      <c r="G464" s="318">
        <f>G465</f>
        <v>948.2</v>
      </c>
      <c r="H464" s="522"/>
      <c r="I464" s="334"/>
      <c r="J464" s="321"/>
    </row>
    <row r="465" spans="1:11" s="132" customFormat="1" ht="31.5" x14ac:dyDescent="0.25">
      <c r="A465" s="364" t="s">
        <v>121</v>
      </c>
      <c r="B465" s="455">
        <v>903</v>
      </c>
      <c r="C465" s="402" t="s">
        <v>203</v>
      </c>
      <c r="D465" s="402" t="s">
        <v>139</v>
      </c>
      <c r="E465" s="402" t="s">
        <v>437</v>
      </c>
      <c r="F465" s="402" t="s">
        <v>122</v>
      </c>
      <c r="G465" s="318">
        <v>948.2</v>
      </c>
      <c r="H465" s="522"/>
      <c r="I465" s="334"/>
      <c r="J465" s="321"/>
    </row>
    <row r="466" spans="1:11" s="132" customFormat="1" ht="31.5" x14ac:dyDescent="0.25">
      <c r="A466" s="364" t="s">
        <v>416</v>
      </c>
      <c r="B466" s="455">
        <v>903</v>
      </c>
      <c r="C466" s="402" t="s">
        <v>203</v>
      </c>
      <c r="D466" s="402" t="s">
        <v>139</v>
      </c>
      <c r="E466" s="402" t="s">
        <v>438</v>
      </c>
      <c r="F466" s="402"/>
      <c r="G466" s="318">
        <f>G467</f>
        <v>430</v>
      </c>
      <c r="H466" s="522"/>
      <c r="I466" s="334"/>
      <c r="J466" s="321"/>
    </row>
    <row r="467" spans="1:11" s="132" customFormat="1" ht="63" x14ac:dyDescent="0.25">
      <c r="A467" s="364" t="s">
        <v>119</v>
      </c>
      <c r="B467" s="455">
        <v>903</v>
      </c>
      <c r="C467" s="402" t="s">
        <v>203</v>
      </c>
      <c r="D467" s="402" t="s">
        <v>139</v>
      </c>
      <c r="E467" s="402" t="s">
        <v>438</v>
      </c>
      <c r="F467" s="402" t="s">
        <v>120</v>
      </c>
      <c r="G467" s="318">
        <f>G468</f>
        <v>430</v>
      </c>
      <c r="H467" s="522"/>
      <c r="I467" s="334"/>
      <c r="J467" s="321"/>
    </row>
    <row r="468" spans="1:11" s="132" customFormat="1" ht="31.5" x14ac:dyDescent="0.25">
      <c r="A468" s="364" t="s">
        <v>121</v>
      </c>
      <c r="B468" s="455">
        <v>903</v>
      </c>
      <c r="C468" s="402" t="s">
        <v>203</v>
      </c>
      <c r="D468" s="402" t="s">
        <v>139</v>
      </c>
      <c r="E468" s="402" t="s">
        <v>438</v>
      </c>
      <c r="F468" s="402" t="s">
        <v>122</v>
      </c>
      <c r="G468" s="318">
        <v>430</v>
      </c>
      <c r="H468" s="522"/>
      <c r="I468" s="334"/>
      <c r="J468" s="321"/>
    </row>
    <row r="469" spans="1:11" s="132" customFormat="1" ht="15.75" x14ac:dyDescent="0.25">
      <c r="A469" s="315" t="s">
        <v>497</v>
      </c>
      <c r="B469" s="454">
        <v>903</v>
      </c>
      <c r="C469" s="414" t="s">
        <v>203</v>
      </c>
      <c r="D469" s="414" t="s">
        <v>139</v>
      </c>
      <c r="E469" s="414" t="s">
        <v>442</v>
      </c>
      <c r="F469" s="414"/>
      <c r="G469" s="314">
        <f>G474+G470</f>
        <v>12463.6</v>
      </c>
      <c r="H469" s="522"/>
      <c r="I469" s="334"/>
      <c r="J469" s="321"/>
    </row>
    <row r="470" spans="1:11" s="132" customFormat="1" ht="31.5" hidden="1" x14ac:dyDescent="0.25">
      <c r="A470" s="26" t="s">
        <v>446</v>
      </c>
      <c r="B470" s="454">
        <v>903</v>
      </c>
      <c r="C470" s="414" t="s">
        <v>203</v>
      </c>
      <c r="D470" s="414" t="s">
        <v>139</v>
      </c>
      <c r="E470" s="414" t="s">
        <v>441</v>
      </c>
      <c r="F470" s="414"/>
      <c r="G470" s="314">
        <f t="shared" ref="G470:G472" si="32">G471</f>
        <v>0</v>
      </c>
      <c r="H470" s="522"/>
      <c r="I470" s="334"/>
      <c r="J470" s="321"/>
    </row>
    <row r="471" spans="1:11" s="132" customFormat="1" ht="50.25" hidden="1" customHeight="1" x14ac:dyDescent="0.25">
      <c r="A471" s="24" t="s">
        <v>1057</v>
      </c>
      <c r="B471" s="455">
        <v>903</v>
      </c>
      <c r="C471" s="402" t="s">
        <v>203</v>
      </c>
      <c r="D471" s="402" t="s">
        <v>139</v>
      </c>
      <c r="E471" s="402" t="s">
        <v>1056</v>
      </c>
      <c r="F471" s="402"/>
      <c r="G471" s="318">
        <f t="shared" si="32"/>
        <v>0</v>
      </c>
      <c r="H471" s="522"/>
      <c r="I471" s="334"/>
      <c r="J471" s="321"/>
    </row>
    <row r="472" spans="1:11" s="132" customFormat="1" ht="31.5" hidden="1" x14ac:dyDescent="0.25">
      <c r="A472" s="364" t="s">
        <v>123</v>
      </c>
      <c r="B472" s="455">
        <v>903</v>
      </c>
      <c r="C472" s="402" t="s">
        <v>203</v>
      </c>
      <c r="D472" s="402" t="s">
        <v>139</v>
      </c>
      <c r="E472" s="402" t="s">
        <v>1056</v>
      </c>
      <c r="F472" s="402" t="s">
        <v>124</v>
      </c>
      <c r="G472" s="318">
        <f t="shared" si="32"/>
        <v>0</v>
      </c>
      <c r="H472" s="522"/>
      <c r="I472" s="334"/>
      <c r="J472" s="321"/>
    </row>
    <row r="473" spans="1:11" s="132" customFormat="1" ht="31.5" hidden="1" x14ac:dyDescent="0.25">
      <c r="A473" s="364" t="s">
        <v>125</v>
      </c>
      <c r="B473" s="455">
        <v>903</v>
      </c>
      <c r="C473" s="402" t="s">
        <v>203</v>
      </c>
      <c r="D473" s="402" t="s">
        <v>139</v>
      </c>
      <c r="E473" s="402" t="s">
        <v>1056</v>
      </c>
      <c r="F473" s="402" t="s">
        <v>126</v>
      </c>
      <c r="G473" s="318"/>
      <c r="H473" s="527"/>
      <c r="I473" s="334"/>
      <c r="J473" s="321"/>
    </row>
    <row r="474" spans="1:11" s="132" customFormat="1" ht="15.75" x14ac:dyDescent="0.25">
      <c r="A474" s="315" t="s">
        <v>1105</v>
      </c>
      <c r="B474" s="454">
        <v>903</v>
      </c>
      <c r="C474" s="414" t="s">
        <v>203</v>
      </c>
      <c r="D474" s="414" t="s">
        <v>139</v>
      </c>
      <c r="E474" s="414" t="s">
        <v>518</v>
      </c>
      <c r="F474" s="414"/>
      <c r="G474" s="314">
        <f>G475+G478</f>
        <v>12463.6</v>
      </c>
      <c r="H474" s="528"/>
      <c r="I474" s="334"/>
      <c r="J474" s="321"/>
    </row>
    <row r="475" spans="1:11" s="132" customFormat="1" ht="31.5" x14ac:dyDescent="0.25">
      <c r="A475" s="364" t="s">
        <v>416</v>
      </c>
      <c r="B475" s="455">
        <v>903</v>
      </c>
      <c r="C475" s="402" t="s">
        <v>203</v>
      </c>
      <c r="D475" s="402" t="s">
        <v>139</v>
      </c>
      <c r="E475" s="402" t="s">
        <v>521</v>
      </c>
      <c r="F475" s="402"/>
      <c r="G475" s="318">
        <f>G476</f>
        <v>215</v>
      </c>
      <c r="H475" s="529"/>
      <c r="I475" s="334"/>
      <c r="J475" s="321"/>
    </row>
    <row r="476" spans="1:11" s="132" customFormat="1" ht="63" x14ac:dyDescent="0.25">
      <c r="A476" s="364" t="s">
        <v>119</v>
      </c>
      <c r="B476" s="455">
        <v>903</v>
      </c>
      <c r="C476" s="402" t="s">
        <v>203</v>
      </c>
      <c r="D476" s="402" t="s">
        <v>139</v>
      </c>
      <c r="E476" s="402" t="s">
        <v>521</v>
      </c>
      <c r="F476" s="402" t="s">
        <v>120</v>
      </c>
      <c r="G476" s="318">
        <f>G477</f>
        <v>215</v>
      </c>
      <c r="H476" s="529"/>
      <c r="I476" s="334"/>
      <c r="J476" s="321"/>
    </row>
    <row r="477" spans="1:11" s="132" customFormat="1" ht="15.75" x14ac:dyDescent="0.25">
      <c r="A477" s="364" t="s">
        <v>212</v>
      </c>
      <c r="B477" s="455">
        <v>903</v>
      </c>
      <c r="C477" s="402" t="s">
        <v>203</v>
      </c>
      <c r="D477" s="402" t="s">
        <v>139</v>
      </c>
      <c r="E477" s="402" t="s">
        <v>521</v>
      </c>
      <c r="F477" s="402" t="s">
        <v>156</v>
      </c>
      <c r="G477" s="318">
        <v>215</v>
      </c>
      <c r="H477" s="529"/>
      <c r="I477" s="334"/>
      <c r="J477" s="321"/>
    </row>
    <row r="478" spans="1:11" s="132" customFormat="1" ht="15.75" x14ac:dyDescent="0.25">
      <c r="A478" s="364" t="s">
        <v>379</v>
      </c>
      <c r="B478" s="455">
        <v>903</v>
      </c>
      <c r="C478" s="402" t="s">
        <v>203</v>
      </c>
      <c r="D478" s="402" t="s">
        <v>139</v>
      </c>
      <c r="E478" s="402" t="s">
        <v>520</v>
      </c>
      <c r="F478" s="402"/>
      <c r="G478" s="318">
        <f>G479+G481+G483</f>
        <v>12248.6</v>
      </c>
      <c r="H478" s="522"/>
      <c r="I478" s="334"/>
      <c r="J478" s="321"/>
    </row>
    <row r="479" spans="1:11" s="132" customFormat="1" ht="63" x14ac:dyDescent="0.25">
      <c r="A479" s="364" t="s">
        <v>119</v>
      </c>
      <c r="B479" s="455">
        <v>903</v>
      </c>
      <c r="C479" s="402" t="s">
        <v>203</v>
      </c>
      <c r="D479" s="402" t="s">
        <v>139</v>
      </c>
      <c r="E479" s="402" t="s">
        <v>520</v>
      </c>
      <c r="F479" s="402" t="s">
        <v>120</v>
      </c>
      <c r="G479" s="318">
        <f>G480</f>
        <v>10294.5</v>
      </c>
      <c r="H479" s="522"/>
      <c r="I479" s="334"/>
      <c r="J479" s="321"/>
    </row>
    <row r="480" spans="1:11" s="132" customFormat="1" ht="21.2" customHeight="1" x14ac:dyDescent="0.25">
      <c r="A480" s="364" t="s">
        <v>212</v>
      </c>
      <c r="B480" s="455">
        <v>903</v>
      </c>
      <c r="C480" s="402" t="s">
        <v>203</v>
      </c>
      <c r="D480" s="402" t="s">
        <v>139</v>
      </c>
      <c r="E480" s="402" t="s">
        <v>520</v>
      </c>
      <c r="F480" s="402" t="s">
        <v>156</v>
      </c>
      <c r="G480" s="20">
        <f>10257.5+37</f>
        <v>10294.5</v>
      </c>
      <c r="H480" s="522" t="s">
        <v>1244</v>
      </c>
      <c r="I480" s="334"/>
      <c r="J480" s="334"/>
      <c r="K480" s="345"/>
    </row>
    <row r="481" spans="1:11" s="132" customFormat="1" ht="31.5" x14ac:dyDescent="0.25">
      <c r="A481" s="364" t="s">
        <v>123</v>
      </c>
      <c r="B481" s="455">
        <v>903</v>
      </c>
      <c r="C481" s="402" t="s">
        <v>203</v>
      </c>
      <c r="D481" s="402" t="s">
        <v>139</v>
      </c>
      <c r="E481" s="402" t="s">
        <v>520</v>
      </c>
      <c r="F481" s="402" t="s">
        <v>124</v>
      </c>
      <c r="G481" s="318">
        <f>G482</f>
        <v>1940.1</v>
      </c>
      <c r="H481" s="522"/>
      <c r="I481" s="334"/>
      <c r="J481" s="321"/>
    </row>
    <row r="482" spans="1:11" s="132" customFormat="1" ht="31.5" x14ac:dyDescent="0.25">
      <c r="A482" s="364" t="s">
        <v>125</v>
      </c>
      <c r="B482" s="455">
        <v>903</v>
      </c>
      <c r="C482" s="402" t="s">
        <v>203</v>
      </c>
      <c r="D482" s="402" t="s">
        <v>139</v>
      </c>
      <c r="E482" s="402" t="s">
        <v>520</v>
      </c>
      <c r="F482" s="402" t="s">
        <v>126</v>
      </c>
      <c r="G482" s="20">
        <f>1890.1+50</f>
        <v>1940.1</v>
      </c>
      <c r="H482" s="522" t="s">
        <v>1245</v>
      </c>
      <c r="I482" s="334" t="s">
        <v>1248</v>
      </c>
      <c r="J482" s="321"/>
      <c r="K482" s="345"/>
    </row>
    <row r="483" spans="1:11" s="132" customFormat="1" ht="15.75" x14ac:dyDescent="0.25">
      <c r="A483" s="364" t="s">
        <v>127</v>
      </c>
      <c r="B483" s="455">
        <v>903</v>
      </c>
      <c r="C483" s="402" t="s">
        <v>203</v>
      </c>
      <c r="D483" s="402" t="s">
        <v>139</v>
      </c>
      <c r="E483" s="402" t="s">
        <v>520</v>
      </c>
      <c r="F483" s="402" t="s">
        <v>134</v>
      </c>
      <c r="G483" s="318">
        <f>G484</f>
        <v>14</v>
      </c>
      <c r="H483" s="522"/>
      <c r="I483" s="334"/>
      <c r="J483" s="321"/>
    </row>
    <row r="484" spans="1:11" s="132" customFormat="1" ht="15.75" x14ac:dyDescent="0.25">
      <c r="A484" s="364" t="s">
        <v>280</v>
      </c>
      <c r="B484" s="455">
        <v>903</v>
      </c>
      <c r="C484" s="402" t="s">
        <v>203</v>
      </c>
      <c r="D484" s="402" t="s">
        <v>139</v>
      </c>
      <c r="E484" s="402" t="s">
        <v>520</v>
      </c>
      <c r="F484" s="402" t="s">
        <v>130</v>
      </c>
      <c r="G484" s="318">
        <v>14</v>
      </c>
      <c r="H484" s="522"/>
      <c r="I484" s="334"/>
      <c r="J484" s="321"/>
    </row>
    <row r="485" spans="1:11" ht="48.2" customHeight="1" x14ac:dyDescent="0.25">
      <c r="A485" s="315" t="s">
        <v>850</v>
      </c>
      <c r="B485" s="454">
        <v>903</v>
      </c>
      <c r="C485" s="414" t="s">
        <v>203</v>
      </c>
      <c r="D485" s="414" t="s">
        <v>139</v>
      </c>
      <c r="E485" s="414" t="s">
        <v>213</v>
      </c>
      <c r="F485" s="414"/>
      <c r="G485" s="314">
        <f t="shared" ref="G485:G489" si="33">G486</f>
        <v>260</v>
      </c>
      <c r="H485" s="522"/>
      <c r="I485" s="334"/>
      <c r="J485" s="321"/>
      <c r="K485" s="132"/>
    </row>
    <row r="486" spans="1:11" ht="31.5" x14ac:dyDescent="0.25">
      <c r="A486" s="315" t="s">
        <v>856</v>
      </c>
      <c r="B486" s="454">
        <v>903</v>
      </c>
      <c r="C486" s="414" t="s">
        <v>203</v>
      </c>
      <c r="D486" s="414" t="s">
        <v>139</v>
      </c>
      <c r="E486" s="414" t="s">
        <v>223</v>
      </c>
      <c r="F486" s="414"/>
      <c r="G486" s="314">
        <f t="shared" si="33"/>
        <v>260</v>
      </c>
      <c r="H486" s="522"/>
      <c r="I486" s="334"/>
      <c r="J486" s="321"/>
      <c r="K486" s="132"/>
    </row>
    <row r="487" spans="1:11" s="132" customFormat="1" ht="31.5" x14ac:dyDescent="0.25">
      <c r="A487" s="315" t="s">
        <v>560</v>
      </c>
      <c r="B487" s="454">
        <v>903</v>
      </c>
      <c r="C487" s="414" t="s">
        <v>203</v>
      </c>
      <c r="D487" s="414" t="s">
        <v>139</v>
      </c>
      <c r="E487" s="414" t="s">
        <v>757</v>
      </c>
      <c r="F487" s="414"/>
      <c r="G487" s="314">
        <f t="shared" si="33"/>
        <v>260</v>
      </c>
      <c r="H487" s="522"/>
      <c r="I487" s="334"/>
      <c r="J487" s="321"/>
    </row>
    <row r="488" spans="1:11" ht="15.75" x14ac:dyDescent="0.25">
      <c r="A488" s="364" t="s">
        <v>559</v>
      </c>
      <c r="B488" s="455">
        <v>903</v>
      </c>
      <c r="C488" s="402" t="s">
        <v>203</v>
      </c>
      <c r="D488" s="402" t="s">
        <v>139</v>
      </c>
      <c r="E488" s="402" t="s">
        <v>758</v>
      </c>
      <c r="F488" s="402"/>
      <c r="G488" s="318">
        <f t="shared" si="33"/>
        <v>260</v>
      </c>
      <c r="H488" s="522"/>
      <c r="I488" s="334"/>
      <c r="J488" s="321"/>
      <c r="K488" s="132"/>
    </row>
    <row r="489" spans="1:11" ht="31.5" x14ac:dyDescent="0.25">
      <c r="A489" s="364" t="s">
        <v>123</v>
      </c>
      <c r="B489" s="455">
        <v>903</v>
      </c>
      <c r="C489" s="402" t="s">
        <v>203</v>
      </c>
      <c r="D489" s="402" t="s">
        <v>139</v>
      </c>
      <c r="E489" s="402" t="s">
        <v>758</v>
      </c>
      <c r="F489" s="402" t="s">
        <v>124</v>
      </c>
      <c r="G489" s="318">
        <f t="shared" si="33"/>
        <v>260</v>
      </c>
      <c r="H489" s="522"/>
      <c r="I489" s="334"/>
      <c r="J489" s="321"/>
      <c r="K489" s="132"/>
    </row>
    <row r="490" spans="1:11" ht="31.5" x14ac:dyDescent="0.25">
      <c r="A490" s="364" t="s">
        <v>125</v>
      </c>
      <c r="B490" s="455">
        <v>903</v>
      </c>
      <c r="C490" s="402" t="s">
        <v>203</v>
      </c>
      <c r="D490" s="402" t="s">
        <v>139</v>
      </c>
      <c r="E490" s="402" t="s">
        <v>758</v>
      </c>
      <c r="F490" s="402" t="s">
        <v>126</v>
      </c>
      <c r="G490" s="318">
        <v>260</v>
      </c>
      <c r="H490" s="522"/>
      <c r="I490" s="334"/>
      <c r="J490" s="321"/>
      <c r="K490" s="132"/>
    </row>
    <row r="491" spans="1:11" s="132" customFormat="1" ht="47.25" hidden="1" x14ac:dyDescent="0.25">
      <c r="A491" s="26" t="s">
        <v>859</v>
      </c>
      <c r="B491" s="454">
        <v>903</v>
      </c>
      <c r="C491" s="414" t="s">
        <v>203</v>
      </c>
      <c r="D491" s="414" t="s">
        <v>139</v>
      </c>
      <c r="E491" s="414" t="s">
        <v>206</v>
      </c>
      <c r="F491" s="414"/>
      <c r="G491" s="314">
        <f>G493</f>
        <v>0</v>
      </c>
      <c r="H491" s="522"/>
      <c r="I491" s="334"/>
      <c r="J491" s="321"/>
    </row>
    <row r="492" spans="1:11" s="132" customFormat="1" ht="47.25" hidden="1" x14ac:dyDescent="0.25">
      <c r="A492" s="26" t="s">
        <v>588</v>
      </c>
      <c r="B492" s="454">
        <v>903</v>
      </c>
      <c r="C492" s="414" t="s">
        <v>203</v>
      </c>
      <c r="D492" s="414" t="s">
        <v>139</v>
      </c>
      <c r="E492" s="414" t="s">
        <v>504</v>
      </c>
      <c r="F492" s="414"/>
      <c r="G492" s="314">
        <f>G495</f>
        <v>0</v>
      </c>
      <c r="H492" s="522"/>
      <c r="I492" s="334"/>
      <c r="J492" s="321"/>
    </row>
    <row r="493" spans="1:11" s="132" customFormat="1" ht="47.25" hidden="1" x14ac:dyDescent="0.25">
      <c r="A493" s="24" t="s">
        <v>634</v>
      </c>
      <c r="B493" s="455">
        <v>903</v>
      </c>
      <c r="C493" s="402" t="s">
        <v>203</v>
      </c>
      <c r="D493" s="402" t="s">
        <v>139</v>
      </c>
      <c r="E493" s="402" t="s">
        <v>589</v>
      </c>
      <c r="F493" s="402"/>
      <c r="G493" s="318">
        <f>G494</f>
        <v>0</v>
      </c>
      <c r="H493" s="522"/>
      <c r="I493" s="334"/>
      <c r="J493" s="321"/>
    </row>
    <row r="494" spans="1:11" s="132" customFormat="1" ht="31.5" hidden="1" x14ac:dyDescent="0.25">
      <c r="A494" s="364" t="s">
        <v>123</v>
      </c>
      <c r="B494" s="455">
        <v>903</v>
      </c>
      <c r="C494" s="402" t="s">
        <v>203</v>
      </c>
      <c r="D494" s="402" t="s">
        <v>139</v>
      </c>
      <c r="E494" s="402" t="s">
        <v>589</v>
      </c>
      <c r="F494" s="402" t="s">
        <v>124</v>
      </c>
      <c r="G494" s="318">
        <f>G495</f>
        <v>0</v>
      </c>
      <c r="H494" s="522"/>
      <c r="I494" s="334"/>
      <c r="J494" s="321"/>
    </row>
    <row r="495" spans="1:11" s="132" customFormat="1" ht="31.5" hidden="1" x14ac:dyDescent="0.25">
      <c r="A495" s="364" t="s">
        <v>125</v>
      </c>
      <c r="B495" s="455">
        <v>903</v>
      </c>
      <c r="C495" s="402" t="s">
        <v>203</v>
      </c>
      <c r="D495" s="402" t="s">
        <v>139</v>
      </c>
      <c r="E495" s="402" t="s">
        <v>589</v>
      </c>
      <c r="F495" s="402" t="s">
        <v>126</v>
      </c>
      <c r="G495" s="318"/>
      <c r="H495" s="522"/>
      <c r="I495" s="334"/>
      <c r="J495" s="321"/>
    </row>
    <row r="496" spans="1:11" ht="15.75" x14ac:dyDescent="0.25">
      <c r="A496" s="315" t="s">
        <v>173</v>
      </c>
      <c r="B496" s="454">
        <v>903</v>
      </c>
      <c r="C496" s="414" t="s">
        <v>174</v>
      </c>
      <c r="D496" s="414"/>
      <c r="E496" s="414"/>
      <c r="F496" s="414"/>
      <c r="G496" s="314">
        <f>G497</f>
        <v>1565.9</v>
      </c>
      <c r="H496" s="522"/>
      <c r="I496" s="334"/>
      <c r="J496" s="321"/>
      <c r="K496" s="132"/>
    </row>
    <row r="497" spans="1:11" ht="15.75" x14ac:dyDescent="0.25">
      <c r="A497" s="315" t="s">
        <v>181</v>
      </c>
      <c r="B497" s="454">
        <v>903</v>
      </c>
      <c r="C497" s="414" t="s">
        <v>174</v>
      </c>
      <c r="D497" s="414" t="s">
        <v>159</v>
      </c>
      <c r="E497" s="414"/>
      <c r="F497" s="414"/>
      <c r="G497" s="314">
        <f>G498</f>
        <v>1565.9</v>
      </c>
      <c r="H497" s="522"/>
      <c r="I497" s="334"/>
      <c r="J497" s="321"/>
      <c r="K497" s="132"/>
    </row>
    <row r="498" spans="1:11" ht="34.9" customHeight="1" x14ac:dyDescent="0.25">
      <c r="A498" s="315" t="s">
        <v>850</v>
      </c>
      <c r="B498" s="454">
        <v>903</v>
      </c>
      <c r="C498" s="414" t="s">
        <v>174</v>
      </c>
      <c r="D498" s="414" t="s">
        <v>159</v>
      </c>
      <c r="E498" s="414" t="s">
        <v>213</v>
      </c>
      <c r="F498" s="414"/>
      <c r="G498" s="314">
        <f>G499+G504</f>
        <v>1565.9</v>
      </c>
      <c r="H498" s="522"/>
      <c r="I498" s="334"/>
      <c r="J498" s="321"/>
      <c r="K498" s="132"/>
    </row>
    <row r="499" spans="1:11" ht="15.75" x14ac:dyDescent="0.25">
      <c r="A499" s="315" t="s">
        <v>218</v>
      </c>
      <c r="B499" s="454">
        <v>903</v>
      </c>
      <c r="C499" s="414" t="s">
        <v>174</v>
      </c>
      <c r="D499" s="414" t="s">
        <v>159</v>
      </c>
      <c r="E499" s="414" t="s">
        <v>219</v>
      </c>
      <c r="F499" s="414"/>
      <c r="G499" s="314">
        <f t="shared" ref="G499:G502" si="34">G500</f>
        <v>258.89999999999998</v>
      </c>
      <c r="H499" s="522"/>
      <c r="I499" s="334"/>
      <c r="J499" s="321"/>
      <c r="K499" s="132"/>
    </row>
    <row r="500" spans="1:11" s="132" customFormat="1" ht="33.75" customHeight="1" x14ac:dyDescent="0.25">
      <c r="A500" s="315" t="s">
        <v>476</v>
      </c>
      <c r="B500" s="454">
        <v>903</v>
      </c>
      <c r="C500" s="414" t="s">
        <v>174</v>
      </c>
      <c r="D500" s="414" t="s">
        <v>159</v>
      </c>
      <c r="E500" s="414" t="s">
        <v>475</v>
      </c>
      <c r="F500" s="414"/>
      <c r="G500" s="314">
        <f t="shared" si="34"/>
        <v>258.89999999999998</v>
      </c>
      <c r="H500" s="522"/>
      <c r="I500" s="334"/>
      <c r="J500" s="321"/>
    </row>
    <row r="501" spans="1:11" ht="31.5" x14ac:dyDescent="0.25">
      <c r="A501" s="364" t="s">
        <v>401</v>
      </c>
      <c r="B501" s="455">
        <v>903</v>
      </c>
      <c r="C501" s="402" t="s">
        <v>174</v>
      </c>
      <c r="D501" s="402" t="s">
        <v>159</v>
      </c>
      <c r="E501" s="402" t="s">
        <v>477</v>
      </c>
      <c r="F501" s="402"/>
      <c r="G501" s="318">
        <f t="shared" si="34"/>
        <v>258.89999999999998</v>
      </c>
      <c r="H501" s="522"/>
      <c r="I501" s="334"/>
      <c r="J501" s="321"/>
      <c r="K501" s="132"/>
    </row>
    <row r="502" spans="1:11" ht="15.75" x14ac:dyDescent="0.25">
      <c r="A502" s="364" t="s">
        <v>177</v>
      </c>
      <c r="B502" s="455">
        <v>903</v>
      </c>
      <c r="C502" s="402" t="s">
        <v>174</v>
      </c>
      <c r="D502" s="402" t="s">
        <v>159</v>
      </c>
      <c r="E502" s="402" t="s">
        <v>477</v>
      </c>
      <c r="F502" s="402" t="s">
        <v>178</v>
      </c>
      <c r="G502" s="318">
        <f t="shared" si="34"/>
        <v>258.89999999999998</v>
      </c>
      <c r="H502" s="522"/>
      <c r="I502" s="334"/>
      <c r="J502" s="321"/>
      <c r="K502" s="132"/>
    </row>
    <row r="503" spans="1:11" ht="31.5" x14ac:dyDescent="0.25">
      <c r="A503" s="364" t="s">
        <v>179</v>
      </c>
      <c r="B503" s="455">
        <v>903</v>
      </c>
      <c r="C503" s="402" t="s">
        <v>174</v>
      </c>
      <c r="D503" s="402" t="s">
        <v>159</v>
      </c>
      <c r="E503" s="402" t="s">
        <v>477</v>
      </c>
      <c r="F503" s="402" t="s">
        <v>180</v>
      </c>
      <c r="G503" s="318">
        <f>183.86511+75.03489</f>
        <v>258.89999999999998</v>
      </c>
      <c r="H503" s="522" t="s">
        <v>1201</v>
      </c>
      <c r="I503" s="334"/>
      <c r="J503" s="321"/>
      <c r="K503" s="132"/>
    </row>
    <row r="504" spans="1:11" ht="31.5" x14ac:dyDescent="0.25">
      <c r="A504" s="315" t="s">
        <v>856</v>
      </c>
      <c r="B504" s="454">
        <v>903</v>
      </c>
      <c r="C504" s="454">
        <v>10</v>
      </c>
      <c r="D504" s="414" t="s">
        <v>159</v>
      </c>
      <c r="E504" s="414" t="s">
        <v>223</v>
      </c>
      <c r="F504" s="414"/>
      <c r="G504" s="314">
        <f>G505+G511+G517</f>
        <v>1307</v>
      </c>
      <c r="H504" s="522"/>
      <c r="I504" s="334"/>
      <c r="J504" s="321"/>
      <c r="K504" s="132"/>
    </row>
    <row r="505" spans="1:11" s="132" customFormat="1" ht="31.5" x14ac:dyDescent="0.25">
      <c r="A505" s="315" t="s">
        <v>600</v>
      </c>
      <c r="B505" s="454">
        <v>903</v>
      </c>
      <c r="C505" s="414" t="s">
        <v>174</v>
      </c>
      <c r="D505" s="414" t="s">
        <v>159</v>
      </c>
      <c r="E505" s="414" t="s">
        <v>484</v>
      </c>
      <c r="F505" s="414"/>
      <c r="G505" s="314">
        <f>G506</f>
        <v>630</v>
      </c>
      <c r="H505" s="522"/>
      <c r="I505" s="334"/>
      <c r="J505" s="321"/>
    </row>
    <row r="506" spans="1:11" s="132" customFormat="1" ht="39.75" customHeight="1" x14ac:dyDescent="0.25">
      <c r="A506" s="70" t="s">
        <v>601</v>
      </c>
      <c r="B506" s="455">
        <v>903</v>
      </c>
      <c r="C506" s="402" t="s">
        <v>174</v>
      </c>
      <c r="D506" s="402" t="s">
        <v>159</v>
      </c>
      <c r="E506" s="402" t="s">
        <v>760</v>
      </c>
      <c r="F506" s="402"/>
      <c r="G506" s="318">
        <f>G509+G508</f>
        <v>630</v>
      </c>
      <c r="H506" s="522"/>
      <c r="I506" s="334"/>
      <c r="J506" s="321"/>
    </row>
    <row r="507" spans="1:11" s="132" customFormat="1" ht="31.5" hidden="1" x14ac:dyDescent="0.25">
      <c r="A507" s="364" t="s">
        <v>123</v>
      </c>
      <c r="B507" s="455">
        <v>903</v>
      </c>
      <c r="C507" s="402" t="s">
        <v>174</v>
      </c>
      <c r="D507" s="402" t="s">
        <v>159</v>
      </c>
      <c r="E507" s="402" t="s">
        <v>760</v>
      </c>
      <c r="F507" s="402" t="s">
        <v>124</v>
      </c>
      <c r="G507" s="318">
        <f>G508</f>
        <v>0</v>
      </c>
      <c r="H507" s="522"/>
      <c r="I507" s="334"/>
      <c r="J507" s="321"/>
    </row>
    <row r="508" spans="1:11" s="132" customFormat="1" ht="31.5" hidden="1" x14ac:dyDescent="0.25">
      <c r="A508" s="364" t="s">
        <v>125</v>
      </c>
      <c r="B508" s="455">
        <v>903</v>
      </c>
      <c r="C508" s="402" t="s">
        <v>174</v>
      </c>
      <c r="D508" s="402" t="s">
        <v>159</v>
      </c>
      <c r="E508" s="402" t="s">
        <v>760</v>
      </c>
      <c r="F508" s="402" t="s">
        <v>126</v>
      </c>
      <c r="G508" s="318"/>
      <c r="H508" s="522"/>
      <c r="I508" s="334"/>
      <c r="J508" s="321"/>
    </row>
    <row r="509" spans="1:11" s="132" customFormat="1" ht="15.75" x14ac:dyDescent="0.25">
      <c r="A509" s="364" t="s">
        <v>177</v>
      </c>
      <c r="B509" s="455">
        <v>903</v>
      </c>
      <c r="C509" s="402" t="s">
        <v>174</v>
      </c>
      <c r="D509" s="402" t="s">
        <v>159</v>
      </c>
      <c r="E509" s="402" t="s">
        <v>760</v>
      </c>
      <c r="F509" s="402" t="s">
        <v>178</v>
      </c>
      <c r="G509" s="318">
        <f>G510</f>
        <v>630</v>
      </c>
      <c r="H509" s="522"/>
      <c r="I509" s="334"/>
      <c r="J509" s="321"/>
    </row>
    <row r="510" spans="1:11" s="132" customFormat="1" ht="15.75" x14ac:dyDescent="0.25">
      <c r="A510" s="364" t="s">
        <v>216</v>
      </c>
      <c r="B510" s="455">
        <v>903</v>
      </c>
      <c r="C510" s="402" t="s">
        <v>174</v>
      </c>
      <c r="D510" s="402" t="s">
        <v>159</v>
      </c>
      <c r="E510" s="402" t="s">
        <v>760</v>
      </c>
      <c r="F510" s="402" t="s">
        <v>217</v>
      </c>
      <c r="G510" s="318">
        <v>630</v>
      </c>
      <c r="H510" s="522"/>
      <c r="I510" s="334"/>
      <c r="J510" s="321"/>
    </row>
    <row r="511" spans="1:11" s="132" customFormat="1" ht="31.5" x14ac:dyDescent="0.25">
      <c r="A511" s="315" t="s">
        <v>764</v>
      </c>
      <c r="B511" s="454">
        <v>903</v>
      </c>
      <c r="C511" s="454">
        <v>10</v>
      </c>
      <c r="D511" s="414" t="s">
        <v>159</v>
      </c>
      <c r="E511" s="414" t="s">
        <v>762</v>
      </c>
      <c r="F511" s="414"/>
      <c r="G511" s="314">
        <f>G512</f>
        <v>257</v>
      </c>
      <c r="H511" s="522"/>
      <c r="I511" s="334"/>
      <c r="J511" s="321"/>
    </row>
    <row r="512" spans="1:11" s="132" customFormat="1" ht="15.75" x14ac:dyDescent="0.25">
      <c r="A512" s="364" t="s">
        <v>761</v>
      </c>
      <c r="B512" s="455">
        <v>903</v>
      </c>
      <c r="C512" s="402" t="s">
        <v>174</v>
      </c>
      <c r="D512" s="402" t="s">
        <v>159</v>
      </c>
      <c r="E512" s="402" t="s">
        <v>763</v>
      </c>
      <c r="F512" s="402"/>
      <c r="G512" s="318">
        <f>G514+G516</f>
        <v>257</v>
      </c>
      <c r="H512" s="522"/>
      <c r="I512" s="334"/>
      <c r="J512" s="321"/>
    </row>
    <row r="513" spans="1:11" s="132" customFormat="1" ht="31.5" hidden="1" x14ac:dyDescent="0.25">
      <c r="A513" s="364" t="s">
        <v>123</v>
      </c>
      <c r="B513" s="455">
        <v>903</v>
      </c>
      <c r="C513" s="402" t="s">
        <v>174</v>
      </c>
      <c r="D513" s="402" t="s">
        <v>159</v>
      </c>
      <c r="E513" s="402" t="s">
        <v>763</v>
      </c>
      <c r="F513" s="402" t="s">
        <v>124</v>
      </c>
      <c r="G513" s="318">
        <f>G514</f>
        <v>0</v>
      </c>
      <c r="H513" s="522"/>
      <c r="I513" s="334"/>
      <c r="J513" s="321"/>
    </row>
    <row r="514" spans="1:11" s="132" customFormat="1" ht="31.5" hidden="1" x14ac:dyDescent="0.25">
      <c r="A514" s="364" t="s">
        <v>125</v>
      </c>
      <c r="B514" s="455">
        <v>903</v>
      </c>
      <c r="C514" s="402" t="s">
        <v>174</v>
      </c>
      <c r="D514" s="402" t="s">
        <v>159</v>
      </c>
      <c r="E514" s="402" t="s">
        <v>763</v>
      </c>
      <c r="F514" s="402" t="s">
        <v>126</v>
      </c>
      <c r="G514" s="318"/>
      <c r="H514" s="522"/>
      <c r="I514" s="334"/>
      <c r="J514" s="321"/>
    </row>
    <row r="515" spans="1:11" s="132" customFormat="1" ht="15.75" x14ac:dyDescent="0.25">
      <c r="A515" s="364" t="s">
        <v>177</v>
      </c>
      <c r="B515" s="455">
        <v>903</v>
      </c>
      <c r="C515" s="402" t="s">
        <v>174</v>
      </c>
      <c r="D515" s="402" t="s">
        <v>159</v>
      </c>
      <c r="E515" s="402" t="s">
        <v>763</v>
      </c>
      <c r="F515" s="402" t="s">
        <v>178</v>
      </c>
      <c r="G515" s="318">
        <f>G516</f>
        <v>257</v>
      </c>
      <c r="H515" s="522"/>
      <c r="I515" s="334"/>
      <c r="J515" s="321"/>
    </row>
    <row r="516" spans="1:11" s="132" customFormat="1" ht="15.75" x14ac:dyDescent="0.25">
      <c r="A516" s="364" t="s">
        <v>216</v>
      </c>
      <c r="B516" s="455">
        <v>903</v>
      </c>
      <c r="C516" s="402" t="s">
        <v>174</v>
      </c>
      <c r="D516" s="402" t="s">
        <v>159</v>
      </c>
      <c r="E516" s="402" t="s">
        <v>763</v>
      </c>
      <c r="F516" s="402" t="s">
        <v>217</v>
      </c>
      <c r="G516" s="318">
        <v>257</v>
      </c>
      <c r="H516" s="522"/>
      <c r="I516" s="334"/>
      <c r="J516" s="321"/>
    </row>
    <row r="517" spans="1:11" s="132" customFormat="1" ht="31.5" x14ac:dyDescent="0.25">
      <c r="A517" s="315" t="s">
        <v>560</v>
      </c>
      <c r="B517" s="454">
        <v>903</v>
      </c>
      <c r="C517" s="454">
        <v>10</v>
      </c>
      <c r="D517" s="414" t="s">
        <v>159</v>
      </c>
      <c r="E517" s="414" t="s">
        <v>757</v>
      </c>
      <c r="F517" s="414"/>
      <c r="G517" s="314">
        <f t="shared" ref="G517:G519" si="35">G518</f>
        <v>420</v>
      </c>
      <c r="H517" s="522"/>
      <c r="I517" s="334"/>
      <c r="J517" s="321"/>
    </row>
    <row r="518" spans="1:11" ht="15.75" x14ac:dyDescent="0.25">
      <c r="A518" s="364" t="s">
        <v>598</v>
      </c>
      <c r="B518" s="455">
        <v>903</v>
      </c>
      <c r="C518" s="402" t="s">
        <v>174</v>
      </c>
      <c r="D518" s="402" t="s">
        <v>159</v>
      </c>
      <c r="E518" s="402" t="s">
        <v>759</v>
      </c>
      <c r="F518" s="402"/>
      <c r="G518" s="318">
        <f t="shared" si="35"/>
        <v>420</v>
      </c>
      <c r="H518" s="522"/>
      <c r="I518" s="334"/>
      <c r="J518" s="321"/>
      <c r="K518" s="132"/>
    </row>
    <row r="519" spans="1:11" ht="15.75" x14ac:dyDescent="0.25">
      <c r="A519" s="364" t="s">
        <v>177</v>
      </c>
      <c r="B519" s="455">
        <v>903</v>
      </c>
      <c r="C519" s="402" t="s">
        <v>174</v>
      </c>
      <c r="D519" s="402" t="s">
        <v>159</v>
      </c>
      <c r="E519" s="402" t="s">
        <v>759</v>
      </c>
      <c r="F519" s="402" t="s">
        <v>178</v>
      </c>
      <c r="G519" s="318">
        <f t="shared" si="35"/>
        <v>420</v>
      </c>
      <c r="H519" s="522"/>
      <c r="I519" s="334"/>
      <c r="J519" s="321"/>
      <c r="K519" s="132"/>
    </row>
    <row r="520" spans="1:11" ht="15.75" x14ac:dyDescent="0.25">
      <c r="A520" s="364" t="s">
        <v>216</v>
      </c>
      <c r="B520" s="455">
        <v>903</v>
      </c>
      <c r="C520" s="402" t="s">
        <v>174</v>
      </c>
      <c r="D520" s="402" t="s">
        <v>159</v>
      </c>
      <c r="E520" s="402" t="s">
        <v>759</v>
      </c>
      <c r="F520" s="402" t="s">
        <v>217</v>
      </c>
      <c r="G520" s="318">
        <v>420</v>
      </c>
      <c r="H520" s="522"/>
      <c r="I520" s="334"/>
      <c r="J520" s="321"/>
      <c r="K520" s="132"/>
    </row>
    <row r="521" spans="1:11" s="132" customFormat="1" ht="15.75" x14ac:dyDescent="0.25">
      <c r="A521" s="315" t="s">
        <v>288</v>
      </c>
      <c r="B521" s="454">
        <v>903</v>
      </c>
      <c r="C521" s="414" t="s">
        <v>171</v>
      </c>
      <c r="D521" s="402"/>
      <c r="E521" s="402"/>
      <c r="F521" s="402"/>
      <c r="G521" s="314">
        <f>G522</f>
        <v>6158.1529999999993</v>
      </c>
      <c r="H521" s="522"/>
      <c r="I521" s="334"/>
      <c r="J521" s="321"/>
    </row>
    <row r="522" spans="1:11" s="132" customFormat="1" ht="15.75" x14ac:dyDescent="0.25">
      <c r="A522" s="315" t="s">
        <v>289</v>
      </c>
      <c r="B522" s="454">
        <v>903</v>
      </c>
      <c r="C522" s="414" t="s">
        <v>171</v>
      </c>
      <c r="D522" s="414" t="s">
        <v>158</v>
      </c>
      <c r="E522" s="414"/>
      <c r="F522" s="414"/>
      <c r="G522" s="314">
        <f>G523+G536</f>
        <v>6158.1529999999993</v>
      </c>
      <c r="H522" s="522"/>
      <c r="I522" s="334"/>
      <c r="J522" s="321"/>
    </row>
    <row r="523" spans="1:11" s="132" customFormat="1" ht="31.5" x14ac:dyDescent="0.25">
      <c r="A523" s="315" t="s">
        <v>854</v>
      </c>
      <c r="B523" s="454">
        <v>903</v>
      </c>
      <c r="C523" s="414" t="s">
        <v>171</v>
      </c>
      <c r="D523" s="414" t="s">
        <v>158</v>
      </c>
      <c r="E523" s="414" t="s">
        <v>189</v>
      </c>
      <c r="F523" s="414"/>
      <c r="G523" s="314">
        <f>G524+G532</f>
        <v>6083.2529999999997</v>
      </c>
      <c r="H523" s="522"/>
      <c r="I523" s="334"/>
      <c r="J523" s="321"/>
    </row>
    <row r="524" spans="1:11" s="132" customFormat="1" ht="31.5" x14ac:dyDescent="0.25">
      <c r="A524" s="315" t="s">
        <v>815</v>
      </c>
      <c r="B524" s="454">
        <v>903</v>
      </c>
      <c r="C524" s="414" t="s">
        <v>171</v>
      </c>
      <c r="D524" s="414" t="s">
        <v>158</v>
      </c>
      <c r="E524" s="414" t="s">
        <v>743</v>
      </c>
      <c r="F524" s="414"/>
      <c r="G524" s="314">
        <f>G525</f>
        <v>5825.2529999999997</v>
      </c>
      <c r="H524" s="522"/>
      <c r="I524" s="334"/>
      <c r="J524" s="321"/>
    </row>
    <row r="525" spans="1:11" s="132" customFormat="1" ht="15.75" x14ac:dyDescent="0.25">
      <c r="A525" s="364" t="s">
        <v>379</v>
      </c>
      <c r="B525" s="455">
        <v>903</v>
      </c>
      <c r="C525" s="402" t="s">
        <v>171</v>
      </c>
      <c r="D525" s="402" t="s">
        <v>158</v>
      </c>
      <c r="E525" s="402" t="s">
        <v>744</v>
      </c>
      <c r="F525" s="402"/>
      <c r="G525" s="318">
        <f>G526+G528+G530</f>
        <v>5825.2529999999997</v>
      </c>
      <c r="H525" s="522"/>
      <c r="I525" s="334"/>
      <c r="J525" s="321"/>
    </row>
    <row r="526" spans="1:11" s="132" customFormat="1" ht="63" x14ac:dyDescent="0.25">
      <c r="A526" s="364" t="s">
        <v>119</v>
      </c>
      <c r="B526" s="455">
        <v>903</v>
      </c>
      <c r="C526" s="402" t="s">
        <v>171</v>
      </c>
      <c r="D526" s="402" t="s">
        <v>158</v>
      </c>
      <c r="E526" s="402" t="s">
        <v>744</v>
      </c>
      <c r="F526" s="402" t="s">
        <v>120</v>
      </c>
      <c r="G526" s="318">
        <f>G527</f>
        <v>4894.5</v>
      </c>
      <c r="H526" s="522"/>
      <c r="I526" s="334"/>
      <c r="J526" s="321"/>
    </row>
    <row r="527" spans="1:11" s="132" customFormat="1" ht="15.75" x14ac:dyDescent="0.25">
      <c r="A527" s="364" t="s">
        <v>155</v>
      </c>
      <c r="B527" s="455">
        <v>903</v>
      </c>
      <c r="C527" s="402" t="s">
        <v>171</v>
      </c>
      <c r="D527" s="402" t="s">
        <v>158</v>
      </c>
      <c r="E527" s="402" t="s">
        <v>744</v>
      </c>
      <c r="F527" s="402" t="s">
        <v>156</v>
      </c>
      <c r="G527" s="20">
        <v>4894.5</v>
      </c>
      <c r="H527" s="522"/>
      <c r="I527" s="334"/>
      <c r="J527" s="334"/>
    </row>
    <row r="528" spans="1:11" s="132" customFormat="1" ht="31.5" x14ac:dyDescent="0.25">
      <c r="A528" s="364" t="s">
        <v>123</v>
      </c>
      <c r="B528" s="455">
        <v>903</v>
      </c>
      <c r="C528" s="402" t="s">
        <v>171</v>
      </c>
      <c r="D528" s="402" t="s">
        <v>158</v>
      </c>
      <c r="E528" s="402" t="s">
        <v>744</v>
      </c>
      <c r="F528" s="402" t="s">
        <v>124</v>
      </c>
      <c r="G528" s="318">
        <f>G529</f>
        <v>920.25300000000004</v>
      </c>
      <c r="H528" s="522"/>
      <c r="I528" s="334"/>
      <c r="J528" s="321"/>
    </row>
    <row r="529" spans="1:10" s="132" customFormat="1" ht="31.5" x14ac:dyDescent="0.25">
      <c r="A529" s="364" t="s">
        <v>125</v>
      </c>
      <c r="B529" s="455">
        <v>903</v>
      </c>
      <c r="C529" s="402" t="s">
        <v>171</v>
      </c>
      <c r="D529" s="402" t="s">
        <v>158</v>
      </c>
      <c r="E529" s="402" t="s">
        <v>744</v>
      </c>
      <c r="F529" s="402" t="s">
        <v>126</v>
      </c>
      <c r="G529" s="20">
        <f>890.253+30</f>
        <v>920.25300000000004</v>
      </c>
      <c r="H529" s="522" t="s">
        <v>1246</v>
      </c>
      <c r="I529" s="334" t="s">
        <v>1247</v>
      </c>
      <c r="J529" s="321"/>
    </row>
    <row r="530" spans="1:10" s="132" customFormat="1" ht="15.75" x14ac:dyDescent="0.25">
      <c r="A530" s="364" t="s">
        <v>127</v>
      </c>
      <c r="B530" s="455">
        <v>903</v>
      </c>
      <c r="C530" s="402" t="s">
        <v>171</v>
      </c>
      <c r="D530" s="402" t="s">
        <v>158</v>
      </c>
      <c r="E530" s="402" t="s">
        <v>744</v>
      </c>
      <c r="F530" s="402" t="s">
        <v>134</v>
      </c>
      <c r="G530" s="318">
        <f>G531</f>
        <v>10.5</v>
      </c>
      <c r="H530" s="522"/>
      <c r="I530" s="334"/>
      <c r="J530" s="321"/>
    </row>
    <row r="531" spans="1:10" s="132" customFormat="1" ht="15.75" x14ac:dyDescent="0.25">
      <c r="A531" s="364" t="s">
        <v>280</v>
      </c>
      <c r="B531" s="455">
        <v>903</v>
      </c>
      <c r="C531" s="402" t="s">
        <v>171</v>
      </c>
      <c r="D531" s="402" t="s">
        <v>158</v>
      </c>
      <c r="E531" s="402" t="s">
        <v>744</v>
      </c>
      <c r="F531" s="402" t="s">
        <v>130</v>
      </c>
      <c r="G531" s="318">
        <v>10.5</v>
      </c>
      <c r="H531" s="522"/>
      <c r="I531" s="334"/>
      <c r="J531" s="321"/>
    </row>
    <row r="532" spans="1:10" s="132" customFormat="1" ht="31.5" x14ac:dyDescent="0.25">
      <c r="A532" s="315" t="s">
        <v>514</v>
      </c>
      <c r="B532" s="454">
        <v>903</v>
      </c>
      <c r="C532" s="414" t="s">
        <v>171</v>
      </c>
      <c r="D532" s="414" t="s">
        <v>158</v>
      </c>
      <c r="E532" s="414" t="s">
        <v>748</v>
      </c>
      <c r="F532" s="414"/>
      <c r="G532" s="314">
        <f t="shared" ref="G532:G534" si="36">G533</f>
        <v>258</v>
      </c>
      <c r="H532" s="522"/>
      <c r="I532" s="334"/>
      <c r="J532" s="321"/>
    </row>
    <row r="533" spans="1:10" s="132" customFormat="1" ht="31.5" x14ac:dyDescent="0.25">
      <c r="A533" s="364" t="s">
        <v>416</v>
      </c>
      <c r="B533" s="455">
        <v>903</v>
      </c>
      <c r="C533" s="402" t="s">
        <v>171</v>
      </c>
      <c r="D533" s="402" t="s">
        <v>158</v>
      </c>
      <c r="E533" s="402" t="s">
        <v>749</v>
      </c>
      <c r="F533" s="402"/>
      <c r="G533" s="318">
        <f t="shared" si="36"/>
        <v>258</v>
      </c>
      <c r="H533" s="522"/>
      <c r="I533" s="334"/>
      <c r="J533" s="321"/>
    </row>
    <row r="534" spans="1:10" s="132" customFormat="1" ht="63" x14ac:dyDescent="0.25">
      <c r="A534" s="364" t="s">
        <v>119</v>
      </c>
      <c r="B534" s="455">
        <v>903</v>
      </c>
      <c r="C534" s="402" t="s">
        <v>171</v>
      </c>
      <c r="D534" s="402" t="s">
        <v>158</v>
      </c>
      <c r="E534" s="402" t="s">
        <v>749</v>
      </c>
      <c r="F534" s="402" t="s">
        <v>120</v>
      </c>
      <c r="G534" s="318">
        <f t="shared" si="36"/>
        <v>258</v>
      </c>
      <c r="H534" s="522"/>
      <c r="I534" s="334"/>
      <c r="J534" s="321"/>
    </row>
    <row r="535" spans="1:10" s="132" customFormat="1" ht="15.75" x14ac:dyDescent="0.25">
      <c r="A535" s="364" t="s">
        <v>155</v>
      </c>
      <c r="B535" s="455">
        <v>903</v>
      </c>
      <c r="C535" s="402" t="s">
        <v>171</v>
      </c>
      <c r="D535" s="402" t="s">
        <v>158</v>
      </c>
      <c r="E535" s="402" t="s">
        <v>749</v>
      </c>
      <c r="F535" s="402" t="s">
        <v>156</v>
      </c>
      <c r="G535" s="318">
        <v>258</v>
      </c>
      <c r="H535" s="522"/>
      <c r="I535" s="334"/>
      <c r="J535" s="321"/>
    </row>
    <row r="536" spans="1:10" s="132" customFormat="1" ht="47.25" x14ac:dyDescent="0.25">
      <c r="A536" s="359" t="s">
        <v>844</v>
      </c>
      <c r="B536" s="454">
        <v>903</v>
      </c>
      <c r="C536" s="414" t="s">
        <v>171</v>
      </c>
      <c r="D536" s="414" t="s">
        <v>158</v>
      </c>
      <c r="E536" s="414" t="s">
        <v>339</v>
      </c>
      <c r="F536" s="464"/>
      <c r="G536" s="314">
        <f>G538</f>
        <v>74.900000000000006</v>
      </c>
      <c r="H536" s="522"/>
      <c r="I536" s="334"/>
      <c r="J536" s="321"/>
    </row>
    <row r="537" spans="1:10" s="132" customFormat="1" ht="47.25" x14ac:dyDescent="0.25">
      <c r="A537" s="359" t="s">
        <v>463</v>
      </c>
      <c r="B537" s="454">
        <v>903</v>
      </c>
      <c r="C537" s="414" t="s">
        <v>171</v>
      </c>
      <c r="D537" s="414" t="s">
        <v>158</v>
      </c>
      <c r="E537" s="414" t="s">
        <v>461</v>
      </c>
      <c r="F537" s="464"/>
      <c r="G537" s="314">
        <f t="shared" ref="G537:G539" si="37">G538</f>
        <v>74.900000000000006</v>
      </c>
      <c r="H537" s="522"/>
      <c r="I537" s="334"/>
      <c r="J537" s="321"/>
    </row>
    <row r="538" spans="1:10" s="132" customFormat="1" ht="31.5" x14ac:dyDescent="0.25">
      <c r="A538" s="70" t="s">
        <v>567</v>
      </c>
      <c r="B538" s="455">
        <v>903</v>
      </c>
      <c r="C538" s="402" t="s">
        <v>171</v>
      </c>
      <c r="D538" s="402" t="s">
        <v>158</v>
      </c>
      <c r="E538" s="402" t="s">
        <v>462</v>
      </c>
      <c r="F538" s="467"/>
      <c r="G538" s="318">
        <f t="shared" si="37"/>
        <v>74.900000000000006</v>
      </c>
      <c r="H538" s="522"/>
      <c r="I538" s="334"/>
      <c r="J538" s="321"/>
    </row>
    <row r="539" spans="1:10" s="132" customFormat="1" ht="31.5" x14ac:dyDescent="0.25">
      <c r="A539" s="364" t="s">
        <v>123</v>
      </c>
      <c r="B539" s="455">
        <v>903</v>
      </c>
      <c r="C539" s="402" t="s">
        <v>171</v>
      </c>
      <c r="D539" s="402" t="s">
        <v>158</v>
      </c>
      <c r="E539" s="402" t="s">
        <v>462</v>
      </c>
      <c r="F539" s="467" t="s">
        <v>124</v>
      </c>
      <c r="G539" s="318">
        <f t="shared" si="37"/>
        <v>74.900000000000006</v>
      </c>
      <c r="H539" s="522"/>
      <c r="I539" s="334"/>
      <c r="J539" s="321"/>
    </row>
    <row r="540" spans="1:10" s="132" customFormat="1" ht="31.5" x14ac:dyDescent="0.25">
      <c r="A540" s="364" t="s">
        <v>125</v>
      </c>
      <c r="B540" s="455">
        <v>903</v>
      </c>
      <c r="C540" s="402" t="s">
        <v>171</v>
      </c>
      <c r="D540" s="402" t="s">
        <v>158</v>
      </c>
      <c r="E540" s="402" t="s">
        <v>462</v>
      </c>
      <c r="F540" s="467" t="s">
        <v>126</v>
      </c>
      <c r="G540" s="318">
        <v>74.900000000000006</v>
      </c>
      <c r="H540" s="522"/>
      <c r="I540" s="334"/>
      <c r="J540" s="321"/>
    </row>
    <row r="541" spans="1:10" s="132" customFormat="1" ht="31.5" x14ac:dyDescent="0.25">
      <c r="A541" s="312" t="s">
        <v>1106</v>
      </c>
      <c r="B541" s="454">
        <v>904</v>
      </c>
      <c r="C541" s="414"/>
      <c r="D541" s="414"/>
      <c r="E541" s="414"/>
      <c r="F541" s="464"/>
      <c r="G541" s="314">
        <f>G542</f>
        <v>2849.9700000000003</v>
      </c>
      <c r="H541" s="522"/>
      <c r="I541" s="334"/>
      <c r="J541" s="321"/>
    </row>
    <row r="542" spans="1:10" s="363" customFormat="1" ht="15.75" x14ac:dyDescent="0.25">
      <c r="A542" s="315" t="s">
        <v>115</v>
      </c>
      <c r="B542" s="454">
        <v>904</v>
      </c>
      <c r="C542" s="414" t="s">
        <v>116</v>
      </c>
      <c r="D542" s="414"/>
      <c r="E542" s="414"/>
      <c r="F542" s="464"/>
      <c r="G542" s="314">
        <f>G543</f>
        <v>2849.9700000000003</v>
      </c>
      <c r="H542" s="522"/>
      <c r="I542" s="334"/>
      <c r="J542" s="321"/>
    </row>
    <row r="543" spans="1:10" s="132" customFormat="1" ht="47.25" x14ac:dyDescent="0.25">
      <c r="A543" s="315" t="s">
        <v>117</v>
      </c>
      <c r="B543" s="454">
        <v>904</v>
      </c>
      <c r="C543" s="414" t="s">
        <v>116</v>
      </c>
      <c r="D543" s="414" t="s">
        <v>118</v>
      </c>
      <c r="E543" s="414"/>
      <c r="F543" s="414"/>
      <c r="G543" s="314">
        <f t="shared" ref="G543:G544" si="38">G544</f>
        <v>2849.9700000000003</v>
      </c>
      <c r="H543" s="522"/>
      <c r="I543" s="334"/>
      <c r="J543" s="321"/>
    </row>
    <row r="544" spans="1:10" s="132" customFormat="1" ht="31.5" x14ac:dyDescent="0.25">
      <c r="A544" s="315" t="s">
        <v>488</v>
      </c>
      <c r="B544" s="454">
        <v>904</v>
      </c>
      <c r="C544" s="414" t="s">
        <v>116</v>
      </c>
      <c r="D544" s="414" t="s">
        <v>118</v>
      </c>
      <c r="E544" s="414" t="s">
        <v>434</v>
      </c>
      <c r="F544" s="414"/>
      <c r="G544" s="314">
        <f t="shared" si="38"/>
        <v>2849.9700000000003</v>
      </c>
      <c r="H544" s="522"/>
      <c r="I544" s="334"/>
      <c r="J544" s="321"/>
    </row>
    <row r="545" spans="1:11" s="132" customFormat="1" ht="31.5" x14ac:dyDescent="0.25">
      <c r="A545" s="315" t="s">
        <v>1097</v>
      </c>
      <c r="B545" s="454">
        <v>904</v>
      </c>
      <c r="C545" s="414" t="s">
        <v>116</v>
      </c>
      <c r="D545" s="414" t="s">
        <v>118</v>
      </c>
      <c r="E545" s="414" t="s">
        <v>1098</v>
      </c>
      <c r="F545" s="414"/>
      <c r="G545" s="314">
        <f>G546+G551</f>
        <v>2849.9700000000003</v>
      </c>
      <c r="H545" s="522"/>
      <c r="I545" s="334"/>
      <c r="J545" s="321"/>
    </row>
    <row r="546" spans="1:11" s="132" customFormat="1" ht="31.5" x14ac:dyDescent="0.25">
      <c r="A546" s="364" t="s">
        <v>468</v>
      </c>
      <c r="B546" s="455">
        <v>904</v>
      </c>
      <c r="C546" s="402" t="s">
        <v>116</v>
      </c>
      <c r="D546" s="402" t="s">
        <v>118</v>
      </c>
      <c r="E546" s="402" t="s">
        <v>1101</v>
      </c>
      <c r="F546" s="402"/>
      <c r="G546" s="318">
        <f>G547+G549</f>
        <v>689.05</v>
      </c>
      <c r="H546" s="522"/>
      <c r="I546" s="334"/>
      <c r="J546" s="321"/>
    </row>
    <row r="547" spans="1:11" s="132" customFormat="1" ht="63" x14ac:dyDescent="0.25">
      <c r="A547" s="364" t="s">
        <v>119</v>
      </c>
      <c r="B547" s="455">
        <v>904</v>
      </c>
      <c r="C547" s="402" t="s">
        <v>116</v>
      </c>
      <c r="D547" s="402" t="s">
        <v>118</v>
      </c>
      <c r="E547" s="402" t="s">
        <v>1101</v>
      </c>
      <c r="F547" s="402" t="s">
        <v>120</v>
      </c>
      <c r="G547" s="318">
        <f>G548</f>
        <v>596.04999999999995</v>
      </c>
      <c r="H547" s="522"/>
      <c r="I547" s="334"/>
      <c r="J547" s="321"/>
    </row>
    <row r="548" spans="1:11" s="132" customFormat="1" ht="31.5" x14ac:dyDescent="0.25">
      <c r="A548" s="364" t="s">
        <v>121</v>
      </c>
      <c r="B548" s="455">
        <v>904</v>
      </c>
      <c r="C548" s="402" t="s">
        <v>116</v>
      </c>
      <c r="D548" s="402" t="s">
        <v>118</v>
      </c>
      <c r="E548" s="402" t="s">
        <v>1101</v>
      </c>
      <c r="F548" s="402" t="s">
        <v>122</v>
      </c>
      <c r="G548" s="318">
        <f>596.05</f>
        <v>596.04999999999995</v>
      </c>
      <c r="H548" s="522"/>
      <c r="I548" s="334"/>
      <c r="J548" s="321"/>
    </row>
    <row r="549" spans="1:11" s="132" customFormat="1" ht="31.5" x14ac:dyDescent="0.25">
      <c r="A549" s="364" t="s">
        <v>153</v>
      </c>
      <c r="B549" s="455">
        <v>904</v>
      </c>
      <c r="C549" s="402" t="s">
        <v>116</v>
      </c>
      <c r="D549" s="402" t="s">
        <v>118</v>
      </c>
      <c r="E549" s="402" t="s">
        <v>1101</v>
      </c>
      <c r="F549" s="402" t="s">
        <v>124</v>
      </c>
      <c r="G549" s="318">
        <f>G550</f>
        <v>93</v>
      </c>
      <c r="H549" s="522"/>
      <c r="I549" s="334"/>
      <c r="J549" s="321"/>
    </row>
    <row r="550" spans="1:11" s="132" customFormat="1" ht="31.5" x14ac:dyDescent="0.25">
      <c r="A550" s="364" t="s">
        <v>125</v>
      </c>
      <c r="B550" s="455">
        <v>904</v>
      </c>
      <c r="C550" s="402" t="s">
        <v>116</v>
      </c>
      <c r="D550" s="402" t="s">
        <v>118</v>
      </c>
      <c r="E550" s="402" t="s">
        <v>1101</v>
      </c>
      <c r="F550" s="402" t="s">
        <v>126</v>
      </c>
      <c r="G550" s="318">
        <v>93</v>
      </c>
      <c r="H550" s="522"/>
      <c r="I550" s="334"/>
      <c r="J550" s="321"/>
    </row>
    <row r="551" spans="1:11" s="132" customFormat="1" ht="47.25" x14ac:dyDescent="0.25">
      <c r="A551" s="364" t="s">
        <v>1099</v>
      </c>
      <c r="B551" s="455">
        <v>904</v>
      </c>
      <c r="C551" s="402" t="s">
        <v>116</v>
      </c>
      <c r="D551" s="402" t="s">
        <v>118</v>
      </c>
      <c r="E551" s="402" t="s">
        <v>1100</v>
      </c>
      <c r="F551" s="402"/>
      <c r="G551" s="318">
        <f>G552</f>
        <v>2160.92</v>
      </c>
      <c r="H551" s="522"/>
      <c r="I551" s="334"/>
      <c r="J551" s="321"/>
    </row>
    <row r="552" spans="1:11" s="132" customFormat="1" ht="63" x14ac:dyDescent="0.25">
      <c r="A552" s="364" t="s">
        <v>119</v>
      </c>
      <c r="B552" s="455">
        <v>904</v>
      </c>
      <c r="C552" s="402" t="s">
        <v>116</v>
      </c>
      <c r="D552" s="402" t="s">
        <v>118</v>
      </c>
      <c r="E552" s="402" t="s">
        <v>1100</v>
      </c>
      <c r="F552" s="402" t="s">
        <v>120</v>
      </c>
      <c r="G552" s="318">
        <f>G553</f>
        <v>2160.92</v>
      </c>
      <c r="H552" s="522"/>
      <c r="I552" s="334"/>
      <c r="J552" s="321"/>
    </row>
    <row r="553" spans="1:11" s="132" customFormat="1" ht="31.5" x14ac:dyDescent="0.25">
      <c r="A553" s="364" t="s">
        <v>121</v>
      </c>
      <c r="B553" s="455">
        <v>904</v>
      </c>
      <c r="C553" s="402" t="s">
        <v>116</v>
      </c>
      <c r="D553" s="402" t="s">
        <v>118</v>
      </c>
      <c r="E553" s="402" t="s">
        <v>1100</v>
      </c>
      <c r="F553" s="402" t="s">
        <v>122</v>
      </c>
      <c r="G553" s="318">
        <f>2133.12+27.8</f>
        <v>2160.92</v>
      </c>
      <c r="H553" s="522" t="s">
        <v>1249</v>
      </c>
      <c r="I553" s="334" t="s">
        <v>1250</v>
      </c>
      <c r="J553" s="321"/>
    </row>
    <row r="554" spans="1:11" s="363" customFormat="1" ht="31.5" hidden="1" x14ac:dyDescent="0.25">
      <c r="A554" s="364" t="s">
        <v>416</v>
      </c>
      <c r="B554" s="455">
        <v>901</v>
      </c>
      <c r="C554" s="402" t="s">
        <v>116</v>
      </c>
      <c r="D554" s="402" t="s">
        <v>118</v>
      </c>
      <c r="E554" s="402" t="s">
        <v>1153</v>
      </c>
      <c r="F554" s="402"/>
      <c r="G554" s="318">
        <f>G555</f>
        <v>0</v>
      </c>
      <c r="H554" s="522"/>
      <c r="I554" s="334"/>
      <c r="J554" s="321"/>
    </row>
    <row r="555" spans="1:11" s="363" customFormat="1" ht="63" hidden="1" x14ac:dyDescent="0.25">
      <c r="A555" s="364" t="s">
        <v>119</v>
      </c>
      <c r="B555" s="455">
        <v>901</v>
      </c>
      <c r="C555" s="402" t="s">
        <v>116</v>
      </c>
      <c r="D555" s="402" t="s">
        <v>118</v>
      </c>
      <c r="E555" s="402" t="s">
        <v>1153</v>
      </c>
      <c r="F555" s="402" t="s">
        <v>120</v>
      </c>
      <c r="G555" s="318">
        <f>G556</f>
        <v>0</v>
      </c>
      <c r="H555" s="522"/>
      <c r="I555" s="334"/>
      <c r="J555" s="321"/>
    </row>
    <row r="556" spans="1:11" s="363" customFormat="1" ht="31.5" hidden="1" x14ac:dyDescent="0.25">
      <c r="A556" s="364" t="s">
        <v>121</v>
      </c>
      <c r="B556" s="455">
        <v>904</v>
      </c>
      <c r="C556" s="402" t="s">
        <v>116</v>
      </c>
      <c r="D556" s="402" t="s">
        <v>118</v>
      </c>
      <c r="E556" s="402" t="s">
        <v>1153</v>
      </c>
      <c r="F556" s="402" t="s">
        <v>122</v>
      </c>
      <c r="G556" s="318"/>
      <c r="H556" s="522"/>
      <c r="I556" s="334"/>
      <c r="J556" s="321"/>
    </row>
    <row r="557" spans="1:11" ht="31.5" x14ac:dyDescent="0.25">
      <c r="A557" s="312" t="s">
        <v>229</v>
      </c>
      <c r="B557" s="454">
        <v>905</v>
      </c>
      <c r="C557" s="402"/>
      <c r="D557" s="402"/>
      <c r="E557" s="402"/>
      <c r="F557" s="402"/>
      <c r="G557" s="314">
        <f>G558+G592+G602</f>
        <v>20162.2</v>
      </c>
      <c r="H557" s="523"/>
      <c r="I557" s="334"/>
      <c r="J557" s="321"/>
      <c r="K557" s="132"/>
    </row>
    <row r="558" spans="1:11" ht="15.75" x14ac:dyDescent="0.25">
      <c r="A558" s="315" t="s">
        <v>115</v>
      </c>
      <c r="B558" s="454">
        <v>905</v>
      </c>
      <c r="C558" s="414" t="s">
        <v>116</v>
      </c>
      <c r="D558" s="402"/>
      <c r="E558" s="402"/>
      <c r="F558" s="402"/>
      <c r="G558" s="314">
        <f>G559+G576</f>
        <v>19891.8</v>
      </c>
      <c r="H558" s="522"/>
      <c r="I558" s="334"/>
      <c r="J558" s="321"/>
      <c r="K558" s="132"/>
    </row>
    <row r="559" spans="1:11" ht="65.25" customHeight="1" x14ac:dyDescent="0.25">
      <c r="A559" s="315" t="s">
        <v>138</v>
      </c>
      <c r="B559" s="454">
        <v>905</v>
      </c>
      <c r="C559" s="414" t="s">
        <v>116</v>
      </c>
      <c r="D559" s="414" t="s">
        <v>139</v>
      </c>
      <c r="E559" s="414"/>
      <c r="F559" s="414"/>
      <c r="G559" s="314">
        <f>G560</f>
        <v>13068.6</v>
      </c>
      <c r="H559" s="522"/>
      <c r="I559" s="334"/>
      <c r="J559" s="321"/>
      <c r="K559" s="132"/>
    </row>
    <row r="560" spans="1:11" ht="31.5" x14ac:dyDescent="0.25">
      <c r="A560" s="315" t="s">
        <v>488</v>
      </c>
      <c r="B560" s="454">
        <v>905</v>
      </c>
      <c r="C560" s="414" t="s">
        <v>116</v>
      </c>
      <c r="D560" s="414" t="s">
        <v>139</v>
      </c>
      <c r="E560" s="414" t="s">
        <v>434</v>
      </c>
      <c r="F560" s="414"/>
      <c r="G560" s="314">
        <f>G561+G572</f>
        <v>13068.6</v>
      </c>
      <c r="H560" s="522"/>
      <c r="I560" s="334"/>
      <c r="J560" s="321"/>
      <c r="K560" s="132"/>
    </row>
    <row r="561" spans="1:11" ht="15.75" x14ac:dyDescent="0.25">
      <c r="A561" s="315" t="s">
        <v>489</v>
      </c>
      <c r="B561" s="454">
        <v>905</v>
      </c>
      <c r="C561" s="414" t="s">
        <v>116</v>
      </c>
      <c r="D561" s="414" t="s">
        <v>139</v>
      </c>
      <c r="E561" s="414" t="s">
        <v>435</v>
      </c>
      <c r="F561" s="414"/>
      <c r="G561" s="314">
        <f>G562+G569</f>
        <v>13052</v>
      </c>
      <c r="H561" s="522"/>
      <c r="I561" s="334"/>
      <c r="J561" s="321"/>
      <c r="K561" s="132"/>
    </row>
    <row r="562" spans="1:11" ht="28.5" customHeight="1" x14ac:dyDescent="0.25">
      <c r="A562" s="364" t="s">
        <v>468</v>
      </c>
      <c r="B562" s="455">
        <v>905</v>
      </c>
      <c r="C562" s="402" t="s">
        <v>116</v>
      </c>
      <c r="D562" s="402" t="s">
        <v>139</v>
      </c>
      <c r="E562" s="402" t="s">
        <v>436</v>
      </c>
      <c r="F562" s="402"/>
      <c r="G562" s="318">
        <f>G563+G565+G567</f>
        <v>12579</v>
      </c>
      <c r="H562" s="522"/>
      <c r="I562" s="334"/>
      <c r="J562" s="321"/>
      <c r="K562" s="132"/>
    </row>
    <row r="563" spans="1:11" ht="63" x14ac:dyDescent="0.25">
      <c r="A563" s="364" t="s">
        <v>119</v>
      </c>
      <c r="B563" s="455">
        <v>905</v>
      </c>
      <c r="C563" s="402" t="s">
        <v>116</v>
      </c>
      <c r="D563" s="402" t="s">
        <v>139</v>
      </c>
      <c r="E563" s="402" t="s">
        <v>436</v>
      </c>
      <c r="F563" s="402" t="s">
        <v>120</v>
      </c>
      <c r="G563" s="318">
        <f>G564</f>
        <v>11838</v>
      </c>
      <c r="H563" s="522"/>
      <c r="I563" s="334"/>
      <c r="J563" s="321"/>
      <c r="K563" s="132"/>
    </row>
    <row r="564" spans="1:11" ht="31.5" x14ac:dyDescent="0.25">
      <c r="A564" s="364" t="s">
        <v>121</v>
      </c>
      <c r="B564" s="455">
        <v>905</v>
      </c>
      <c r="C564" s="402" t="s">
        <v>116</v>
      </c>
      <c r="D564" s="402" t="s">
        <v>139</v>
      </c>
      <c r="E564" s="402" t="s">
        <v>436</v>
      </c>
      <c r="F564" s="402" t="s">
        <v>122</v>
      </c>
      <c r="G564" s="20">
        <f>11821.6+16.4</f>
        <v>11838</v>
      </c>
      <c r="H564" s="522" t="s">
        <v>1251</v>
      </c>
      <c r="I564" s="334" t="s">
        <v>1252</v>
      </c>
      <c r="J564" s="334"/>
      <c r="K564" s="335"/>
    </row>
    <row r="565" spans="1:11" ht="31.5" x14ac:dyDescent="0.25">
      <c r="A565" s="364" t="s">
        <v>123</v>
      </c>
      <c r="B565" s="455">
        <v>905</v>
      </c>
      <c r="C565" s="402" t="s">
        <v>116</v>
      </c>
      <c r="D565" s="402" t="s">
        <v>139</v>
      </c>
      <c r="E565" s="402" t="s">
        <v>436</v>
      </c>
      <c r="F565" s="402" t="s">
        <v>124</v>
      </c>
      <c r="G565" s="318">
        <f>G566</f>
        <v>610</v>
      </c>
      <c r="H565" s="522"/>
      <c r="I565" s="334"/>
      <c r="J565" s="321"/>
      <c r="K565" s="132"/>
    </row>
    <row r="566" spans="1:11" ht="31.5" x14ac:dyDescent="0.25">
      <c r="A566" s="364" t="s">
        <v>125</v>
      </c>
      <c r="B566" s="455">
        <v>905</v>
      </c>
      <c r="C566" s="402" t="s">
        <v>116</v>
      </c>
      <c r="D566" s="402" t="s">
        <v>139</v>
      </c>
      <c r="E566" s="402" t="s">
        <v>436</v>
      </c>
      <c r="F566" s="402" t="s">
        <v>126</v>
      </c>
      <c r="G566" s="20">
        <f>410+200</f>
        <v>610</v>
      </c>
      <c r="H566" s="522" t="s">
        <v>1253</v>
      </c>
      <c r="I566" s="334" t="s">
        <v>1254</v>
      </c>
      <c r="J566" s="334"/>
      <c r="K566" s="132"/>
    </row>
    <row r="567" spans="1:11" ht="15.75" x14ac:dyDescent="0.25">
      <c r="A567" s="364" t="s">
        <v>127</v>
      </c>
      <c r="B567" s="455">
        <v>905</v>
      </c>
      <c r="C567" s="402" t="s">
        <v>116</v>
      </c>
      <c r="D567" s="402" t="s">
        <v>139</v>
      </c>
      <c r="E567" s="402" t="s">
        <v>436</v>
      </c>
      <c r="F567" s="402" t="s">
        <v>134</v>
      </c>
      <c r="G567" s="318">
        <f>G568</f>
        <v>131</v>
      </c>
      <c r="H567" s="522"/>
      <c r="I567" s="334"/>
      <c r="J567" s="321"/>
      <c r="K567" s="132"/>
    </row>
    <row r="568" spans="1:11" ht="15.75" x14ac:dyDescent="0.25">
      <c r="A568" s="364" t="s">
        <v>280</v>
      </c>
      <c r="B568" s="455">
        <v>905</v>
      </c>
      <c r="C568" s="402" t="s">
        <v>116</v>
      </c>
      <c r="D568" s="402" t="s">
        <v>139</v>
      </c>
      <c r="E568" s="402" t="s">
        <v>436</v>
      </c>
      <c r="F568" s="402" t="s">
        <v>130</v>
      </c>
      <c r="G568" s="318">
        <v>131</v>
      </c>
      <c r="H568" s="522"/>
      <c r="I568" s="334"/>
      <c r="J568" s="334"/>
      <c r="K568" s="335"/>
    </row>
    <row r="569" spans="1:11" s="132" customFormat="1" ht="31.5" x14ac:dyDescent="0.25">
      <c r="A569" s="364" t="s">
        <v>416</v>
      </c>
      <c r="B569" s="455">
        <v>905</v>
      </c>
      <c r="C569" s="402" t="s">
        <v>116</v>
      </c>
      <c r="D569" s="402" t="s">
        <v>139</v>
      </c>
      <c r="E569" s="402" t="s">
        <v>438</v>
      </c>
      <c r="F569" s="402"/>
      <c r="G569" s="318">
        <f>G570</f>
        <v>473</v>
      </c>
      <c r="H569" s="522"/>
      <c r="I569" s="334"/>
      <c r="J569" s="321"/>
    </row>
    <row r="570" spans="1:11" s="132" customFormat="1" ht="63" x14ac:dyDescent="0.25">
      <c r="A570" s="364" t="s">
        <v>119</v>
      </c>
      <c r="B570" s="455">
        <v>905</v>
      </c>
      <c r="C570" s="402" t="s">
        <v>116</v>
      </c>
      <c r="D570" s="402" t="s">
        <v>139</v>
      </c>
      <c r="E570" s="402" t="s">
        <v>438</v>
      </c>
      <c r="F570" s="402" t="s">
        <v>120</v>
      </c>
      <c r="G570" s="318">
        <f>G571</f>
        <v>473</v>
      </c>
      <c r="H570" s="522"/>
      <c r="I570" s="334"/>
      <c r="J570" s="321"/>
    </row>
    <row r="571" spans="1:11" s="132" customFormat="1" ht="31.5" x14ac:dyDescent="0.25">
      <c r="A571" s="364" t="s">
        <v>121</v>
      </c>
      <c r="B571" s="455">
        <v>905</v>
      </c>
      <c r="C571" s="402" t="s">
        <v>116</v>
      </c>
      <c r="D571" s="402" t="s">
        <v>139</v>
      </c>
      <c r="E571" s="402" t="s">
        <v>438</v>
      </c>
      <c r="F571" s="402" t="s">
        <v>122</v>
      </c>
      <c r="G571" s="318">
        <v>473</v>
      </c>
      <c r="H571" s="522"/>
      <c r="I571" s="334"/>
      <c r="J571" s="321"/>
    </row>
    <row r="572" spans="1:11" s="132" customFormat="1" ht="31.5" x14ac:dyDescent="0.25">
      <c r="A572" s="315" t="s">
        <v>460</v>
      </c>
      <c r="B572" s="454">
        <v>905</v>
      </c>
      <c r="C572" s="414" t="s">
        <v>116</v>
      </c>
      <c r="D572" s="414" t="s">
        <v>139</v>
      </c>
      <c r="E572" s="414" t="s">
        <v>439</v>
      </c>
      <c r="F572" s="414"/>
      <c r="G572" s="314">
        <f t="shared" ref="G572:G574" si="39">G573</f>
        <v>16.600000000000001</v>
      </c>
      <c r="H572" s="522"/>
      <c r="I572" s="334"/>
      <c r="J572" s="321"/>
    </row>
    <row r="573" spans="1:11" s="132" customFormat="1" ht="77.45" customHeight="1" x14ac:dyDescent="0.25">
      <c r="A573" s="24" t="s">
        <v>719</v>
      </c>
      <c r="B573" s="455">
        <v>905</v>
      </c>
      <c r="C573" s="402" t="s">
        <v>116</v>
      </c>
      <c r="D573" s="402" t="s">
        <v>139</v>
      </c>
      <c r="E573" s="402" t="s">
        <v>718</v>
      </c>
      <c r="F573" s="402"/>
      <c r="G573" s="318">
        <f t="shared" si="39"/>
        <v>16.600000000000001</v>
      </c>
      <c r="H573" s="522"/>
      <c r="I573" s="334"/>
      <c r="J573" s="321"/>
    </row>
    <row r="574" spans="1:11" s="132" customFormat="1" ht="63" x14ac:dyDescent="0.25">
      <c r="A574" s="364" t="s">
        <v>119</v>
      </c>
      <c r="B574" s="455">
        <v>905</v>
      </c>
      <c r="C574" s="402" t="s">
        <v>116</v>
      </c>
      <c r="D574" s="402" t="s">
        <v>139</v>
      </c>
      <c r="E574" s="402" t="s">
        <v>718</v>
      </c>
      <c r="F574" s="402" t="s">
        <v>120</v>
      </c>
      <c r="G574" s="318">
        <f t="shared" si="39"/>
        <v>16.600000000000001</v>
      </c>
      <c r="H574" s="522"/>
      <c r="I574" s="334"/>
      <c r="J574" s="321"/>
    </row>
    <row r="575" spans="1:11" s="132" customFormat="1" ht="31.5" x14ac:dyDescent="0.25">
      <c r="A575" s="364" t="s">
        <v>121</v>
      </c>
      <c r="B575" s="455">
        <v>905</v>
      </c>
      <c r="C575" s="402" t="s">
        <v>116</v>
      </c>
      <c r="D575" s="402" t="s">
        <v>139</v>
      </c>
      <c r="E575" s="402" t="s">
        <v>718</v>
      </c>
      <c r="F575" s="402" t="s">
        <v>122</v>
      </c>
      <c r="G575" s="318">
        <v>16.600000000000001</v>
      </c>
      <c r="H575" s="522"/>
      <c r="I575" s="334"/>
      <c r="J575" s="321"/>
    </row>
    <row r="576" spans="1:11" ht="15.75" x14ac:dyDescent="0.25">
      <c r="A576" s="315" t="s">
        <v>131</v>
      </c>
      <c r="B576" s="454">
        <v>905</v>
      </c>
      <c r="C576" s="414" t="s">
        <v>116</v>
      </c>
      <c r="D576" s="414" t="s">
        <v>132</v>
      </c>
      <c r="E576" s="414"/>
      <c r="F576" s="414"/>
      <c r="G576" s="314">
        <f>G577+G587</f>
        <v>6823.2</v>
      </c>
      <c r="H576" s="522"/>
      <c r="I576" s="334"/>
      <c r="J576" s="321"/>
      <c r="K576" s="132"/>
    </row>
    <row r="577" spans="1:43" s="132" customFormat="1" ht="15.75" x14ac:dyDescent="0.25">
      <c r="A577" s="315" t="s">
        <v>133</v>
      </c>
      <c r="B577" s="454">
        <v>905</v>
      </c>
      <c r="C577" s="414" t="s">
        <v>116</v>
      </c>
      <c r="D577" s="414" t="s">
        <v>132</v>
      </c>
      <c r="E577" s="414" t="s">
        <v>442</v>
      </c>
      <c r="F577" s="414"/>
      <c r="G577" s="314">
        <f>G578</f>
        <v>6823.2</v>
      </c>
      <c r="H577" s="522"/>
      <c r="I577" s="334"/>
      <c r="J577" s="321"/>
    </row>
    <row r="578" spans="1:43" s="132" customFormat="1" ht="31.5" x14ac:dyDescent="0.25">
      <c r="A578" s="315" t="s">
        <v>446</v>
      </c>
      <c r="B578" s="454">
        <v>905</v>
      </c>
      <c r="C578" s="414" t="s">
        <v>116</v>
      </c>
      <c r="D578" s="414" t="s">
        <v>132</v>
      </c>
      <c r="E578" s="414" t="s">
        <v>441</v>
      </c>
      <c r="F578" s="414"/>
      <c r="G578" s="314">
        <f>G579+G584</f>
        <v>6823.2</v>
      </c>
      <c r="H578" s="522"/>
      <c r="I578" s="334"/>
      <c r="J578" s="321"/>
    </row>
    <row r="579" spans="1:43" s="132" customFormat="1" ht="47.25" x14ac:dyDescent="0.25">
      <c r="A579" s="364" t="s">
        <v>230</v>
      </c>
      <c r="B579" s="455">
        <v>905</v>
      </c>
      <c r="C579" s="402" t="s">
        <v>116</v>
      </c>
      <c r="D579" s="402" t="s">
        <v>132</v>
      </c>
      <c r="E579" s="402" t="s">
        <v>574</v>
      </c>
      <c r="F579" s="402"/>
      <c r="G579" s="318">
        <f>G580+G582</f>
        <v>6823.2</v>
      </c>
      <c r="H579" s="522"/>
      <c r="I579" s="334"/>
      <c r="J579" s="321"/>
    </row>
    <row r="580" spans="1:43" s="132" customFormat="1" ht="31.5" x14ac:dyDescent="0.25">
      <c r="A580" s="364" t="s">
        <v>123</v>
      </c>
      <c r="B580" s="455">
        <v>905</v>
      </c>
      <c r="C580" s="402" t="s">
        <v>116</v>
      </c>
      <c r="D580" s="402" t="s">
        <v>132</v>
      </c>
      <c r="E580" s="402" t="s">
        <v>574</v>
      </c>
      <c r="F580" s="402" t="s">
        <v>124</v>
      </c>
      <c r="G580" s="318">
        <f>G581</f>
        <v>5928.7</v>
      </c>
      <c r="H580" s="522"/>
      <c r="I580" s="334"/>
      <c r="J580" s="321"/>
    </row>
    <row r="581" spans="1:43" s="132" customFormat="1" ht="31.5" x14ac:dyDescent="0.25">
      <c r="A581" s="364" t="s">
        <v>125</v>
      </c>
      <c r="B581" s="455">
        <v>905</v>
      </c>
      <c r="C581" s="402" t="s">
        <v>116</v>
      </c>
      <c r="D581" s="402" t="s">
        <v>132</v>
      </c>
      <c r="E581" s="402" t="s">
        <v>574</v>
      </c>
      <c r="F581" s="402" t="s">
        <v>126</v>
      </c>
      <c r="G581" s="318">
        <v>5928.7</v>
      </c>
      <c r="H581" s="520"/>
      <c r="I581" s="334"/>
      <c r="J581" s="334"/>
    </row>
    <row r="582" spans="1:43" s="132" customFormat="1" ht="15.75" x14ac:dyDescent="0.25">
      <c r="A582" s="364" t="s">
        <v>127</v>
      </c>
      <c r="B582" s="455">
        <v>905</v>
      </c>
      <c r="C582" s="402" t="s">
        <v>116</v>
      </c>
      <c r="D582" s="402" t="s">
        <v>132</v>
      </c>
      <c r="E582" s="402" t="s">
        <v>574</v>
      </c>
      <c r="F582" s="402" t="s">
        <v>134</v>
      </c>
      <c r="G582" s="318">
        <f>G583</f>
        <v>894.5</v>
      </c>
      <c r="H582" s="530"/>
      <c r="I582" s="334"/>
      <c r="J582" s="334"/>
    </row>
    <row r="583" spans="1:43" s="132" customFormat="1" ht="31.5" x14ac:dyDescent="0.25">
      <c r="A583" s="364" t="s">
        <v>413</v>
      </c>
      <c r="B583" s="455">
        <v>905</v>
      </c>
      <c r="C583" s="402" t="s">
        <v>116</v>
      </c>
      <c r="D583" s="402" t="s">
        <v>132</v>
      </c>
      <c r="E583" s="402" t="s">
        <v>574</v>
      </c>
      <c r="F583" s="402" t="s">
        <v>136</v>
      </c>
      <c r="G583" s="318">
        <v>894.5</v>
      </c>
      <c r="H583" s="530" t="s">
        <v>1305</v>
      </c>
      <c r="I583" s="334"/>
      <c r="J583" s="334"/>
    </row>
    <row r="584" spans="1:43" s="132" customFormat="1" ht="31.5" hidden="1" x14ac:dyDescent="0.25">
      <c r="A584" s="364" t="s">
        <v>502</v>
      </c>
      <c r="B584" s="455">
        <v>905</v>
      </c>
      <c r="C584" s="402" t="s">
        <v>116</v>
      </c>
      <c r="D584" s="402" t="s">
        <v>132</v>
      </c>
      <c r="E584" s="402" t="s">
        <v>575</v>
      </c>
      <c r="F584" s="402"/>
      <c r="G584" s="318">
        <f>G585</f>
        <v>0</v>
      </c>
      <c r="H584" s="522"/>
      <c r="I584" s="334"/>
      <c r="J584" s="321"/>
    </row>
    <row r="585" spans="1:43" s="132" customFormat="1" ht="31.5" hidden="1" x14ac:dyDescent="0.25">
      <c r="A585" s="364" t="s">
        <v>123</v>
      </c>
      <c r="B585" s="455">
        <v>905</v>
      </c>
      <c r="C585" s="402" t="s">
        <v>116</v>
      </c>
      <c r="D585" s="402" t="s">
        <v>132</v>
      </c>
      <c r="E585" s="402" t="s">
        <v>575</v>
      </c>
      <c r="F585" s="402" t="s">
        <v>124</v>
      </c>
      <c r="G585" s="318">
        <f>G586</f>
        <v>0</v>
      </c>
      <c r="H585" s="522"/>
      <c r="I585" s="334"/>
      <c r="J585" s="321"/>
    </row>
    <row r="586" spans="1:43" s="132" customFormat="1" ht="31.5" hidden="1" x14ac:dyDescent="0.25">
      <c r="A586" s="364" t="s">
        <v>125</v>
      </c>
      <c r="B586" s="455">
        <v>905</v>
      </c>
      <c r="C586" s="402" t="s">
        <v>116</v>
      </c>
      <c r="D586" s="402" t="s">
        <v>132</v>
      </c>
      <c r="E586" s="402" t="s">
        <v>575</v>
      </c>
      <c r="F586" s="402" t="s">
        <v>126</v>
      </c>
      <c r="G586" s="318">
        <f>100-100</f>
        <v>0</v>
      </c>
      <c r="H586" s="522"/>
      <c r="I586" s="334"/>
      <c r="J586" s="321"/>
    </row>
    <row r="587" spans="1:43" s="72" customFormat="1" ht="69.400000000000006" hidden="1" customHeight="1" x14ac:dyDescent="0.25">
      <c r="A587" s="315" t="s">
        <v>977</v>
      </c>
      <c r="B587" s="454">
        <v>905</v>
      </c>
      <c r="C587" s="414" t="s">
        <v>116</v>
      </c>
      <c r="D587" s="414" t="s">
        <v>132</v>
      </c>
      <c r="E587" s="414" t="s">
        <v>360</v>
      </c>
      <c r="F587" s="414"/>
      <c r="G587" s="314">
        <f t="shared" ref="G587:G590" si="40">G588</f>
        <v>0</v>
      </c>
      <c r="H587" s="522"/>
      <c r="I587" s="337"/>
      <c r="J587" s="78"/>
      <c r="K587" s="134"/>
      <c r="AD587" s="134"/>
      <c r="AE587" s="134"/>
      <c r="AF587" s="134"/>
      <c r="AG587" s="134"/>
      <c r="AH587" s="134"/>
      <c r="AI587" s="134"/>
      <c r="AJ587" s="134"/>
      <c r="AK587" s="134"/>
      <c r="AN587" s="134"/>
      <c r="AO587" s="134"/>
      <c r="AQ587" s="134"/>
    </row>
    <row r="588" spans="1:43" s="134" customFormat="1" ht="29.25" hidden="1" customHeight="1" x14ac:dyDescent="0.25">
      <c r="A588" s="315" t="s">
        <v>501</v>
      </c>
      <c r="B588" s="454">
        <v>905</v>
      </c>
      <c r="C588" s="414" t="s">
        <v>116</v>
      </c>
      <c r="D588" s="414" t="s">
        <v>132</v>
      </c>
      <c r="E588" s="414" t="s">
        <v>583</v>
      </c>
      <c r="F588" s="414"/>
      <c r="G588" s="314">
        <f t="shared" si="40"/>
        <v>0</v>
      </c>
      <c r="H588" s="522"/>
      <c r="I588" s="337"/>
      <c r="J588" s="78"/>
    </row>
    <row r="589" spans="1:43" s="72" customFormat="1" ht="15.75" hidden="1" x14ac:dyDescent="0.25">
      <c r="A589" s="364" t="s">
        <v>973</v>
      </c>
      <c r="B589" s="455">
        <v>905</v>
      </c>
      <c r="C589" s="402" t="s">
        <v>116</v>
      </c>
      <c r="D589" s="402" t="s">
        <v>132</v>
      </c>
      <c r="E589" s="402" t="s">
        <v>584</v>
      </c>
      <c r="F589" s="402"/>
      <c r="G589" s="318">
        <f t="shared" si="40"/>
        <v>0</v>
      </c>
      <c r="H589" s="522"/>
      <c r="I589" s="337"/>
      <c r="J589" s="78"/>
      <c r="K589" s="134"/>
      <c r="AD589" s="134"/>
      <c r="AE589" s="134"/>
      <c r="AF589" s="134"/>
      <c r="AG589" s="134"/>
      <c r="AH589" s="134"/>
      <c r="AI589" s="134"/>
      <c r="AJ589" s="134"/>
      <c r="AK589" s="134"/>
      <c r="AN589" s="134"/>
      <c r="AO589" s="134"/>
      <c r="AQ589" s="134"/>
    </row>
    <row r="590" spans="1:43" s="72" customFormat="1" ht="31.5" hidden="1" x14ac:dyDescent="0.25">
      <c r="A590" s="364" t="s">
        <v>123</v>
      </c>
      <c r="B590" s="455">
        <v>905</v>
      </c>
      <c r="C590" s="402" t="s">
        <v>116</v>
      </c>
      <c r="D590" s="402" t="s">
        <v>132</v>
      </c>
      <c r="E590" s="402" t="s">
        <v>584</v>
      </c>
      <c r="F590" s="402" t="s">
        <v>124</v>
      </c>
      <c r="G590" s="318">
        <f t="shared" si="40"/>
        <v>0</v>
      </c>
      <c r="H590" s="522"/>
      <c r="I590" s="337"/>
      <c r="J590" s="78"/>
      <c r="K590" s="134"/>
      <c r="AD590" s="134"/>
      <c r="AE590" s="134"/>
      <c r="AF590" s="134"/>
      <c r="AG590" s="134"/>
      <c r="AH590" s="134"/>
      <c r="AI590" s="134"/>
      <c r="AJ590" s="134"/>
      <c r="AK590" s="134"/>
      <c r="AN590" s="134"/>
      <c r="AO590" s="134"/>
      <c r="AQ590" s="134"/>
    </row>
    <row r="591" spans="1:43" s="72" customFormat="1" ht="31.5" hidden="1" x14ac:dyDescent="0.25">
      <c r="A591" s="364" t="s">
        <v>125</v>
      </c>
      <c r="B591" s="455">
        <v>905</v>
      </c>
      <c r="C591" s="402" t="s">
        <v>116</v>
      </c>
      <c r="D591" s="402" t="s">
        <v>132</v>
      </c>
      <c r="E591" s="402" t="s">
        <v>584</v>
      </c>
      <c r="F591" s="402" t="s">
        <v>126</v>
      </c>
      <c r="G591" s="318"/>
      <c r="H591" s="525"/>
      <c r="I591" s="337"/>
      <c r="J591" s="78"/>
      <c r="K591" s="134"/>
      <c r="AD591" s="134"/>
      <c r="AE591" s="134"/>
      <c r="AF591" s="134"/>
      <c r="AG591" s="134"/>
      <c r="AH591" s="134"/>
      <c r="AI591" s="134"/>
      <c r="AJ591" s="134"/>
      <c r="AK591" s="134"/>
      <c r="AN591" s="134"/>
      <c r="AO591" s="134"/>
      <c r="AQ591" s="134"/>
    </row>
    <row r="592" spans="1:43" ht="15.75" x14ac:dyDescent="0.25">
      <c r="A592" s="359" t="s">
        <v>231</v>
      </c>
      <c r="B592" s="454">
        <v>905</v>
      </c>
      <c r="C592" s="414" t="s">
        <v>168</v>
      </c>
      <c r="D592" s="414"/>
      <c r="E592" s="414"/>
      <c r="F592" s="414"/>
      <c r="G592" s="314">
        <f t="shared" ref="G592:G594" si="41">G593</f>
        <v>270.39999999999998</v>
      </c>
      <c r="H592" s="531"/>
      <c r="I592" s="334"/>
      <c r="J592" s="321"/>
      <c r="K592" s="132"/>
    </row>
    <row r="593" spans="1:11" ht="15.75" x14ac:dyDescent="0.25">
      <c r="A593" s="359" t="s">
        <v>232</v>
      </c>
      <c r="B593" s="454">
        <v>905</v>
      </c>
      <c r="C593" s="414" t="s">
        <v>168</v>
      </c>
      <c r="D593" s="414" t="s">
        <v>116</v>
      </c>
      <c r="E593" s="414"/>
      <c r="F593" s="414"/>
      <c r="G593" s="314">
        <f t="shared" si="41"/>
        <v>270.39999999999998</v>
      </c>
      <c r="H593" s="525"/>
      <c r="I593" s="334"/>
      <c r="J593" s="321"/>
      <c r="K593" s="132"/>
    </row>
    <row r="594" spans="1:11" s="132" customFormat="1" ht="15.75" x14ac:dyDescent="0.25">
      <c r="A594" s="315" t="s">
        <v>133</v>
      </c>
      <c r="B594" s="454">
        <v>905</v>
      </c>
      <c r="C594" s="414" t="s">
        <v>168</v>
      </c>
      <c r="D594" s="414" t="s">
        <v>116</v>
      </c>
      <c r="E594" s="414" t="s">
        <v>442</v>
      </c>
      <c r="F594" s="414"/>
      <c r="G594" s="314">
        <f t="shared" si="41"/>
        <v>270.39999999999998</v>
      </c>
      <c r="H594" s="522"/>
      <c r="I594" s="334"/>
      <c r="J594" s="321"/>
    </row>
    <row r="595" spans="1:11" s="132" customFormat="1" ht="31.5" x14ac:dyDescent="0.25">
      <c r="A595" s="315" t="s">
        <v>446</v>
      </c>
      <c r="B595" s="454">
        <v>905</v>
      </c>
      <c r="C595" s="414" t="s">
        <v>168</v>
      </c>
      <c r="D595" s="414" t="s">
        <v>116</v>
      </c>
      <c r="E595" s="414" t="s">
        <v>441</v>
      </c>
      <c r="F595" s="414"/>
      <c r="G595" s="314">
        <f>G596+G599</f>
        <v>270.39999999999998</v>
      </c>
      <c r="H595" s="522"/>
      <c r="I595" s="334"/>
      <c r="J595" s="321"/>
    </row>
    <row r="596" spans="1:11" ht="31.5" x14ac:dyDescent="0.25">
      <c r="A596" s="22" t="s">
        <v>233</v>
      </c>
      <c r="B596" s="455">
        <v>905</v>
      </c>
      <c r="C596" s="402" t="s">
        <v>168</v>
      </c>
      <c r="D596" s="402" t="s">
        <v>116</v>
      </c>
      <c r="E596" s="402" t="s">
        <v>526</v>
      </c>
      <c r="F596" s="402"/>
      <c r="G596" s="318">
        <f>G597</f>
        <v>270.39999999999998</v>
      </c>
      <c r="H596" s="522"/>
      <c r="I596" s="334"/>
      <c r="J596" s="321"/>
      <c r="K596" s="132"/>
    </row>
    <row r="597" spans="1:11" ht="31.5" x14ac:dyDescent="0.25">
      <c r="A597" s="364" t="s">
        <v>123</v>
      </c>
      <c r="B597" s="455">
        <v>905</v>
      </c>
      <c r="C597" s="402" t="s">
        <v>168</v>
      </c>
      <c r="D597" s="402" t="s">
        <v>116</v>
      </c>
      <c r="E597" s="402" t="s">
        <v>526</v>
      </c>
      <c r="F597" s="402" t="s">
        <v>124</v>
      </c>
      <c r="G597" s="318">
        <f>G598</f>
        <v>270.39999999999998</v>
      </c>
      <c r="H597" s="522"/>
      <c r="I597" s="334"/>
      <c r="J597" s="321"/>
      <c r="K597" s="132"/>
    </row>
    <row r="598" spans="1:11" ht="31.5" x14ac:dyDescent="0.25">
      <c r="A598" s="364" t="s">
        <v>125</v>
      </c>
      <c r="B598" s="455">
        <v>905</v>
      </c>
      <c r="C598" s="402" t="s">
        <v>168</v>
      </c>
      <c r="D598" s="402" t="s">
        <v>116</v>
      </c>
      <c r="E598" s="402" t="s">
        <v>526</v>
      </c>
      <c r="F598" s="402" t="s">
        <v>126</v>
      </c>
      <c r="G598" s="318">
        <v>270.39999999999998</v>
      </c>
      <c r="H598" s="522"/>
      <c r="I598" s="334"/>
      <c r="J598" s="321"/>
      <c r="K598" s="132"/>
    </row>
    <row r="599" spans="1:11" ht="31.5" hidden="1" x14ac:dyDescent="0.25">
      <c r="A599" s="22" t="s">
        <v>503</v>
      </c>
      <c r="B599" s="455">
        <v>905</v>
      </c>
      <c r="C599" s="402" t="s">
        <v>168</v>
      </c>
      <c r="D599" s="402" t="s">
        <v>116</v>
      </c>
      <c r="E599" s="402" t="s">
        <v>527</v>
      </c>
      <c r="F599" s="402"/>
      <c r="G599" s="318">
        <f>G600</f>
        <v>0</v>
      </c>
      <c r="H599" s="522"/>
      <c r="I599" s="334"/>
      <c r="J599" s="321"/>
      <c r="K599" s="132"/>
    </row>
    <row r="600" spans="1:11" ht="31.5" hidden="1" x14ac:dyDescent="0.25">
      <c r="A600" s="364" t="s">
        <v>123</v>
      </c>
      <c r="B600" s="455">
        <v>905</v>
      </c>
      <c r="C600" s="402" t="s">
        <v>168</v>
      </c>
      <c r="D600" s="402" t="s">
        <v>116</v>
      </c>
      <c r="E600" s="402" t="s">
        <v>527</v>
      </c>
      <c r="F600" s="402" t="s">
        <v>124</v>
      </c>
      <c r="G600" s="318">
        <f>G601</f>
        <v>0</v>
      </c>
      <c r="H600" s="522"/>
      <c r="I600" s="334"/>
      <c r="J600" s="321"/>
      <c r="K600" s="132"/>
    </row>
    <row r="601" spans="1:11" ht="31.5" hidden="1" x14ac:dyDescent="0.25">
      <c r="A601" s="364" t="s">
        <v>125</v>
      </c>
      <c r="B601" s="455">
        <v>905</v>
      </c>
      <c r="C601" s="402" t="s">
        <v>168</v>
      </c>
      <c r="D601" s="402" t="s">
        <v>116</v>
      </c>
      <c r="E601" s="402" t="s">
        <v>527</v>
      </c>
      <c r="F601" s="402" t="s">
        <v>126</v>
      </c>
      <c r="G601" s="318">
        <v>0</v>
      </c>
      <c r="H601" s="522"/>
      <c r="I601" s="334"/>
      <c r="J601" s="321"/>
      <c r="K601" s="132"/>
    </row>
    <row r="602" spans="1:11" s="132" customFormat="1" ht="15.75" hidden="1" x14ac:dyDescent="0.25">
      <c r="A602" s="315" t="s">
        <v>173</v>
      </c>
      <c r="B602" s="454">
        <v>905</v>
      </c>
      <c r="C602" s="414" t="s">
        <v>174</v>
      </c>
      <c r="D602" s="402"/>
      <c r="E602" s="402"/>
      <c r="F602" s="402"/>
      <c r="G602" s="314">
        <f t="shared" ref="G602:G606" si="42">G603</f>
        <v>0</v>
      </c>
      <c r="H602" s="522"/>
      <c r="I602" s="334"/>
      <c r="J602" s="321"/>
    </row>
    <row r="603" spans="1:11" s="132" customFormat="1" ht="15.75" hidden="1" x14ac:dyDescent="0.25">
      <c r="A603" s="315" t="s">
        <v>234</v>
      </c>
      <c r="B603" s="454">
        <v>905</v>
      </c>
      <c r="C603" s="414" t="s">
        <v>174</v>
      </c>
      <c r="D603" s="414" t="s">
        <v>139</v>
      </c>
      <c r="E603" s="402"/>
      <c r="F603" s="402"/>
      <c r="G603" s="314">
        <f t="shared" si="42"/>
        <v>0</v>
      </c>
      <c r="H603" s="522"/>
      <c r="I603" s="334"/>
      <c r="J603" s="321"/>
    </row>
    <row r="604" spans="1:11" s="132" customFormat="1" ht="31.5" hidden="1" x14ac:dyDescent="0.25">
      <c r="A604" s="315" t="s">
        <v>460</v>
      </c>
      <c r="B604" s="454">
        <v>905</v>
      </c>
      <c r="C604" s="414" t="s">
        <v>174</v>
      </c>
      <c r="D604" s="414" t="s">
        <v>139</v>
      </c>
      <c r="E604" s="414" t="s">
        <v>439</v>
      </c>
      <c r="F604" s="402"/>
      <c r="G604" s="314">
        <f t="shared" si="42"/>
        <v>0</v>
      </c>
      <c r="H604" s="522"/>
      <c r="I604" s="334"/>
      <c r="J604" s="321"/>
    </row>
    <row r="605" spans="1:11" s="132" customFormat="1" ht="48" hidden="1" customHeight="1" x14ac:dyDescent="0.25">
      <c r="A605" s="364" t="s">
        <v>838</v>
      </c>
      <c r="B605" s="455">
        <v>905</v>
      </c>
      <c r="C605" s="402" t="s">
        <v>174</v>
      </c>
      <c r="D605" s="402" t="s">
        <v>139</v>
      </c>
      <c r="E605" s="402" t="s">
        <v>720</v>
      </c>
      <c r="F605" s="402"/>
      <c r="G605" s="318">
        <f t="shared" si="42"/>
        <v>0</v>
      </c>
      <c r="H605" s="522"/>
      <c r="I605" s="334"/>
      <c r="J605" s="321"/>
    </row>
    <row r="606" spans="1:11" s="132" customFormat="1" ht="31.5" hidden="1" x14ac:dyDescent="0.25">
      <c r="A606" s="364" t="s">
        <v>123</v>
      </c>
      <c r="B606" s="455">
        <v>905</v>
      </c>
      <c r="C606" s="402" t="s">
        <v>174</v>
      </c>
      <c r="D606" s="402" t="s">
        <v>139</v>
      </c>
      <c r="E606" s="402" t="s">
        <v>720</v>
      </c>
      <c r="F606" s="402" t="s">
        <v>124</v>
      </c>
      <c r="G606" s="318">
        <f t="shared" si="42"/>
        <v>0</v>
      </c>
      <c r="H606" s="522"/>
      <c r="I606" s="334"/>
      <c r="J606" s="321"/>
    </row>
    <row r="607" spans="1:11" s="132" customFormat="1" ht="31.5" hidden="1" x14ac:dyDescent="0.25">
      <c r="A607" s="364" t="s">
        <v>125</v>
      </c>
      <c r="B607" s="455">
        <v>905</v>
      </c>
      <c r="C607" s="402" t="s">
        <v>174</v>
      </c>
      <c r="D607" s="402" t="s">
        <v>139</v>
      </c>
      <c r="E607" s="402" t="s">
        <v>720</v>
      </c>
      <c r="F607" s="402" t="s">
        <v>126</v>
      </c>
      <c r="G607" s="318">
        <f>1975.4-1975.4</f>
        <v>0</v>
      </c>
      <c r="H607" s="522"/>
      <c r="I607" s="334"/>
      <c r="J607" s="321"/>
    </row>
    <row r="608" spans="1:11" ht="31.5" x14ac:dyDescent="0.25">
      <c r="A608" s="312" t="s">
        <v>235</v>
      </c>
      <c r="B608" s="454">
        <v>906</v>
      </c>
      <c r="C608" s="414"/>
      <c r="D608" s="414"/>
      <c r="E608" s="414"/>
      <c r="F608" s="414"/>
      <c r="G608" s="314">
        <f>G616+G609</f>
        <v>364775.26</v>
      </c>
      <c r="H608" s="523"/>
      <c r="I608" s="334"/>
      <c r="J608" s="321"/>
      <c r="K608" s="132"/>
    </row>
    <row r="609" spans="1:11" ht="15.75" hidden="1" x14ac:dyDescent="0.25">
      <c r="A609" s="315" t="s">
        <v>115</v>
      </c>
      <c r="B609" s="454">
        <v>906</v>
      </c>
      <c r="C609" s="414" t="s">
        <v>116</v>
      </c>
      <c r="D609" s="414"/>
      <c r="E609" s="414"/>
      <c r="F609" s="414"/>
      <c r="G609" s="314">
        <f t="shared" ref="G609:G614" si="43">G610</f>
        <v>0</v>
      </c>
      <c r="H609" s="522"/>
      <c r="I609" s="334"/>
      <c r="J609" s="321"/>
      <c r="K609" s="132"/>
    </row>
    <row r="610" spans="1:11" ht="15.75" hidden="1" x14ac:dyDescent="0.25">
      <c r="A610" s="26" t="s">
        <v>131</v>
      </c>
      <c r="B610" s="454">
        <v>906</v>
      </c>
      <c r="C610" s="414" t="s">
        <v>116</v>
      </c>
      <c r="D610" s="414" t="s">
        <v>132</v>
      </c>
      <c r="E610" s="414"/>
      <c r="F610" s="414"/>
      <c r="G610" s="314">
        <f t="shared" si="43"/>
        <v>0</v>
      </c>
      <c r="H610" s="522"/>
      <c r="I610" s="334"/>
      <c r="J610" s="321"/>
      <c r="K610" s="132"/>
    </row>
    <row r="611" spans="1:11" ht="31.5" hidden="1" x14ac:dyDescent="0.25">
      <c r="A611" s="315" t="s">
        <v>857</v>
      </c>
      <c r="B611" s="454">
        <v>906</v>
      </c>
      <c r="C611" s="414" t="s">
        <v>116</v>
      </c>
      <c r="D611" s="414" t="s">
        <v>132</v>
      </c>
      <c r="E611" s="414" t="s">
        <v>209</v>
      </c>
      <c r="F611" s="414"/>
      <c r="G611" s="314">
        <f t="shared" si="43"/>
        <v>0</v>
      </c>
      <c r="H611" s="522"/>
      <c r="I611" s="334"/>
      <c r="J611" s="321"/>
      <c r="K611" s="132"/>
    </row>
    <row r="612" spans="1:11" s="132" customFormat="1" ht="31.5" hidden="1" x14ac:dyDescent="0.25">
      <c r="A612" s="139" t="s">
        <v>610</v>
      </c>
      <c r="B612" s="454">
        <v>906</v>
      </c>
      <c r="C612" s="414" t="s">
        <v>116</v>
      </c>
      <c r="D612" s="414" t="s">
        <v>132</v>
      </c>
      <c r="E612" s="414" t="s">
        <v>611</v>
      </c>
      <c r="F612" s="414"/>
      <c r="G612" s="314">
        <f t="shared" si="43"/>
        <v>0</v>
      </c>
      <c r="H612" s="522"/>
      <c r="I612" s="334"/>
      <c r="J612" s="321"/>
    </row>
    <row r="613" spans="1:11" ht="31.5" hidden="1" x14ac:dyDescent="0.25">
      <c r="A613" s="69" t="s">
        <v>210</v>
      </c>
      <c r="B613" s="455">
        <v>906</v>
      </c>
      <c r="C613" s="402" t="s">
        <v>116</v>
      </c>
      <c r="D613" s="402" t="s">
        <v>132</v>
      </c>
      <c r="E613" s="402" t="s">
        <v>612</v>
      </c>
      <c r="F613" s="402"/>
      <c r="G613" s="318">
        <f t="shared" si="43"/>
        <v>0</v>
      </c>
      <c r="H613" s="522"/>
      <c r="I613" s="334"/>
      <c r="J613" s="321"/>
      <c r="K613" s="132"/>
    </row>
    <row r="614" spans="1:11" ht="31.5" hidden="1" x14ac:dyDescent="0.25">
      <c r="A614" s="364" t="s">
        <v>123</v>
      </c>
      <c r="B614" s="455">
        <v>906</v>
      </c>
      <c r="C614" s="402" t="s">
        <v>116</v>
      </c>
      <c r="D614" s="402" t="s">
        <v>132</v>
      </c>
      <c r="E614" s="402" t="s">
        <v>612</v>
      </c>
      <c r="F614" s="402" t="s">
        <v>124</v>
      </c>
      <c r="G614" s="318">
        <f t="shared" si="43"/>
        <v>0</v>
      </c>
      <c r="H614" s="522"/>
      <c r="I614" s="334"/>
      <c r="J614" s="321"/>
      <c r="K614" s="132"/>
    </row>
    <row r="615" spans="1:11" ht="31.5" hidden="1" x14ac:dyDescent="0.25">
      <c r="A615" s="364" t="s">
        <v>125</v>
      </c>
      <c r="B615" s="455">
        <v>906</v>
      </c>
      <c r="C615" s="402" t="s">
        <v>116</v>
      </c>
      <c r="D615" s="402" t="s">
        <v>132</v>
      </c>
      <c r="E615" s="402" t="s">
        <v>612</v>
      </c>
      <c r="F615" s="402" t="s">
        <v>126</v>
      </c>
      <c r="G615" s="318"/>
      <c r="H615" s="522"/>
      <c r="I615" s="334"/>
      <c r="J615" s="321"/>
      <c r="K615" s="132"/>
    </row>
    <row r="616" spans="1:11" ht="15.75" x14ac:dyDescent="0.25">
      <c r="A616" s="315" t="s">
        <v>186</v>
      </c>
      <c r="B616" s="454">
        <v>906</v>
      </c>
      <c r="C616" s="414" t="s">
        <v>187</v>
      </c>
      <c r="D616" s="414"/>
      <c r="E616" s="414"/>
      <c r="F616" s="414"/>
      <c r="G616" s="314">
        <f>G617+G679+G801+G807+G768</f>
        <v>364775.26</v>
      </c>
      <c r="H616" s="522"/>
      <c r="I616" s="334"/>
      <c r="J616" s="321"/>
      <c r="K616" s="132"/>
    </row>
    <row r="617" spans="1:11" ht="15.75" x14ac:dyDescent="0.25">
      <c r="A617" s="315" t="s">
        <v>236</v>
      </c>
      <c r="B617" s="454">
        <v>906</v>
      </c>
      <c r="C617" s="414" t="s">
        <v>187</v>
      </c>
      <c r="D617" s="414" t="s">
        <v>116</v>
      </c>
      <c r="E617" s="414"/>
      <c r="F617" s="414"/>
      <c r="G617" s="314">
        <f>G618+G669+G674</f>
        <v>90813.88</v>
      </c>
      <c r="H617" s="523"/>
      <c r="I617" s="334"/>
      <c r="J617" s="321"/>
      <c r="K617" s="132"/>
    </row>
    <row r="618" spans="1:11" ht="36" customHeight="1" x14ac:dyDescent="0.25">
      <c r="A618" s="315" t="s">
        <v>858</v>
      </c>
      <c r="B618" s="454">
        <v>906</v>
      </c>
      <c r="C618" s="414" t="s">
        <v>187</v>
      </c>
      <c r="D618" s="414" t="s">
        <v>116</v>
      </c>
      <c r="E618" s="414" t="s">
        <v>237</v>
      </c>
      <c r="F618" s="414"/>
      <c r="G618" s="314">
        <f>G619+G623+G630+G640+G650+G654+G661+G665</f>
        <v>90162.08</v>
      </c>
      <c r="H618" s="522"/>
      <c r="I618" s="334"/>
      <c r="J618" s="321"/>
      <c r="K618" s="132"/>
    </row>
    <row r="619" spans="1:11" s="132" customFormat="1" ht="38.25" customHeight="1" x14ac:dyDescent="0.25">
      <c r="A619" s="315" t="s">
        <v>507</v>
      </c>
      <c r="B619" s="454">
        <v>906</v>
      </c>
      <c r="C619" s="414" t="s">
        <v>187</v>
      </c>
      <c r="D619" s="414" t="s">
        <v>116</v>
      </c>
      <c r="E619" s="414" t="s">
        <v>766</v>
      </c>
      <c r="F619" s="414"/>
      <c r="G619" s="314">
        <f t="shared" ref="G619:G621" si="44">G620</f>
        <v>16977.59</v>
      </c>
      <c r="H619" s="522"/>
      <c r="I619" s="334"/>
      <c r="J619" s="321"/>
    </row>
    <row r="620" spans="1:11" ht="31.5" x14ac:dyDescent="0.25">
      <c r="A620" s="364" t="s">
        <v>765</v>
      </c>
      <c r="B620" s="455">
        <v>906</v>
      </c>
      <c r="C620" s="402" t="s">
        <v>187</v>
      </c>
      <c r="D620" s="402" t="s">
        <v>116</v>
      </c>
      <c r="E620" s="402" t="s">
        <v>767</v>
      </c>
      <c r="F620" s="402"/>
      <c r="G620" s="318">
        <f t="shared" si="44"/>
        <v>16977.59</v>
      </c>
      <c r="H620" s="522"/>
      <c r="I620" s="334"/>
      <c r="J620" s="321"/>
      <c r="K620" s="132"/>
    </row>
    <row r="621" spans="1:11" ht="31.5" x14ac:dyDescent="0.25">
      <c r="A621" s="364" t="s">
        <v>191</v>
      </c>
      <c r="B621" s="455">
        <v>906</v>
      </c>
      <c r="C621" s="402" t="s">
        <v>187</v>
      </c>
      <c r="D621" s="402" t="s">
        <v>116</v>
      </c>
      <c r="E621" s="402" t="s">
        <v>767</v>
      </c>
      <c r="F621" s="402" t="s">
        <v>192</v>
      </c>
      <c r="G621" s="318">
        <f t="shared" si="44"/>
        <v>16977.59</v>
      </c>
      <c r="H621" s="522"/>
      <c r="I621" s="334"/>
      <c r="J621" s="321"/>
      <c r="K621" s="132"/>
    </row>
    <row r="622" spans="1:11" ht="15.75" x14ac:dyDescent="0.25">
      <c r="A622" s="364" t="s">
        <v>193</v>
      </c>
      <c r="B622" s="455">
        <v>906</v>
      </c>
      <c r="C622" s="402" t="s">
        <v>187</v>
      </c>
      <c r="D622" s="402" t="s">
        <v>116</v>
      </c>
      <c r="E622" s="402" t="s">
        <v>767</v>
      </c>
      <c r="F622" s="402" t="s">
        <v>194</v>
      </c>
      <c r="G622" s="20">
        <f>16777.19+40.4+80+80</f>
        <v>16977.59</v>
      </c>
      <c r="H622" s="522" t="s">
        <v>1258</v>
      </c>
      <c r="I622" s="334" t="s">
        <v>1255</v>
      </c>
      <c r="J622" s="321"/>
      <c r="K622" s="132"/>
    </row>
    <row r="623" spans="1:11" s="132" customFormat="1" ht="31.7" customHeight="1" x14ac:dyDescent="0.25">
      <c r="A623" s="315" t="s">
        <v>471</v>
      </c>
      <c r="B623" s="454">
        <v>906</v>
      </c>
      <c r="C623" s="414" t="s">
        <v>187</v>
      </c>
      <c r="D623" s="414" t="s">
        <v>116</v>
      </c>
      <c r="E623" s="414" t="s">
        <v>768</v>
      </c>
      <c r="F623" s="414"/>
      <c r="G623" s="30">
        <f>G624+G627</f>
        <v>63608.71</v>
      </c>
      <c r="H623" s="523"/>
      <c r="I623" s="334" t="s">
        <v>1257</v>
      </c>
      <c r="J623" s="321"/>
    </row>
    <row r="624" spans="1:11" s="132" customFormat="1" ht="78.75" x14ac:dyDescent="0.25">
      <c r="A624" s="24" t="s">
        <v>200</v>
      </c>
      <c r="B624" s="455">
        <v>906</v>
      </c>
      <c r="C624" s="402" t="s">
        <v>187</v>
      </c>
      <c r="D624" s="402" t="s">
        <v>116</v>
      </c>
      <c r="E624" s="402" t="s">
        <v>884</v>
      </c>
      <c r="F624" s="402"/>
      <c r="G624" s="318">
        <f>G625</f>
        <v>3430</v>
      </c>
      <c r="H624" s="523"/>
      <c r="I624" s="334" t="s">
        <v>1256</v>
      </c>
      <c r="J624" s="321"/>
    </row>
    <row r="625" spans="1:11" s="132" customFormat="1" ht="31.7" customHeight="1" x14ac:dyDescent="0.25">
      <c r="A625" s="364" t="s">
        <v>191</v>
      </c>
      <c r="B625" s="455">
        <v>906</v>
      </c>
      <c r="C625" s="402" t="s">
        <v>187</v>
      </c>
      <c r="D625" s="402" t="s">
        <v>116</v>
      </c>
      <c r="E625" s="402" t="s">
        <v>884</v>
      </c>
      <c r="F625" s="402" t="s">
        <v>192</v>
      </c>
      <c r="G625" s="318">
        <f>G626</f>
        <v>3430</v>
      </c>
      <c r="H625" s="523"/>
      <c r="I625" s="334"/>
      <c r="J625" s="321"/>
    </row>
    <row r="626" spans="1:11" s="132" customFormat="1" ht="18.399999999999999" customHeight="1" x14ac:dyDescent="0.25">
      <c r="A626" s="364" t="s">
        <v>193</v>
      </c>
      <c r="B626" s="455">
        <v>906</v>
      </c>
      <c r="C626" s="402" t="s">
        <v>187</v>
      </c>
      <c r="D626" s="402" t="s">
        <v>116</v>
      </c>
      <c r="E626" s="402" t="s">
        <v>884</v>
      </c>
      <c r="F626" s="402" t="s">
        <v>194</v>
      </c>
      <c r="G626" s="20">
        <f>3050+100+280</f>
        <v>3430</v>
      </c>
      <c r="H626" s="523" t="s">
        <v>1334</v>
      </c>
      <c r="I626" s="334"/>
      <c r="J626" s="321"/>
    </row>
    <row r="627" spans="1:11" s="132" customFormat="1" ht="31.5" x14ac:dyDescent="0.25">
      <c r="A627" s="364" t="s">
        <v>1147</v>
      </c>
      <c r="B627" s="455">
        <v>906</v>
      </c>
      <c r="C627" s="402" t="s">
        <v>187</v>
      </c>
      <c r="D627" s="402" t="s">
        <v>116</v>
      </c>
      <c r="E627" s="402" t="s">
        <v>1148</v>
      </c>
      <c r="F627" s="402"/>
      <c r="G627" s="318">
        <f>G628</f>
        <v>60178.71</v>
      </c>
      <c r="H627" s="522"/>
      <c r="I627" s="334"/>
      <c r="J627" s="321"/>
    </row>
    <row r="628" spans="1:11" s="132" customFormat="1" ht="31.5" x14ac:dyDescent="0.25">
      <c r="A628" s="364" t="s">
        <v>191</v>
      </c>
      <c r="B628" s="455">
        <v>906</v>
      </c>
      <c r="C628" s="402" t="s">
        <v>187</v>
      </c>
      <c r="D628" s="402" t="s">
        <v>116</v>
      </c>
      <c r="E628" s="402" t="s">
        <v>1148</v>
      </c>
      <c r="F628" s="402" t="s">
        <v>192</v>
      </c>
      <c r="G628" s="318">
        <f>G629</f>
        <v>60178.71</v>
      </c>
      <c r="H628" s="522"/>
      <c r="I628" s="334"/>
      <c r="J628" s="321"/>
    </row>
    <row r="629" spans="1:11" s="132" customFormat="1" ht="15.75" x14ac:dyDescent="0.25">
      <c r="A629" s="364" t="s">
        <v>193</v>
      </c>
      <c r="B629" s="455">
        <v>906</v>
      </c>
      <c r="C629" s="402" t="s">
        <v>187</v>
      </c>
      <c r="D629" s="402" t="s">
        <v>116</v>
      </c>
      <c r="E629" s="402" t="s">
        <v>1148</v>
      </c>
      <c r="F629" s="402" t="s">
        <v>194</v>
      </c>
      <c r="G629" s="20">
        <f>59700.2+478.51</f>
        <v>60178.71</v>
      </c>
      <c r="H629" s="522" t="s">
        <v>1322</v>
      </c>
      <c r="I629" s="334"/>
      <c r="J629" s="321"/>
    </row>
    <row r="630" spans="1:11" s="132" customFormat="1" ht="30.2" customHeight="1" x14ac:dyDescent="0.25">
      <c r="A630" s="315" t="s">
        <v>782</v>
      </c>
      <c r="B630" s="454">
        <v>906</v>
      </c>
      <c r="C630" s="414" t="s">
        <v>187</v>
      </c>
      <c r="D630" s="414" t="s">
        <v>116</v>
      </c>
      <c r="E630" s="414" t="s">
        <v>770</v>
      </c>
      <c r="F630" s="414"/>
      <c r="G630" s="314">
        <f>G631+G634+G637</f>
        <v>4553.4000000000005</v>
      </c>
      <c r="H630" s="522"/>
      <c r="I630" s="334"/>
      <c r="J630" s="321"/>
    </row>
    <row r="631" spans="1:11" ht="35.450000000000003" hidden="1" customHeight="1" x14ac:dyDescent="0.25">
      <c r="A631" s="364" t="s">
        <v>195</v>
      </c>
      <c r="B631" s="455">
        <v>906</v>
      </c>
      <c r="C631" s="402" t="s">
        <v>187</v>
      </c>
      <c r="D631" s="402" t="s">
        <v>116</v>
      </c>
      <c r="E631" s="402" t="s">
        <v>826</v>
      </c>
      <c r="F631" s="402"/>
      <c r="G631" s="318">
        <f>G632</f>
        <v>0</v>
      </c>
      <c r="H631" s="522"/>
      <c r="I631" s="334"/>
      <c r="J631" s="321"/>
      <c r="K631" s="132"/>
    </row>
    <row r="632" spans="1:11" ht="35.450000000000003" hidden="1" customHeight="1" x14ac:dyDescent="0.25">
      <c r="A632" s="364" t="s">
        <v>191</v>
      </c>
      <c r="B632" s="455">
        <v>906</v>
      </c>
      <c r="C632" s="402" t="s">
        <v>187</v>
      </c>
      <c r="D632" s="402" t="s">
        <v>116</v>
      </c>
      <c r="E632" s="402" t="s">
        <v>826</v>
      </c>
      <c r="F632" s="402" t="s">
        <v>192</v>
      </c>
      <c r="G632" s="318">
        <f>G633</f>
        <v>0</v>
      </c>
      <c r="H632" s="522"/>
      <c r="I632" s="334"/>
      <c r="J632" s="321"/>
      <c r="K632" s="132"/>
    </row>
    <row r="633" spans="1:11" ht="15.75" hidden="1" customHeight="1" x14ac:dyDescent="0.25">
      <c r="A633" s="364" t="s">
        <v>193</v>
      </c>
      <c r="B633" s="455">
        <v>906</v>
      </c>
      <c r="C633" s="402" t="s">
        <v>187</v>
      </c>
      <c r="D633" s="402" t="s">
        <v>116</v>
      </c>
      <c r="E633" s="402" t="s">
        <v>826</v>
      </c>
      <c r="F633" s="402" t="s">
        <v>194</v>
      </c>
      <c r="G633" s="318"/>
      <c r="H633" s="522"/>
      <c r="I633" s="334"/>
      <c r="J633" s="321"/>
      <c r="K633" s="132"/>
    </row>
    <row r="634" spans="1:11" ht="37.5" hidden="1" customHeight="1" x14ac:dyDescent="0.25">
      <c r="A634" s="364" t="s">
        <v>196</v>
      </c>
      <c r="B634" s="455">
        <v>906</v>
      </c>
      <c r="C634" s="402" t="s">
        <v>187</v>
      </c>
      <c r="D634" s="402" t="s">
        <v>116</v>
      </c>
      <c r="E634" s="402" t="s">
        <v>827</v>
      </c>
      <c r="F634" s="402"/>
      <c r="G634" s="318">
        <f>G635</f>
        <v>0</v>
      </c>
      <c r="H634" s="522"/>
      <c r="I634" s="334"/>
      <c r="J634" s="321"/>
      <c r="K634" s="132"/>
    </row>
    <row r="635" spans="1:11" ht="31.5" hidden="1" x14ac:dyDescent="0.25">
      <c r="A635" s="364" t="s">
        <v>191</v>
      </c>
      <c r="B635" s="455">
        <v>906</v>
      </c>
      <c r="C635" s="402" t="s">
        <v>187</v>
      </c>
      <c r="D635" s="402" t="s">
        <v>116</v>
      </c>
      <c r="E635" s="402" t="s">
        <v>827</v>
      </c>
      <c r="F635" s="402" t="s">
        <v>192</v>
      </c>
      <c r="G635" s="318">
        <f>G636</f>
        <v>0</v>
      </c>
      <c r="H635" s="522"/>
      <c r="I635" s="334"/>
      <c r="J635" s="321"/>
      <c r="K635" s="132"/>
    </row>
    <row r="636" spans="1:11" ht="15.75" hidden="1" x14ac:dyDescent="0.25">
      <c r="A636" s="364" t="s">
        <v>193</v>
      </c>
      <c r="B636" s="455">
        <v>906</v>
      </c>
      <c r="C636" s="402" t="s">
        <v>187</v>
      </c>
      <c r="D636" s="402" t="s">
        <v>116</v>
      </c>
      <c r="E636" s="402" t="s">
        <v>827</v>
      </c>
      <c r="F636" s="402" t="s">
        <v>194</v>
      </c>
      <c r="G636" s="318"/>
      <c r="H636" s="522"/>
      <c r="I636" s="334"/>
      <c r="J636" s="321"/>
      <c r="K636" s="132"/>
    </row>
    <row r="637" spans="1:11" ht="31.5" x14ac:dyDescent="0.25">
      <c r="A637" s="22" t="s">
        <v>238</v>
      </c>
      <c r="B637" s="455">
        <v>906</v>
      </c>
      <c r="C637" s="402" t="s">
        <v>187</v>
      </c>
      <c r="D637" s="402" t="s">
        <v>116</v>
      </c>
      <c r="E637" s="402" t="s">
        <v>771</v>
      </c>
      <c r="F637" s="402"/>
      <c r="G637" s="318">
        <f>G638</f>
        <v>4553.4000000000005</v>
      </c>
      <c r="H637" s="522"/>
      <c r="I637" s="334"/>
      <c r="J637" s="321"/>
      <c r="K637" s="132"/>
    </row>
    <row r="638" spans="1:11" ht="31.5" x14ac:dyDescent="0.25">
      <c r="A638" s="364" t="s">
        <v>191</v>
      </c>
      <c r="B638" s="455">
        <v>906</v>
      </c>
      <c r="C638" s="402" t="s">
        <v>187</v>
      </c>
      <c r="D638" s="402" t="s">
        <v>116</v>
      </c>
      <c r="E638" s="402" t="s">
        <v>771</v>
      </c>
      <c r="F638" s="402" t="s">
        <v>192</v>
      </c>
      <c r="G638" s="318">
        <f>G639</f>
        <v>4553.4000000000005</v>
      </c>
      <c r="H638" s="522"/>
      <c r="I638" s="334"/>
      <c r="J638" s="321"/>
      <c r="K638" s="132"/>
    </row>
    <row r="639" spans="1:11" ht="15.75" x14ac:dyDescent="0.25">
      <c r="A639" s="364" t="s">
        <v>193</v>
      </c>
      <c r="B639" s="455">
        <v>906</v>
      </c>
      <c r="C639" s="402" t="s">
        <v>187</v>
      </c>
      <c r="D639" s="402" t="s">
        <v>116</v>
      </c>
      <c r="E639" s="402" t="s">
        <v>771</v>
      </c>
      <c r="F639" s="402" t="s">
        <v>194</v>
      </c>
      <c r="G639" s="565">
        <f>4766-200-9.4-3.2</f>
        <v>4553.4000000000005</v>
      </c>
      <c r="H639" s="522" t="s">
        <v>1299</v>
      </c>
      <c r="I639" s="334"/>
      <c r="J639" s="321"/>
      <c r="K639" s="132"/>
    </row>
    <row r="640" spans="1:11" s="132" customFormat="1" ht="31.5" x14ac:dyDescent="0.25">
      <c r="A640" s="145" t="s">
        <v>515</v>
      </c>
      <c r="B640" s="454">
        <v>906</v>
      </c>
      <c r="C640" s="414" t="s">
        <v>187</v>
      </c>
      <c r="D640" s="414" t="s">
        <v>116</v>
      </c>
      <c r="E640" s="414" t="s">
        <v>773</v>
      </c>
      <c r="F640" s="414"/>
      <c r="G640" s="30">
        <f>G641+G644+G647</f>
        <v>4142</v>
      </c>
      <c r="H640" s="522"/>
      <c r="I640" s="334"/>
      <c r="J640" s="321"/>
    </row>
    <row r="641" spans="1:11" ht="31.7" hidden="1" customHeight="1" x14ac:dyDescent="0.25">
      <c r="A641" s="364" t="s">
        <v>198</v>
      </c>
      <c r="B641" s="455">
        <v>906</v>
      </c>
      <c r="C641" s="402" t="s">
        <v>187</v>
      </c>
      <c r="D641" s="402" t="s">
        <v>116</v>
      </c>
      <c r="E641" s="402" t="s">
        <v>786</v>
      </c>
      <c r="F641" s="402"/>
      <c r="G641" s="318">
        <f>G642</f>
        <v>0</v>
      </c>
      <c r="H641" s="522"/>
      <c r="I641" s="334"/>
      <c r="J641" s="321"/>
      <c r="K641" s="132"/>
    </row>
    <row r="642" spans="1:11" ht="38.25" hidden="1" customHeight="1" x14ac:dyDescent="0.25">
      <c r="A642" s="364" t="s">
        <v>191</v>
      </c>
      <c r="B642" s="455">
        <v>906</v>
      </c>
      <c r="C642" s="402" t="s">
        <v>187</v>
      </c>
      <c r="D642" s="402" t="s">
        <v>116</v>
      </c>
      <c r="E642" s="402" t="s">
        <v>786</v>
      </c>
      <c r="F642" s="402" t="s">
        <v>192</v>
      </c>
      <c r="G642" s="318">
        <f>G643</f>
        <v>0</v>
      </c>
      <c r="H642" s="522"/>
      <c r="I642" s="334"/>
      <c r="J642" s="321"/>
      <c r="K642" s="132"/>
    </row>
    <row r="643" spans="1:11" ht="15.75" hidden="1" customHeight="1" x14ac:dyDescent="0.25">
      <c r="A643" s="364" t="s">
        <v>193</v>
      </c>
      <c r="B643" s="455">
        <v>906</v>
      </c>
      <c r="C643" s="402" t="s">
        <v>187</v>
      </c>
      <c r="D643" s="402" t="s">
        <v>116</v>
      </c>
      <c r="E643" s="402" t="s">
        <v>786</v>
      </c>
      <c r="F643" s="402" t="s">
        <v>194</v>
      </c>
      <c r="G643" s="318">
        <v>0</v>
      </c>
      <c r="H643" s="522"/>
      <c r="I643" s="334"/>
      <c r="J643" s="321"/>
      <c r="K643" s="132"/>
    </row>
    <row r="644" spans="1:11" ht="34.5" customHeight="1" x14ac:dyDescent="0.25">
      <c r="A644" s="39" t="s">
        <v>344</v>
      </c>
      <c r="B644" s="455">
        <v>906</v>
      </c>
      <c r="C644" s="402" t="s">
        <v>187</v>
      </c>
      <c r="D644" s="402" t="s">
        <v>116</v>
      </c>
      <c r="E644" s="402" t="s">
        <v>774</v>
      </c>
      <c r="F644" s="402"/>
      <c r="G644" s="318">
        <f>G645</f>
        <v>2882</v>
      </c>
      <c r="H644" s="522"/>
      <c r="I644" s="334"/>
      <c r="J644" s="321"/>
      <c r="K644" s="132"/>
    </row>
    <row r="645" spans="1:11" ht="32.25" customHeight="1" x14ac:dyDescent="0.25">
      <c r="A645" s="22" t="s">
        <v>191</v>
      </c>
      <c r="B645" s="455">
        <v>906</v>
      </c>
      <c r="C645" s="402" t="s">
        <v>187</v>
      </c>
      <c r="D645" s="402" t="s">
        <v>116</v>
      </c>
      <c r="E645" s="402" t="s">
        <v>774</v>
      </c>
      <c r="F645" s="402" t="s">
        <v>192</v>
      </c>
      <c r="G645" s="318">
        <f>G646</f>
        <v>2882</v>
      </c>
      <c r="H645" s="522"/>
      <c r="I645" s="334"/>
      <c r="J645" s="321"/>
      <c r="K645" s="132"/>
    </row>
    <row r="646" spans="1:11" ht="15.75" customHeight="1" x14ac:dyDescent="0.25">
      <c r="A646" s="111" t="s">
        <v>193</v>
      </c>
      <c r="B646" s="455">
        <v>906</v>
      </c>
      <c r="C646" s="402" t="s">
        <v>187</v>
      </c>
      <c r="D646" s="402" t="s">
        <v>116</v>
      </c>
      <c r="E646" s="402" t="s">
        <v>774</v>
      </c>
      <c r="F646" s="402" t="s">
        <v>194</v>
      </c>
      <c r="G646" s="318">
        <v>2882</v>
      </c>
      <c r="H646" s="522"/>
      <c r="I646" s="334"/>
      <c r="J646" s="321"/>
      <c r="K646" s="132"/>
    </row>
    <row r="647" spans="1:11" ht="50.25" customHeight="1" x14ac:dyDescent="0.25">
      <c r="A647" s="39" t="s">
        <v>345</v>
      </c>
      <c r="B647" s="455">
        <v>906</v>
      </c>
      <c r="C647" s="402" t="s">
        <v>187</v>
      </c>
      <c r="D647" s="402" t="s">
        <v>116</v>
      </c>
      <c r="E647" s="402" t="s">
        <v>775</v>
      </c>
      <c r="F647" s="402"/>
      <c r="G647" s="318">
        <f>G648</f>
        <v>1260</v>
      </c>
      <c r="H647" s="522"/>
      <c r="I647" s="334"/>
      <c r="J647" s="321"/>
      <c r="K647" s="132"/>
    </row>
    <row r="648" spans="1:11" ht="31.5" x14ac:dyDescent="0.25">
      <c r="A648" s="22" t="s">
        <v>191</v>
      </c>
      <c r="B648" s="455">
        <v>906</v>
      </c>
      <c r="C648" s="402" t="s">
        <v>187</v>
      </c>
      <c r="D648" s="402" t="s">
        <v>116</v>
      </c>
      <c r="E648" s="402" t="s">
        <v>775</v>
      </c>
      <c r="F648" s="402" t="s">
        <v>192</v>
      </c>
      <c r="G648" s="318">
        <f>G649</f>
        <v>1260</v>
      </c>
      <c r="H648" s="522"/>
      <c r="I648" s="334"/>
      <c r="J648" s="321"/>
      <c r="K648" s="132"/>
    </row>
    <row r="649" spans="1:11" ht="15.75" x14ac:dyDescent="0.25">
      <c r="A649" s="111" t="s">
        <v>193</v>
      </c>
      <c r="B649" s="455">
        <v>906</v>
      </c>
      <c r="C649" s="402" t="s">
        <v>187</v>
      </c>
      <c r="D649" s="402" t="s">
        <v>116</v>
      </c>
      <c r="E649" s="402" t="s">
        <v>775</v>
      </c>
      <c r="F649" s="402" t="s">
        <v>194</v>
      </c>
      <c r="G649" s="318">
        <v>1260</v>
      </c>
      <c r="H649" s="522"/>
      <c r="I649" s="334"/>
      <c r="J649" s="321"/>
      <c r="K649" s="132"/>
    </row>
    <row r="650" spans="1:11" s="132" customFormat="1" ht="36" customHeight="1" x14ac:dyDescent="0.25">
      <c r="A650" s="315" t="s">
        <v>1107</v>
      </c>
      <c r="B650" s="454">
        <v>906</v>
      </c>
      <c r="C650" s="414" t="s">
        <v>187</v>
      </c>
      <c r="D650" s="414" t="s">
        <v>116</v>
      </c>
      <c r="E650" s="414" t="s">
        <v>776</v>
      </c>
      <c r="F650" s="414"/>
      <c r="G650" s="314">
        <f t="shared" ref="G650:G652" si="45">G651</f>
        <v>179.29999999999998</v>
      </c>
      <c r="H650" s="522"/>
      <c r="I650" s="334"/>
      <c r="J650" s="321"/>
    </row>
    <row r="651" spans="1:11" ht="31.5" x14ac:dyDescent="0.25">
      <c r="A651" s="364" t="s">
        <v>1108</v>
      </c>
      <c r="B651" s="455">
        <v>906</v>
      </c>
      <c r="C651" s="402" t="s">
        <v>187</v>
      </c>
      <c r="D651" s="402" t="s">
        <v>116</v>
      </c>
      <c r="E651" s="402" t="s">
        <v>1109</v>
      </c>
      <c r="F651" s="402"/>
      <c r="G651" s="318">
        <f t="shared" si="45"/>
        <v>179.29999999999998</v>
      </c>
      <c r="H651" s="522"/>
      <c r="I651" s="334"/>
      <c r="J651" s="321"/>
      <c r="K651" s="132"/>
    </row>
    <row r="652" spans="1:11" ht="31.5" x14ac:dyDescent="0.25">
      <c r="A652" s="22" t="s">
        <v>191</v>
      </c>
      <c r="B652" s="455">
        <v>906</v>
      </c>
      <c r="C652" s="402" t="s">
        <v>187</v>
      </c>
      <c r="D652" s="402" t="s">
        <v>116</v>
      </c>
      <c r="E652" s="402" t="s">
        <v>1109</v>
      </c>
      <c r="F652" s="402" t="s">
        <v>192</v>
      </c>
      <c r="G652" s="318">
        <f t="shared" si="45"/>
        <v>179.29999999999998</v>
      </c>
      <c r="H652" s="522"/>
      <c r="I652" s="334"/>
      <c r="J652" s="321"/>
      <c r="K652" s="132"/>
    </row>
    <row r="653" spans="1:11" ht="18.75" customHeight="1" x14ac:dyDescent="0.25">
      <c r="A653" s="111" t="s">
        <v>193</v>
      </c>
      <c r="B653" s="455">
        <v>906</v>
      </c>
      <c r="C653" s="402" t="s">
        <v>187</v>
      </c>
      <c r="D653" s="402" t="s">
        <v>116</v>
      </c>
      <c r="E653" s="402" t="s">
        <v>1109</v>
      </c>
      <c r="F653" s="402" t="s">
        <v>194</v>
      </c>
      <c r="G653" s="318">
        <f>166.7+12.6</f>
        <v>179.29999999999998</v>
      </c>
      <c r="H653" s="522" t="s">
        <v>1302</v>
      </c>
      <c r="I653" s="334" t="s">
        <v>1301</v>
      </c>
      <c r="J653" s="321"/>
      <c r="K653" s="132"/>
    </row>
    <row r="654" spans="1:11" s="132" customFormat="1" ht="84.2" customHeight="1" x14ac:dyDescent="0.25">
      <c r="A654" s="315" t="s">
        <v>717</v>
      </c>
      <c r="B654" s="454">
        <v>906</v>
      </c>
      <c r="C654" s="414" t="s">
        <v>187</v>
      </c>
      <c r="D654" s="414" t="s">
        <v>116</v>
      </c>
      <c r="E654" s="414" t="s">
        <v>777</v>
      </c>
      <c r="F654" s="414"/>
      <c r="G654" s="314">
        <f>G655+G658</f>
        <v>701.07999999999993</v>
      </c>
      <c r="H654" s="522"/>
      <c r="I654" s="334"/>
      <c r="J654" s="321"/>
    </row>
    <row r="655" spans="1:11" s="132" customFormat="1" ht="79.5" customHeight="1" x14ac:dyDescent="0.25">
      <c r="A655" s="99" t="s">
        <v>969</v>
      </c>
      <c r="B655" s="455">
        <v>906</v>
      </c>
      <c r="C655" s="402" t="s">
        <v>187</v>
      </c>
      <c r="D655" s="402" t="s">
        <v>116</v>
      </c>
      <c r="E655" s="402" t="s">
        <v>778</v>
      </c>
      <c r="F655" s="402"/>
      <c r="G655" s="318">
        <f>G656</f>
        <v>701.07999999999993</v>
      </c>
      <c r="H655" s="522"/>
      <c r="I655" s="334"/>
      <c r="J655" s="321"/>
    </row>
    <row r="656" spans="1:11" s="132" customFormat="1" ht="33.75" customHeight="1" x14ac:dyDescent="0.25">
      <c r="A656" s="364" t="s">
        <v>191</v>
      </c>
      <c r="B656" s="455">
        <v>906</v>
      </c>
      <c r="C656" s="402" t="s">
        <v>187</v>
      </c>
      <c r="D656" s="402" t="s">
        <v>116</v>
      </c>
      <c r="E656" s="402" t="s">
        <v>778</v>
      </c>
      <c r="F656" s="402" t="s">
        <v>192</v>
      </c>
      <c r="G656" s="318">
        <f>G657</f>
        <v>701.07999999999993</v>
      </c>
      <c r="H656" s="522"/>
      <c r="I656" s="334"/>
      <c r="J656" s="321"/>
    </row>
    <row r="657" spans="1:12" s="132" customFormat="1" ht="18.75" customHeight="1" x14ac:dyDescent="0.25">
      <c r="A657" s="364" t="s">
        <v>193</v>
      </c>
      <c r="B657" s="455">
        <v>906</v>
      </c>
      <c r="C657" s="402" t="s">
        <v>187</v>
      </c>
      <c r="D657" s="402" t="s">
        <v>116</v>
      </c>
      <c r="E657" s="402" t="s">
        <v>778</v>
      </c>
      <c r="F657" s="402" t="s">
        <v>194</v>
      </c>
      <c r="G657" s="318">
        <f>652+27.9+21.18</f>
        <v>701.07999999999993</v>
      </c>
      <c r="H657" s="522" t="s">
        <v>1206</v>
      </c>
      <c r="I657" s="334"/>
      <c r="J657" s="321"/>
    </row>
    <row r="658" spans="1:12" s="132" customFormat="1" ht="82.5" hidden="1" customHeight="1" x14ac:dyDescent="0.25">
      <c r="A658" s="99" t="s">
        <v>726</v>
      </c>
      <c r="B658" s="455">
        <v>906</v>
      </c>
      <c r="C658" s="402" t="s">
        <v>187</v>
      </c>
      <c r="D658" s="402" t="s">
        <v>116</v>
      </c>
      <c r="E658" s="402" t="s">
        <v>779</v>
      </c>
      <c r="F658" s="402"/>
      <c r="G658" s="318">
        <f>G659</f>
        <v>0</v>
      </c>
      <c r="H658" s="522"/>
      <c r="I658" s="334"/>
      <c r="J658" s="321"/>
    </row>
    <row r="659" spans="1:12" s="132" customFormat="1" ht="36.75" hidden="1" customHeight="1" x14ac:dyDescent="0.25">
      <c r="A659" s="364" t="s">
        <v>191</v>
      </c>
      <c r="B659" s="455">
        <v>906</v>
      </c>
      <c r="C659" s="402" t="s">
        <v>187</v>
      </c>
      <c r="D659" s="402" t="s">
        <v>116</v>
      </c>
      <c r="E659" s="402" t="s">
        <v>779</v>
      </c>
      <c r="F659" s="402" t="s">
        <v>192</v>
      </c>
      <c r="G659" s="318">
        <f>G660</f>
        <v>0</v>
      </c>
      <c r="H659" s="522"/>
      <c r="I659" s="334"/>
      <c r="J659" s="321"/>
    </row>
    <row r="660" spans="1:12" s="132" customFormat="1" ht="18.75" hidden="1" customHeight="1" x14ac:dyDescent="0.25">
      <c r="A660" s="364" t="s">
        <v>193</v>
      </c>
      <c r="B660" s="455">
        <v>906</v>
      </c>
      <c r="C660" s="402" t="s">
        <v>187</v>
      </c>
      <c r="D660" s="402" t="s">
        <v>116</v>
      </c>
      <c r="E660" s="402" t="s">
        <v>779</v>
      </c>
      <c r="F660" s="402" t="s">
        <v>194</v>
      </c>
      <c r="G660" s="318"/>
      <c r="H660" s="522"/>
      <c r="I660" s="334"/>
      <c r="J660" s="321"/>
    </row>
    <row r="661" spans="1:12" s="132" customFormat="1" ht="31.5" hidden="1" x14ac:dyDescent="0.25">
      <c r="A661" s="201" t="s">
        <v>1024</v>
      </c>
      <c r="B661" s="454">
        <v>906</v>
      </c>
      <c r="C661" s="414" t="s">
        <v>187</v>
      </c>
      <c r="D661" s="414" t="s">
        <v>116</v>
      </c>
      <c r="E661" s="414" t="s">
        <v>1026</v>
      </c>
      <c r="F661" s="414"/>
      <c r="G661" s="318">
        <f t="shared" ref="G661:G663" si="46">G662</f>
        <v>0</v>
      </c>
      <c r="H661" s="522"/>
      <c r="I661" s="334"/>
      <c r="J661" s="321"/>
    </row>
    <row r="662" spans="1:12" s="132" customFormat="1" ht="31.5" hidden="1" x14ac:dyDescent="0.25">
      <c r="A662" s="200" t="s">
        <v>1025</v>
      </c>
      <c r="B662" s="455">
        <v>906</v>
      </c>
      <c r="C662" s="402" t="s">
        <v>187</v>
      </c>
      <c r="D662" s="402" t="s">
        <v>116</v>
      </c>
      <c r="E662" s="402" t="s">
        <v>1027</v>
      </c>
      <c r="F662" s="402"/>
      <c r="G662" s="318">
        <f t="shared" si="46"/>
        <v>0</v>
      </c>
      <c r="H662" s="522"/>
      <c r="I662" s="334"/>
      <c r="J662" s="321"/>
    </row>
    <row r="663" spans="1:12" s="132" customFormat="1" ht="31.5" hidden="1" x14ac:dyDescent="0.25">
      <c r="A663" s="24" t="s">
        <v>191</v>
      </c>
      <c r="B663" s="455">
        <v>906</v>
      </c>
      <c r="C663" s="402" t="s">
        <v>187</v>
      </c>
      <c r="D663" s="402" t="s">
        <v>116</v>
      </c>
      <c r="E663" s="402" t="s">
        <v>1027</v>
      </c>
      <c r="F663" s="402" t="s">
        <v>192</v>
      </c>
      <c r="G663" s="318">
        <f t="shared" si="46"/>
        <v>0</v>
      </c>
      <c r="H663" s="522"/>
      <c r="I663" s="334"/>
      <c r="J663" s="321"/>
    </row>
    <row r="664" spans="1:12" s="132" customFormat="1" ht="18.75" hidden="1" customHeight="1" x14ac:dyDescent="0.25">
      <c r="A664" s="24" t="s">
        <v>193</v>
      </c>
      <c r="B664" s="455">
        <v>906</v>
      </c>
      <c r="C664" s="402" t="s">
        <v>187</v>
      </c>
      <c r="D664" s="402" t="s">
        <v>116</v>
      </c>
      <c r="E664" s="402" t="s">
        <v>1027</v>
      </c>
      <c r="F664" s="402" t="s">
        <v>194</v>
      </c>
      <c r="G664" s="318"/>
      <c r="H664" s="520"/>
      <c r="I664" s="334"/>
      <c r="J664" s="321"/>
    </row>
    <row r="665" spans="1:12" s="132" customFormat="1" ht="33" hidden="1" customHeight="1" x14ac:dyDescent="0.25">
      <c r="A665" s="201" t="s">
        <v>1028</v>
      </c>
      <c r="B665" s="454">
        <v>906</v>
      </c>
      <c r="C665" s="414" t="s">
        <v>187</v>
      </c>
      <c r="D665" s="414" t="s">
        <v>116</v>
      </c>
      <c r="E665" s="414" t="s">
        <v>1031</v>
      </c>
      <c r="F665" s="414"/>
      <c r="G665" s="314">
        <f t="shared" ref="G665:G667" si="47">G666</f>
        <v>0</v>
      </c>
      <c r="H665" s="522"/>
      <c r="I665" s="334"/>
      <c r="J665" s="321"/>
    </row>
    <row r="666" spans="1:12" s="132" customFormat="1" ht="33" hidden="1" customHeight="1" x14ac:dyDescent="0.25">
      <c r="A666" s="200" t="s">
        <v>1029</v>
      </c>
      <c r="B666" s="455">
        <v>906</v>
      </c>
      <c r="C666" s="402" t="s">
        <v>187</v>
      </c>
      <c r="D666" s="402" t="s">
        <v>116</v>
      </c>
      <c r="E666" s="402" t="s">
        <v>1030</v>
      </c>
      <c r="F666" s="402"/>
      <c r="G666" s="318">
        <f t="shared" si="47"/>
        <v>0</v>
      </c>
      <c r="H666" s="530"/>
      <c r="I666" s="334"/>
      <c r="J666" s="321"/>
    </row>
    <row r="667" spans="1:12" s="132" customFormat="1" ht="31.5" hidden="1" x14ac:dyDescent="0.25">
      <c r="A667" s="24" t="s">
        <v>191</v>
      </c>
      <c r="B667" s="455">
        <v>906</v>
      </c>
      <c r="C667" s="402" t="s">
        <v>187</v>
      </c>
      <c r="D667" s="402" t="s">
        <v>116</v>
      </c>
      <c r="E667" s="402" t="s">
        <v>1030</v>
      </c>
      <c r="F667" s="402" t="s">
        <v>192</v>
      </c>
      <c r="G667" s="318">
        <f t="shared" si="47"/>
        <v>0</v>
      </c>
      <c r="H667" s="530"/>
      <c r="I667" s="334"/>
      <c r="J667" s="321"/>
    </row>
    <row r="668" spans="1:12" s="132" customFormat="1" ht="18.75" hidden="1" customHeight="1" x14ac:dyDescent="0.25">
      <c r="A668" s="24" t="s">
        <v>193</v>
      </c>
      <c r="B668" s="455">
        <v>906</v>
      </c>
      <c r="C668" s="402" t="s">
        <v>187</v>
      </c>
      <c r="D668" s="402" t="s">
        <v>116</v>
      </c>
      <c r="E668" s="402" t="s">
        <v>1030</v>
      </c>
      <c r="F668" s="402" t="s">
        <v>194</v>
      </c>
      <c r="G668" s="318"/>
      <c r="H668" s="530"/>
      <c r="I668" s="334"/>
      <c r="J668" s="321"/>
      <c r="L668" s="327"/>
    </row>
    <row r="669" spans="1:12" ht="46.9" customHeight="1" x14ac:dyDescent="0.25">
      <c r="A669" s="26" t="s">
        <v>859</v>
      </c>
      <c r="B669" s="454">
        <v>906</v>
      </c>
      <c r="C669" s="414" t="s">
        <v>187</v>
      </c>
      <c r="D669" s="414" t="s">
        <v>116</v>
      </c>
      <c r="E669" s="414" t="s">
        <v>206</v>
      </c>
      <c r="F669" s="414"/>
      <c r="G669" s="314">
        <f t="shared" ref="G669:G672" si="48">G670</f>
        <v>80</v>
      </c>
      <c r="H669" s="522"/>
      <c r="I669" s="334"/>
      <c r="J669" s="321"/>
      <c r="K669" s="132"/>
    </row>
    <row r="670" spans="1:12" s="132" customFormat="1" ht="49.7" customHeight="1" x14ac:dyDescent="0.25">
      <c r="A670" s="26" t="s">
        <v>572</v>
      </c>
      <c r="B670" s="454">
        <v>906</v>
      </c>
      <c r="C670" s="414" t="s">
        <v>187</v>
      </c>
      <c r="D670" s="414" t="s">
        <v>116</v>
      </c>
      <c r="E670" s="414" t="s">
        <v>504</v>
      </c>
      <c r="F670" s="414"/>
      <c r="G670" s="314">
        <f t="shared" si="48"/>
        <v>80</v>
      </c>
      <c r="H670" s="522"/>
      <c r="I670" s="334"/>
      <c r="J670" s="321"/>
    </row>
    <row r="671" spans="1:12" ht="48.95" customHeight="1" x14ac:dyDescent="0.25">
      <c r="A671" s="24" t="s">
        <v>635</v>
      </c>
      <c r="B671" s="455">
        <v>906</v>
      </c>
      <c r="C671" s="402" t="s">
        <v>187</v>
      </c>
      <c r="D671" s="402" t="s">
        <v>116</v>
      </c>
      <c r="E671" s="402" t="s">
        <v>505</v>
      </c>
      <c r="F671" s="402"/>
      <c r="G671" s="318">
        <f t="shared" si="48"/>
        <v>80</v>
      </c>
      <c r="H671" s="522"/>
      <c r="I671" s="334"/>
      <c r="J671" s="321"/>
      <c r="K671" s="132"/>
    </row>
    <row r="672" spans="1:12" ht="42" customHeight="1" x14ac:dyDescent="0.25">
      <c r="A672" s="24" t="s">
        <v>191</v>
      </c>
      <c r="B672" s="455">
        <v>906</v>
      </c>
      <c r="C672" s="402" t="s">
        <v>187</v>
      </c>
      <c r="D672" s="402" t="s">
        <v>116</v>
      </c>
      <c r="E672" s="402" t="s">
        <v>505</v>
      </c>
      <c r="F672" s="402" t="s">
        <v>192</v>
      </c>
      <c r="G672" s="318">
        <f t="shared" si="48"/>
        <v>80</v>
      </c>
      <c r="H672" s="522"/>
      <c r="I672" s="334"/>
      <c r="J672" s="321"/>
      <c r="K672" s="132"/>
    </row>
    <row r="673" spans="1:11" ht="16.5" customHeight="1" x14ac:dyDescent="0.25">
      <c r="A673" s="24" t="s">
        <v>193</v>
      </c>
      <c r="B673" s="455">
        <v>906</v>
      </c>
      <c r="C673" s="402" t="s">
        <v>187</v>
      </c>
      <c r="D673" s="402" t="s">
        <v>116</v>
      </c>
      <c r="E673" s="402" t="s">
        <v>505</v>
      </c>
      <c r="F673" s="402" t="s">
        <v>194</v>
      </c>
      <c r="G673" s="318">
        <v>80</v>
      </c>
      <c r="H673" s="522"/>
      <c r="I673" s="334"/>
      <c r="J673" s="321"/>
      <c r="K673" s="132"/>
    </row>
    <row r="674" spans="1:11" ht="46.5" customHeight="1" x14ac:dyDescent="0.25">
      <c r="A674" s="359" t="s">
        <v>844</v>
      </c>
      <c r="B674" s="454">
        <v>906</v>
      </c>
      <c r="C674" s="414" t="s">
        <v>187</v>
      </c>
      <c r="D674" s="414" t="s">
        <v>116</v>
      </c>
      <c r="E674" s="414" t="s">
        <v>339</v>
      </c>
      <c r="F674" s="464"/>
      <c r="G674" s="314">
        <f>G676</f>
        <v>571.79999999999995</v>
      </c>
      <c r="H674" s="522"/>
      <c r="I674" s="334"/>
      <c r="J674" s="321"/>
      <c r="K674" s="132"/>
    </row>
    <row r="675" spans="1:11" s="132" customFormat="1" ht="46.5" customHeight="1" x14ac:dyDescent="0.25">
      <c r="A675" s="359" t="s">
        <v>463</v>
      </c>
      <c r="B675" s="454">
        <v>906</v>
      </c>
      <c r="C675" s="414" t="s">
        <v>187</v>
      </c>
      <c r="D675" s="414" t="s">
        <v>116</v>
      </c>
      <c r="E675" s="414" t="s">
        <v>461</v>
      </c>
      <c r="F675" s="464"/>
      <c r="G675" s="314">
        <f t="shared" ref="G675:G677" si="49">G676</f>
        <v>571.79999999999995</v>
      </c>
      <c r="H675" s="522"/>
      <c r="I675" s="334"/>
      <c r="J675" s="321"/>
    </row>
    <row r="676" spans="1:11" ht="36" customHeight="1" x14ac:dyDescent="0.25">
      <c r="A676" s="70" t="s">
        <v>359</v>
      </c>
      <c r="B676" s="455">
        <v>906</v>
      </c>
      <c r="C676" s="402" t="s">
        <v>187</v>
      </c>
      <c r="D676" s="402" t="s">
        <v>116</v>
      </c>
      <c r="E676" s="402" t="s">
        <v>506</v>
      </c>
      <c r="F676" s="467"/>
      <c r="G676" s="318">
        <f t="shared" si="49"/>
        <v>571.79999999999995</v>
      </c>
      <c r="H676" s="522"/>
      <c r="I676" s="334"/>
      <c r="J676" s="321"/>
      <c r="K676" s="132"/>
    </row>
    <row r="677" spans="1:11" ht="35.450000000000003" customHeight="1" x14ac:dyDescent="0.25">
      <c r="A677" s="22" t="s">
        <v>191</v>
      </c>
      <c r="B677" s="455">
        <v>906</v>
      </c>
      <c r="C677" s="402" t="s">
        <v>187</v>
      </c>
      <c r="D677" s="402" t="s">
        <v>116</v>
      </c>
      <c r="E677" s="402" t="s">
        <v>506</v>
      </c>
      <c r="F677" s="467" t="s">
        <v>192</v>
      </c>
      <c r="G677" s="318">
        <f t="shared" si="49"/>
        <v>571.79999999999995</v>
      </c>
      <c r="H677" s="522"/>
      <c r="I677" s="334"/>
      <c r="J677" s="321"/>
      <c r="K677" s="132"/>
    </row>
    <row r="678" spans="1:11" ht="15.75" customHeight="1" x14ac:dyDescent="0.25">
      <c r="A678" s="111" t="s">
        <v>193</v>
      </c>
      <c r="B678" s="455">
        <v>906</v>
      </c>
      <c r="C678" s="402" t="s">
        <v>187</v>
      </c>
      <c r="D678" s="402" t="s">
        <v>116</v>
      </c>
      <c r="E678" s="402" t="s">
        <v>506</v>
      </c>
      <c r="F678" s="467" t="s">
        <v>194</v>
      </c>
      <c r="G678" s="318">
        <v>571.79999999999995</v>
      </c>
      <c r="H678" s="522"/>
      <c r="I678" s="334"/>
      <c r="J678" s="321"/>
      <c r="K678" s="132"/>
    </row>
    <row r="679" spans="1:11" ht="15.75" x14ac:dyDescent="0.25">
      <c r="A679" s="315" t="s">
        <v>239</v>
      </c>
      <c r="B679" s="454">
        <v>906</v>
      </c>
      <c r="C679" s="414" t="s">
        <v>187</v>
      </c>
      <c r="D679" s="414" t="s">
        <v>158</v>
      </c>
      <c r="E679" s="414"/>
      <c r="F679" s="414"/>
      <c r="G679" s="314">
        <f>G680+G758+G763</f>
        <v>203064.47000000003</v>
      </c>
      <c r="H679" s="522"/>
      <c r="I679" s="334"/>
      <c r="J679" s="321"/>
      <c r="K679" s="132"/>
    </row>
    <row r="680" spans="1:11" ht="36.75" customHeight="1" x14ac:dyDescent="0.25">
      <c r="A680" s="315" t="s">
        <v>860</v>
      </c>
      <c r="B680" s="454">
        <v>906</v>
      </c>
      <c r="C680" s="414" t="s">
        <v>187</v>
      </c>
      <c r="D680" s="414" t="s">
        <v>158</v>
      </c>
      <c r="E680" s="414" t="s">
        <v>237</v>
      </c>
      <c r="F680" s="414"/>
      <c r="G680" s="314">
        <f>G681+G685+G698+G711+G718+G722+G726+G746+G730+G734+G750+G738+G742+G754</f>
        <v>202133.63000000003</v>
      </c>
      <c r="H680" s="526"/>
      <c r="I680" s="334"/>
      <c r="J680" s="321"/>
      <c r="K680" s="132"/>
    </row>
    <row r="681" spans="1:11" s="132" customFormat="1" ht="37.5" customHeight="1" x14ac:dyDescent="0.25">
      <c r="A681" s="315" t="s">
        <v>507</v>
      </c>
      <c r="B681" s="454">
        <v>906</v>
      </c>
      <c r="C681" s="414" t="s">
        <v>187</v>
      </c>
      <c r="D681" s="414" t="s">
        <v>158</v>
      </c>
      <c r="E681" s="414" t="s">
        <v>766</v>
      </c>
      <c r="F681" s="414"/>
      <c r="G681" s="314">
        <f t="shared" ref="G681:G683" si="50">G682</f>
        <v>31108.41</v>
      </c>
      <c r="H681" s="522"/>
      <c r="I681" s="334"/>
      <c r="J681" s="321"/>
    </row>
    <row r="682" spans="1:11" ht="31.5" x14ac:dyDescent="0.25">
      <c r="A682" s="364" t="s">
        <v>769</v>
      </c>
      <c r="B682" s="455">
        <v>906</v>
      </c>
      <c r="C682" s="402" t="s">
        <v>187</v>
      </c>
      <c r="D682" s="402" t="s">
        <v>158</v>
      </c>
      <c r="E682" s="402" t="s">
        <v>780</v>
      </c>
      <c r="F682" s="402"/>
      <c r="G682" s="318">
        <f t="shared" si="50"/>
        <v>31108.41</v>
      </c>
      <c r="H682" s="522"/>
      <c r="I682" s="334"/>
      <c r="J682" s="321"/>
      <c r="K682" s="132"/>
    </row>
    <row r="683" spans="1:11" ht="32.25" customHeight="1" x14ac:dyDescent="0.25">
      <c r="A683" s="364" t="s">
        <v>191</v>
      </c>
      <c r="B683" s="455">
        <v>906</v>
      </c>
      <c r="C683" s="402" t="s">
        <v>187</v>
      </c>
      <c r="D683" s="402" t="s">
        <v>158</v>
      </c>
      <c r="E683" s="402" t="s">
        <v>780</v>
      </c>
      <c r="F683" s="402" t="s">
        <v>192</v>
      </c>
      <c r="G683" s="318">
        <f t="shared" si="50"/>
        <v>31108.41</v>
      </c>
      <c r="H683" s="522"/>
      <c r="I683" s="334"/>
      <c r="J683" s="321"/>
      <c r="K683" s="132"/>
    </row>
    <row r="684" spans="1:11" ht="15.75" x14ac:dyDescent="0.25">
      <c r="A684" s="364" t="s">
        <v>193</v>
      </c>
      <c r="B684" s="455">
        <v>906</v>
      </c>
      <c r="C684" s="402" t="s">
        <v>187</v>
      </c>
      <c r="D684" s="402" t="s">
        <v>158</v>
      </c>
      <c r="E684" s="402" t="s">
        <v>780</v>
      </c>
      <c r="F684" s="402" t="s">
        <v>194</v>
      </c>
      <c r="G684" s="20">
        <f>30618.41+490</f>
        <v>31108.41</v>
      </c>
      <c r="H684" s="522" t="s">
        <v>1259</v>
      </c>
      <c r="I684" s="338" t="s">
        <v>1260</v>
      </c>
      <c r="J684" s="321"/>
      <c r="K684" s="132"/>
    </row>
    <row r="685" spans="1:11" s="132" customFormat="1" ht="36.75" customHeight="1" x14ac:dyDescent="0.25">
      <c r="A685" s="315" t="s">
        <v>471</v>
      </c>
      <c r="B685" s="454">
        <v>906</v>
      </c>
      <c r="C685" s="414" t="s">
        <v>187</v>
      </c>
      <c r="D685" s="414" t="s">
        <v>158</v>
      </c>
      <c r="E685" s="414" t="s">
        <v>768</v>
      </c>
      <c r="F685" s="414"/>
      <c r="G685" s="30">
        <f>G686+G689+G692+G695</f>
        <v>154802.51</v>
      </c>
      <c r="H685" s="522"/>
      <c r="I685" s="334" t="s">
        <v>1261</v>
      </c>
      <c r="J685" s="321"/>
    </row>
    <row r="686" spans="1:11" s="132" customFormat="1" ht="50.25" customHeight="1" x14ac:dyDescent="0.25">
      <c r="A686" s="364" t="s">
        <v>886</v>
      </c>
      <c r="B686" s="455">
        <v>906</v>
      </c>
      <c r="C686" s="402" t="s">
        <v>187</v>
      </c>
      <c r="D686" s="402" t="s">
        <v>158</v>
      </c>
      <c r="E686" s="402" t="s">
        <v>887</v>
      </c>
      <c r="F686" s="402"/>
      <c r="G686" s="20">
        <f>G687</f>
        <v>7421.4</v>
      </c>
      <c r="H686" s="522"/>
      <c r="I686" s="334" t="s">
        <v>1262</v>
      </c>
      <c r="J686" s="321"/>
    </row>
    <row r="687" spans="1:11" s="132" customFormat="1" ht="36.75" customHeight="1" x14ac:dyDescent="0.25">
      <c r="A687" s="364" t="s">
        <v>191</v>
      </c>
      <c r="B687" s="455">
        <v>906</v>
      </c>
      <c r="C687" s="402" t="s">
        <v>187</v>
      </c>
      <c r="D687" s="402" t="s">
        <v>158</v>
      </c>
      <c r="E687" s="402" t="s">
        <v>887</v>
      </c>
      <c r="F687" s="402" t="s">
        <v>192</v>
      </c>
      <c r="G687" s="20">
        <f>G688</f>
        <v>7421.4</v>
      </c>
      <c r="H687" s="522"/>
      <c r="I687" s="334"/>
      <c r="J687" s="321"/>
    </row>
    <row r="688" spans="1:11" s="132" customFormat="1" ht="19.7" customHeight="1" x14ac:dyDescent="0.25">
      <c r="A688" s="364" t="s">
        <v>193</v>
      </c>
      <c r="B688" s="455">
        <v>906</v>
      </c>
      <c r="C688" s="402" t="s">
        <v>187</v>
      </c>
      <c r="D688" s="402" t="s">
        <v>158</v>
      </c>
      <c r="E688" s="402" t="s">
        <v>887</v>
      </c>
      <c r="F688" s="402" t="s">
        <v>194</v>
      </c>
      <c r="G688" s="20">
        <v>7421.4</v>
      </c>
      <c r="H688" s="522"/>
      <c r="I688" s="334"/>
      <c r="J688" s="321"/>
    </row>
    <row r="689" spans="1:10" s="132" customFormat="1" ht="88.35" customHeight="1" x14ac:dyDescent="0.25">
      <c r="A689" s="24" t="s">
        <v>200</v>
      </c>
      <c r="B689" s="455">
        <v>906</v>
      </c>
      <c r="C689" s="402" t="s">
        <v>187</v>
      </c>
      <c r="D689" s="402" t="s">
        <v>158</v>
      </c>
      <c r="E689" s="402" t="s">
        <v>884</v>
      </c>
      <c r="F689" s="402"/>
      <c r="G689" s="318">
        <f>G690</f>
        <v>5001</v>
      </c>
      <c r="H689" s="522"/>
      <c r="I689" s="334"/>
      <c r="J689" s="321"/>
    </row>
    <row r="690" spans="1:10" s="132" customFormat="1" ht="36.75" customHeight="1" x14ac:dyDescent="0.25">
      <c r="A690" s="364" t="s">
        <v>191</v>
      </c>
      <c r="B690" s="455">
        <v>906</v>
      </c>
      <c r="C690" s="402" t="s">
        <v>187</v>
      </c>
      <c r="D690" s="402" t="s">
        <v>158</v>
      </c>
      <c r="E690" s="402" t="s">
        <v>884</v>
      </c>
      <c r="F690" s="402" t="s">
        <v>192</v>
      </c>
      <c r="G690" s="318">
        <f>G691</f>
        <v>5001</v>
      </c>
      <c r="H690" s="522"/>
      <c r="I690" s="334"/>
      <c r="J690" s="321"/>
    </row>
    <row r="691" spans="1:10" s="132" customFormat="1" ht="14.25" customHeight="1" x14ac:dyDescent="0.25">
      <c r="A691" s="364" t="s">
        <v>193</v>
      </c>
      <c r="B691" s="455">
        <v>906</v>
      </c>
      <c r="C691" s="402" t="s">
        <v>187</v>
      </c>
      <c r="D691" s="402" t="s">
        <v>158</v>
      </c>
      <c r="E691" s="402" t="s">
        <v>884</v>
      </c>
      <c r="F691" s="402" t="s">
        <v>194</v>
      </c>
      <c r="G691" s="20">
        <f>5000+1</f>
        <v>5001</v>
      </c>
      <c r="H691" s="522" t="s">
        <v>1336</v>
      </c>
      <c r="I691" s="334"/>
      <c r="J691" s="321"/>
    </row>
    <row r="692" spans="1:10" s="132" customFormat="1" ht="47.25" x14ac:dyDescent="0.25">
      <c r="A692" s="24" t="s">
        <v>244</v>
      </c>
      <c r="B692" s="455">
        <v>906</v>
      </c>
      <c r="C692" s="402" t="s">
        <v>187</v>
      </c>
      <c r="D692" s="402" t="s">
        <v>158</v>
      </c>
      <c r="E692" s="402" t="s">
        <v>781</v>
      </c>
      <c r="F692" s="402"/>
      <c r="G692" s="318">
        <f>G693</f>
        <v>909.3</v>
      </c>
      <c r="H692" s="522"/>
      <c r="I692" s="334"/>
      <c r="J692" s="321"/>
    </row>
    <row r="693" spans="1:10" s="132" customFormat="1" ht="31.5" x14ac:dyDescent="0.25">
      <c r="A693" s="364" t="s">
        <v>191</v>
      </c>
      <c r="B693" s="455">
        <v>906</v>
      </c>
      <c r="C693" s="402" t="s">
        <v>187</v>
      </c>
      <c r="D693" s="402" t="s">
        <v>158</v>
      </c>
      <c r="E693" s="402" t="s">
        <v>781</v>
      </c>
      <c r="F693" s="402" t="s">
        <v>192</v>
      </c>
      <c r="G693" s="318">
        <f>G694</f>
        <v>909.3</v>
      </c>
      <c r="H693" s="522"/>
      <c r="I693" s="334"/>
      <c r="J693" s="321"/>
    </row>
    <row r="694" spans="1:10" s="132" customFormat="1" ht="15.75" x14ac:dyDescent="0.25">
      <c r="A694" s="364" t="s">
        <v>193</v>
      </c>
      <c r="B694" s="455">
        <v>906</v>
      </c>
      <c r="C694" s="402" t="s">
        <v>187</v>
      </c>
      <c r="D694" s="402" t="s">
        <v>158</v>
      </c>
      <c r="E694" s="402" t="s">
        <v>781</v>
      </c>
      <c r="F694" s="402" t="s">
        <v>194</v>
      </c>
      <c r="G694" s="20">
        <v>909.3</v>
      </c>
      <c r="H694" s="522"/>
      <c r="I694" s="334"/>
      <c r="J694" s="321"/>
    </row>
    <row r="695" spans="1:10" s="363" customFormat="1" ht="31.5" x14ac:dyDescent="0.25">
      <c r="A695" s="364" t="s">
        <v>1147</v>
      </c>
      <c r="B695" s="455">
        <v>906</v>
      </c>
      <c r="C695" s="402" t="s">
        <v>187</v>
      </c>
      <c r="D695" s="402" t="s">
        <v>158</v>
      </c>
      <c r="E695" s="402" t="s">
        <v>1148</v>
      </c>
      <c r="F695" s="402"/>
      <c r="G695" s="20">
        <f>G696</f>
        <v>141470.81</v>
      </c>
      <c r="H695" s="522"/>
      <c r="I695" s="334"/>
      <c r="J695" s="321"/>
    </row>
    <row r="696" spans="1:10" s="363" customFormat="1" ht="31.5" x14ac:dyDescent="0.25">
      <c r="A696" s="364" t="s">
        <v>191</v>
      </c>
      <c r="B696" s="455">
        <v>906</v>
      </c>
      <c r="C696" s="402" t="s">
        <v>187</v>
      </c>
      <c r="D696" s="402" t="s">
        <v>158</v>
      </c>
      <c r="E696" s="402" t="s">
        <v>1148</v>
      </c>
      <c r="F696" s="402" t="s">
        <v>192</v>
      </c>
      <c r="G696" s="20">
        <f>G697</f>
        <v>141470.81</v>
      </c>
      <c r="H696" s="522"/>
      <c r="I696" s="334"/>
      <c r="J696" s="321"/>
    </row>
    <row r="697" spans="1:10" s="363" customFormat="1" ht="15.75" x14ac:dyDescent="0.25">
      <c r="A697" s="364" t="s">
        <v>193</v>
      </c>
      <c r="B697" s="455">
        <v>906</v>
      </c>
      <c r="C697" s="402" t="s">
        <v>187</v>
      </c>
      <c r="D697" s="402" t="s">
        <v>158</v>
      </c>
      <c r="E697" s="402" t="s">
        <v>1148</v>
      </c>
      <c r="F697" s="402" t="s">
        <v>194</v>
      </c>
      <c r="G697" s="20">
        <f>141806-335.19</f>
        <v>141470.81</v>
      </c>
      <c r="H697" s="522" t="s">
        <v>1324</v>
      </c>
      <c r="I697" s="334"/>
      <c r="J697" s="321"/>
    </row>
    <row r="698" spans="1:10" s="132" customFormat="1" ht="35.450000000000003" customHeight="1" x14ac:dyDescent="0.25">
      <c r="A698" s="315" t="s">
        <v>782</v>
      </c>
      <c r="B698" s="492">
        <v>906</v>
      </c>
      <c r="C698" s="414" t="s">
        <v>187</v>
      </c>
      <c r="D698" s="414" t="s">
        <v>158</v>
      </c>
      <c r="E698" s="414" t="s">
        <v>770</v>
      </c>
      <c r="F698" s="414"/>
      <c r="G698" s="314">
        <f>G699+G702+G705+G708</f>
        <v>508.6</v>
      </c>
      <c r="H698" s="522"/>
      <c r="I698" s="334"/>
      <c r="J698" s="321"/>
    </row>
    <row r="699" spans="1:10" s="132" customFormat="1" ht="35.450000000000003" hidden="1" customHeight="1" x14ac:dyDescent="0.25">
      <c r="A699" s="364" t="s">
        <v>242</v>
      </c>
      <c r="B699" s="493">
        <v>906</v>
      </c>
      <c r="C699" s="402" t="s">
        <v>187</v>
      </c>
      <c r="D699" s="402" t="s">
        <v>158</v>
      </c>
      <c r="E699" s="402" t="s">
        <v>825</v>
      </c>
      <c r="F699" s="402"/>
      <c r="G699" s="318">
        <f>G700</f>
        <v>0</v>
      </c>
      <c r="H699" s="522"/>
      <c r="I699" s="334"/>
      <c r="J699" s="321"/>
    </row>
    <row r="700" spans="1:10" s="132" customFormat="1" ht="39.75" hidden="1" customHeight="1" x14ac:dyDescent="0.25">
      <c r="A700" s="364" t="s">
        <v>191</v>
      </c>
      <c r="B700" s="493">
        <v>906</v>
      </c>
      <c r="C700" s="402" t="s">
        <v>187</v>
      </c>
      <c r="D700" s="402" t="s">
        <v>158</v>
      </c>
      <c r="E700" s="402" t="s">
        <v>825</v>
      </c>
      <c r="F700" s="402" t="s">
        <v>192</v>
      </c>
      <c r="G700" s="318">
        <f>G701</f>
        <v>0</v>
      </c>
      <c r="H700" s="522"/>
      <c r="I700" s="334"/>
      <c r="J700" s="321"/>
    </row>
    <row r="701" spans="1:10" s="132" customFormat="1" ht="18.75" hidden="1" customHeight="1" x14ac:dyDescent="0.25">
      <c r="A701" s="364" t="s">
        <v>193</v>
      </c>
      <c r="B701" s="493">
        <v>906</v>
      </c>
      <c r="C701" s="402" t="s">
        <v>187</v>
      </c>
      <c r="D701" s="402" t="s">
        <v>158</v>
      </c>
      <c r="E701" s="402" t="s">
        <v>825</v>
      </c>
      <c r="F701" s="402" t="s">
        <v>194</v>
      </c>
      <c r="G701" s="318">
        <v>0</v>
      </c>
      <c r="H701" s="522"/>
      <c r="I701" s="334"/>
      <c r="J701" s="321"/>
    </row>
    <row r="702" spans="1:10" s="132" customFormat="1" ht="41.25" customHeight="1" x14ac:dyDescent="0.25">
      <c r="A702" s="364" t="s">
        <v>195</v>
      </c>
      <c r="B702" s="493">
        <v>906</v>
      </c>
      <c r="C702" s="402" t="s">
        <v>187</v>
      </c>
      <c r="D702" s="402" t="s">
        <v>158</v>
      </c>
      <c r="E702" s="402" t="s">
        <v>826</v>
      </c>
      <c r="F702" s="402"/>
      <c r="G702" s="318">
        <f>G703</f>
        <v>300</v>
      </c>
      <c r="H702" s="522"/>
      <c r="I702" s="334"/>
      <c r="J702" s="321"/>
    </row>
    <row r="703" spans="1:10" s="132" customFormat="1" ht="33" customHeight="1" x14ac:dyDescent="0.25">
      <c r="A703" s="364" t="s">
        <v>191</v>
      </c>
      <c r="B703" s="493">
        <v>906</v>
      </c>
      <c r="C703" s="402" t="s">
        <v>187</v>
      </c>
      <c r="D703" s="402" t="s">
        <v>158</v>
      </c>
      <c r="E703" s="402" t="s">
        <v>826</v>
      </c>
      <c r="F703" s="402" t="s">
        <v>192</v>
      </c>
      <c r="G703" s="318">
        <f>G704</f>
        <v>300</v>
      </c>
      <c r="H703" s="522"/>
      <c r="I703" s="334"/>
      <c r="J703" s="321"/>
    </row>
    <row r="704" spans="1:10" s="132" customFormat="1" ht="18.75" customHeight="1" x14ac:dyDescent="0.25">
      <c r="A704" s="364" t="s">
        <v>193</v>
      </c>
      <c r="B704" s="493">
        <v>906</v>
      </c>
      <c r="C704" s="402" t="s">
        <v>187</v>
      </c>
      <c r="D704" s="402" t="s">
        <v>158</v>
      </c>
      <c r="E704" s="402" t="s">
        <v>826</v>
      </c>
      <c r="F704" s="402" t="s">
        <v>194</v>
      </c>
      <c r="G704" s="318">
        <v>300</v>
      </c>
      <c r="H704" s="522" t="s">
        <v>1233</v>
      </c>
      <c r="I704" s="334" t="s">
        <v>1263</v>
      </c>
      <c r="J704" s="321"/>
    </row>
    <row r="705" spans="1:11" s="132" customFormat="1" ht="31.7" hidden="1" customHeight="1" x14ac:dyDescent="0.25">
      <c r="A705" s="364" t="s">
        <v>196</v>
      </c>
      <c r="B705" s="493">
        <v>906</v>
      </c>
      <c r="C705" s="402" t="s">
        <v>187</v>
      </c>
      <c r="D705" s="402" t="s">
        <v>158</v>
      </c>
      <c r="E705" s="402" t="s">
        <v>827</v>
      </c>
      <c r="F705" s="402"/>
      <c r="G705" s="318">
        <f>G706</f>
        <v>0</v>
      </c>
      <c r="H705" s="522"/>
      <c r="I705" s="334"/>
      <c r="J705" s="321"/>
    </row>
    <row r="706" spans="1:11" s="132" customFormat="1" ht="29.25" hidden="1" customHeight="1" x14ac:dyDescent="0.25">
      <c r="A706" s="364" t="s">
        <v>191</v>
      </c>
      <c r="B706" s="493">
        <v>906</v>
      </c>
      <c r="C706" s="402" t="s">
        <v>187</v>
      </c>
      <c r="D706" s="402" t="s">
        <v>158</v>
      </c>
      <c r="E706" s="402" t="s">
        <v>827</v>
      </c>
      <c r="F706" s="402" t="s">
        <v>192</v>
      </c>
      <c r="G706" s="318">
        <f>G707</f>
        <v>0</v>
      </c>
      <c r="H706" s="522"/>
      <c r="I706" s="334"/>
      <c r="J706" s="321"/>
    </row>
    <row r="707" spans="1:11" s="132" customFormat="1" ht="18.75" hidden="1" customHeight="1" x14ac:dyDescent="0.25">
      <c r="A707" s="364" t="s">
        <v>193</v>
      </c>
      <c r="B707" s="493">
        <v>906</v>
      </c>
      <c r="C707" s="402" t="s">
        <v>187</v>
      </c>
      <c r="D707" s="402" t="s">
        <v>158</v>
      </c>
      <c r="E707" s="402" t="s">
        <v>827</v>
      </c>
      <c r="F707" s="402" t="s">
        <v>194</v>
      </c>
      <c r="G707" s="318"/>
      <c r="H707" s="522"/>
      <c r="I707" s="334"/>
      <c r="J707" s="321"/>
    </row>
    <row r="708" spans="1:11" s="132" customFormat="1" ht="36" customHeight="1" x14ac:dyDescent="0.25">
      <c r="A708" s="364" t="s">
        <v>197</v>
      </c>
      <c r="B708" s="493">
        <v>906</v>
      </c>
      <c r="C708" s="402" t="s">
        <v>187</v>
      </c>
      <c r="D708" s="402" t="s">
        <v>158</v>
      </c>
      <c r="E708" s="402" t="s">
        <v>783</v>
      </c>
      <c r="F708" s="402"/>
      <c r="G708" s="318">
        <f>G709</f>
        <v>208.6</v>
      </c>
      <c r="H708" s="522"/>
      <c r="I708" s="334"/>
      <c r="J708" s="321"/>
    </row>
    <row r="709" spans="1:11" s="132" customFormat="1" ht="39.75" customHeight="1" x14ac:dyDescent="0.25">
      <c r="A709" s="364" t="s">
        <v>191</v>
      </c>
      <c r="B709" s="493">
        <v>906</v>
      </c>
      <c r="C709" s="402" t="s">
        <v>187</v>
      </c>
      <c r="D709" s="402" t="s">
        <v>158</v>
      </c>
      <c r="E709" s="402" t="s">
        <v>783</v>
      </c>
      <c r="F709" s="402" t="s">
        <v>192</v>
      </c>
      <c r="G709" s="318">
        <f>G710</f>
        <v>208.6</v>
      </c>
      <c r="H709" s="522"/>
      <c r="I709" s="334"/>
      <c r="J709" s="321"/>
    </row>
    <row r="710" spans="1:11" s="132" customFormat="1" ht="18.75" customHeight="1" x14ac:dyDescent="0.25">
      <c r="A710" s="364" t="s">
        <v>193</v>
      </c>
      <c r="B710" s="493">
        <v>906</v>
      </c>
      <c r="C710" s="402" t="s">
        <v>187</v>
      </c>
      <c r="D710" s="402" t="s">
        <v>158</v>
      </c>
      <c r="E710" s="402" t="s">
        <v>783</v>
      </c>
      <c r="F710" s="402" t="s">
        <v>194</v>
      </c>
      <c r="G710" s="318">
        <v>208.6</v>
      </c>
      <c r="H710" s="522"/>
      <c r="I710" s="334"/>
      <c r="J710" s="321"/>
    </row>
    <row r="711" spans="1:11" s="132" customFormat="1" ht="34.5" customHeight="1" x14ac:dyDescent="0.25">
      <c r="A711" s="145" t="s">
        <v>515</v>
      </c>
      <c r="B711" s="454">
        <v>906</v>
      </c>
      <c r="C711" s="414" t="s">
        <v>187</v>
      </c>
      <c r="D711" s="414" t="s">
        <v>158</v>
      </c>
      <c r="E711" s="414" t="s">
        <v>773</v>
      </c>
      <c r="F711" s="414"/>
      <c r="G711" s="30">
        <f>G712+G715</f>
        <v>2967</v>
      </c>
      <c r="H711" s="522"/>
      <c r="I711" s="334"/>
      <c r="J711" s="321"/>
    </row>
    <row r="712" spans="1:11" s="132" customFormat="1" ht="36.75" hidden="1" customHeight="1" x14ac:dyDescent="0.25">
      <c r="A712" s="364" t="s">
        <v>369</v>
      </c>
      <c r="B712" s="455">
        <v>906</v>
      </c>
      <c r="C712" s="402" t="s">
        <v>187</v>
      </c>
      <c r="D712" s="402" t="s">
        <v>158</v>
      </c>
      <c r="E712" s="402" t="s">
        <v>786</v>
      </c>
      <c r="F712" s="402"/>
      <c r="G712" s="318">
        <f>G713</f>
        <v>0</v>
      </c>
      <c r="H712" s="522"/>
      <c r="I712" s="334"/>
      <c r="J712" s="321"/>
    </row>
    <row r="713" spans="1:11" s="132" customFormat="1" ht="44.45" hidden="1" customHeight="1" x14ac:dyDescent="0.25">
      <c r="A713" s="364" t="s">
        <v>191</v>
      </c>
      <c r="B713" s="455">
        <v>906</v>
      </c>
      <c r="C713" s="402" t="s">
        <v>187</v>
      </c>
      <c r="D713" s="402" t="s">
        <v>158</v>
      </c>
      <c r="E713" s="402" t="s">
        <v>786</v>
      </c>
      <c r="F713" s="402" t="s">
        <v>192</v>
      </c>
      <c r="G713" s="318">
        <f>G714</f>
        <v>0</v>
      </c>
      <c r="H713" s="522"/>
      <c r="I713" s="334"/>
      <c r="J713" s="321"/>
    </row>
    <row r="714" spans="1:11" s="132" customFormat="1" ht="18.75" hidden="1" customHeight="1" x14ac:dyDescent="0.25">
      <c r="A714" s="364" t="s">
        <v>193</v>
      </c>
      <c r="B714" s="455">
        <v>906</v>
      </c>
      <c r="C714" s="402" t="s">
        <v>187</v>
      </c>
      <c r="D714" s="402" t="s">
        <v>158</v>
      </c>
      <c r="E714" s="402" t="s">
        <v>786</v>
      </c>
      <c r="F714" s="402" t="s">
        <v>194</v>
      </c>
      <c r="G714" s="318"/>
      <c r="H714" s="522"/>
      <c r="I714" s="334"/>
      <c r="J714" s="321"/>
    </row>
    <row r="715" spans="1:11" s="132" customFormat="1" ht="38.25" customHeight="1" x14ac:dyDescent="0.25">
      <c r="A715" s="39" t="s">
        <v>344</v>
      </c>
      <c r="B715" s="455">
        <v>906</v>
      </c>
      <c r="C715" s="402" t="s">
        <v>187</v>
      </c>
      <c r="D715" s="402" t="s">
        <v>158</v>
      </c>
      <c r="E715" s="402" t="s">
        <v>774</v>
      </c>
      <c r="F715" s="402"/>
      <c r="G715" s="318">
        <f>G716</f>
        <v>2967</v>
      </c>
      <c r="H715" s="522"/>
      <c r="I715" s="334"/>
      <c r="J715" s="321"/>
    </row>
    <row r="716" spans="1:11" s="132" customFormat="1" ht="39.200000000000003" customHeight="1" x14ac:dyDescent="0.25">
      <c r="A716" s="22" t="s">
        <v>191</v>
      </c>
      <c r="B716" s="455">
        <v>906</v>
      </c>
      <c r="C716" s="402" t="s">
        <v>187</v>
      </c>
      <c r="D716" s="402" t="s">
        <v>158</v>
      </c>
      <c r="E716" s="402" t="s">
        <v>774</v>
      </c>
      <c r="F716" s="402" t="s">
        <v>192</v>
      </c>
      <c r="G716" s="318">
        <f>G717</f>
        <v>2967</v>
      </c>
      <c r="H716" s="522"/>
      <c r="I716" s="334"/>
      <c r="J716" s="321"/>
    </row>
    <row r="717" spans="1:11" s="132" customFormat="1" ht="18.75" customHeight="1" x14ac:dyDescent="0.25">
      <c r="A717" s="111" t="s">
        <v>193</v>
      </c>
      <c r="B717" s="455">
        <v>906</v>
      </c>
      <c r="C717" s="402" t="s">
        <v>187</v>
      </c>
      <c r="D717" s="402" t="s">
        <v>158</v>
      </c>
      <c r="E717" s="402" t="s">
        <v>774</v>
      </c>
      <c r="F717" s="402" t="s">
        <v>194</v>
      </c>
      <c r="G717" s="318">
        <v>2967</v>
      </c>
      <c r="H717" s="522"/>
      <c r="I717" s="334"/>
      <c r="J717" s="321"/>
    </row>
    <row r="718" spans="1:11" s="132" customFormat="1" ht="33" customHeight="1" x14ac:dyDescent="0.25">
      <c r="A718" s="315" t="s">
        <v>1107</v>
      </c>
      <c r="B718" s="492">
        <v>906</v>
      </c>
      <c r="C718" s="414" t="s">
        <v>187</v>
      </c>
      <c r="D718" s="414" t="s">
        <v>158</v>
      </c>
      <c r="E718" s="414" t="s">
        <v>776</v>
      </c>
      <c r="F718" s="414"/>
      <c r="G718" s="314">
        <f t="shared" ref="G718:G720" si="51">G719</f>
        <v>5358.5099999999993</v>
      </c>
      <c r="H718" s="522"/>
      <c r="I718" s="334"/>
      <c r="J718" s="321"/>
    </row>
    <row r="719" spans="1:11" ht="31.5" x14ac:dyDescent="0.25">
      <c r="A719" s="364" t="s">
        <v>1108</v>
      </c>
      <c r="B719" s="493">
        <v>906</v>
      </c>
      <c r="C719" s="402" t="s">
        <v>187</v>
      </c>
      <c r="D719" s="402" t="s">
        <v>158</v>
      </c>
      <c r="E719" s="402" t="s">
        <v>1109</v>
      </c>
      <c r="F719" s="402"/>
      <c r="G719" s="318">
        <f t="shared" si="51"/>
        <v>5358.5099999999993</v>
      </c>
      <c r="H719" s="522"/>
      <c r="I719" s="334"/>
      <c r="J719" s="321"/>
      <c r="K719" s="132"/>
    </row>
    <row r="720" spans="1:11" ht="31.5" x14ac:dyDescent="0.25">
      <c r="A720" s="364" t="s">
        <v>191</v>
      </c>
      <c r="B720" s="493">
        <v>906</v>
      </c>
      <c r="C720" s="402" t="s">
        <v>187</v>
      </c>
      <c r="D720" s="402" t="s">
        <v>158</v>
      </c>
      <c r="E720" s="402" t="s">
        <v>1109</v>
      </c>
      <c r="F720" s="402" t="s">
        <v>192</v>
      </c>
      <c r="G720" s="318">
        <f t="shared" si="51"/>
        <v>5358.5099999999993</v>
      </c>
      <c r="H720" s="522"/>
      <c r="I720" s="334"/>
      <c r="J720" s="321"/>
      <c r="K720" s="132"/>
    </row>
    <row r="721" spans="1:11" ht="15.75" x14ac:dyDescent="0.25">
      <c r="A721" s="364" t="s">
        <v>193</v>
      </c>
      <c r="B721" s="493">
        <v>906</v>
      </c>
      <c r="C721" s="402" t="s">
        <v>187</v>
      </c>
      <c r="D721" s="402" t="s">
        <v>158</v>
      </c>
      <c r="E721" s="402" t="s">
        <v>1109</v>
      </c>
      <c r="F721" s="402" t="s">
        <v>194</v>
      </c>
      <c r="G721" s="20">
        <f>3235.41+158.95-297.85+2304.3-42.3</f>
        <v>5358.5099999999993</v>
      </c>
      <c r="H721" s="522" t="s">
        <v>1300</v>
      </c>
      <c r="I721" s="334"/>
      <c r="J721" s="321"/>
      <c r="K721" s="132"/>
    </row>
    <row r="722" spans="1:11" s="132" customFormat="1" ht="34.5" hidden="1" customHeight="1" x14ac:dyDescent="0.25">
      <c r="A722" s="315" t="s">
        <v>1110</v>
      </c>
      <c r="B722" s="492">
        <v>906</v>
      </c>
      <c r="C722" s="414" t="s">
        <v>187</v>
      </c>
      <c r="D722" s="414" t="s">
        <v>158</v>
      </c>
      <c r="E722" s="414" t="s">
        <v>784</v>
      </c>
      <c r="F722" s="414"/>
      <c r="G722" s="30">
        <f t="shared" ref="G722:G724" si="52">G723</f>
        <v>0</v>
      </c>
      <c r="H722" s="522"/>
      <c r="I722" s="334"/>
      <c r="J722" s="321"/>
    </row>
    <row r="723" spans="1:11" ht="15.75" hidden="1" x14ac:dyDescent="0.25">
      <c r="A723" s="364"/>
      <c r="B723" s="493">
        <v>906</v>
      </c>
      <c r="C723" s="402" t="s">
        <v>187</v>
      </c>
      <c r="D723" s="402" t="s">
        <v>158</v>
      </c>
      <c r="E723" s="402"/>
      <c r="F723" s="402"/>
      <c r="G723" s="318">
        <f t="shared" si="52"/>
        <v>0</v>
      </c>
      <c r="H723" s="522"/>
      <c r="I723" s="334"/>
      <c r="J723" s="321"/>
      <c r="K723" s="132"/>
    </row>
    <row r="724" spans="1:11" ht="31.5" hidden="1" x14ac:dyDescent="0.25">
      <c r="A724" s="364" t="s">
        <v>191</v>
      </c>
      <c r="B724" s="493">
        <v>906</v>
      </c>
      <c r="C724" s="402" t="s">
        <v>187</v>
      </c>
      <c r="D724" s="402" t="s">
        <v>158</v>
      </c>
      <c r="E724" s="402"/>
      <c r="F724" s="402" t="s">
        <v>192</v>
      </c>
      <c r="G724" s="318">
        <f t="shared" si="52"/>
        <v>0</v>
      </c>
      <c r="H724" s="522"/>
      <c r="I724" s="334"/>
      <c r="J724" s="321"/>
      <c r="K724" s="132"/>
    </row>
    <row r="725" spans="1:11" ht="15.75" hidden="1" x14ac:dyDescent="0.25">
      <c r="A725" s="364" t="s">
        <v>193</v>
      </c>
      <c r="B725" s="493">
        <v>906</v>
      </c>
      <c r="C725" s="402" t="s">
        <v>187</v>
      </c>
      <c r="D725" s="402" t="s">
        <v>158</v>
      </c>
      <c r="E725" s="402"/>
      <c r="F725" s="402" t="s">
        <v>194</v>
      </c>
      <c r="G725" s="318"/>
      <c r="H725" s="522"/>
      <c r="I725" s="334"/>
      <c r="J725" s="321"/>
      <c r="K725" s="132"/>
    </row>
    <row r="726" spans="1:11" s="132" customFormat="1" ht="15.75" hidden="1" x14ac:dyDescent="0.25">
      <c r="A726" s="143" t="s">
        <v>1111</v>
      </c>
      <c r="B726" s="454">
        <v>906</v>
      </c>
      <c r="C726" s="414" t="s">
        <v>187</v>
      </c>
      <c r="D726" s="414" t="s">
        <v>158</v>
      </c>
      <c r="E726" s="414" t="s">
        <v>787</v>
      </c>
      <c r="F726" s="414"/>
      <c r="G726" s="314">
        <f t="shared" ref="G726:G728" si="53">G727</f>
        <v>0</v>
      </c>
      <c r="H726" s="522"/>
      <c r="I726" s="334"/>
      <c r="J726" s="321"/>
    </row>
    <row r="727" spans="1:11" s="132" customFormat="1" ht="15.75" hidden="1" x14ac:dyDescent="0.25">
      <c r="A727" s="111"/>
      <c r="B727" s="455">
        <v>906</v>
      </c>
      <c r="C727" s="402" t="s">
        <v>187</v>
      </c>
      <c r="D727" s="402" t="s">
        <v>158</v>
      </c>
      <c r="E727" s="402"/>
      <c r="F727" s="402"/>
      <c r="G727" s="318">
        <f t="shared" si="53"/>
        <v>0</v>
      </c>
      <c r="H727" s="522"/>
      <c r="I727" s="334"/>
      <c r="J727" s="321"/>
    </row>
    <row r="728" spans="1:11" s="132" customFormat="1" ht="31.5" hidden="1" x14ac:dyDescent="0.25">
      <c r="A728" s="24" t="s">
        <v>191</v>
      </c>
      <c r="B728" s="455">
        <v>906</v>
      </c>
      <c r="C728" s="402" t="s">
        <v>187</v>
      </c>
      <c r="D728" s="402" t="s">
        <v>158</v>
      </c>
      <c r="E728" s="402"/>
      <c r="F728" s="402" t="s">
        <v>192</v>
      </c>
      <c r="G728" s="318">
        <f t="shared" si="53"/>
        <v>0</v>
      </c>
      <c r="H728" s="522"/>
      <c r="I728" s="334"/>
      <c r="J728" s="321"/>
    </row>
    <row r="729" spans="1:11" s="132" customFormat="1" ht="15.75" hidden="1" x14ac:dyDescent="0.25">
      <c r="A729" s="24" t="s">
        <v>193</v>
      </c>
      <c r="B729" s="455">
        <v>906</v>
      </c>
      <c r="C729" s="402" t="s">
        <v>187</v>
      </c>
      <c r="D729" s="402" t="s">
        <v>158</v>
      </c>
      <c r="E729" s="402"/>
      <c r="F729" s="402" t="s">
        <v>194</v>
      </c>
      <c r="G729" s="318"/>
      <c r="H729" s="522"/>
      <c r="I729" s="334"/>
      <c r="J729" s="321"/>
    </row>
    <row r="730" spans="1:11" s="132" customFormat="1" ht="31.5" x14ac:dyDescent="0.25">
      <c r="A730" s="201" t="s">
        <v>899</v>
      </c>
      <c r="B730" s="454">
        <v>906</v>
      </c>
      <c r="C730" s="414" t="s">
        <v>187</v>
      </c>
      <c r="D730" s="414" t="s">
        <v>158</v>
      </c>
      <c r="E730" s="414" t="s">
        <v>898</v>
      </c>
      <c r="F730" s="414"/>
      <c r="G730" s="314">
        <f t="shared" ref="G730:G732" si="54">G731</f>
        <v>5584.6</v>
      </c>
      <c r="H730" s="522"/>
      <c r="I730" s="334"/>
      <c r="J730" s="321"/>
    </row>
    <row r="731" spans="1:11" s="132" customFormat="1" ht="51" customHeight="1" x14ac:dyDescent="0.25">
      <c r="A731" s="200" t="s">
        <v>885</v>
      </c>
      <c r="B731" s="455">
        <v>906</v>
      </c>
      <c r="C731" s="402" t="s">
        <v>187</v>
      </c>
      <c r="D731" s="402" t="s">
        <v>158</v>
      </c>
      <c r="E731" s="402" t="s">
        <v>936</v>
      </c>
      <c r="F731" s="402"/>
      <c r="G731" s="318">
        <f t="shared" si="54"/>
        <v>5584.6</v>
      </c>
      <c r="H731" s="522"/>
      <c r="I731" s="334"/>
      <c r="J731" s="321"/>
    </row>
    <row r="732" spans="1:11" s="132" customFormat="1" ht="31.5" x14ac:dyDescent="0.25">
      <c r="A732" s="24" t="s">
        <v>191</v>
      </c>
      <c r="B732" s="455">
        <v>906</v>
      </c>
      <c r="C732" s="402" t="s">
        <v>187</v>
      </c>
      <c r="D732" s="402" t="s">
        <v>158</v>
      </c>
      <c r="E732" s="402" t="s">
        <v>936</v>
      </c>
      <c r="F732" s="402" t="s">
        <v>192</v>
      </c>
      <c r="G732" s="318">
        <f t="shared" si="54"/>
        <v>5584.6</v>
      </c>
      <c r="H732" s="522"/>
      <c r="I732" s="334"/>
      <c r="J732" s="321"/>
    </row>
    <row r="733" spans="1:11" s="132" customFormat="1" ht="15.75" x14ac:dyDescent="0.25">
      <c r="A733" s="24" t="s">
        <v>193</v>
      </c>
      <c r="B733" s="455">
        <v>906</v>
      </c>
      <c r="C733" s="402" t="s">
        <v>187</v>
      </c>
      <c r="D733" s="402" t="s">
        <v>158</v>
      </c>
      <c r="E733" s="402" t="s">
        <v>936</v>
      </c>
      <c r="F733" s="402" t="s">
        <v>194</v>
      </c>
      <c r="G733" s="318">
        <f>5193.6+519.9-128.9</f>
        <v>5584.6</v>
      </c>
      <c r="H733" s="522" t="s">
        <v>1214</v>
      </c>
      <c r="I733" s="334"/>
      <c r="J733" s="321"/>
    </row>
    <row r="734" spans="1:11" s="132" customFormat="1" ht="31.5" hidden="1" x14ac:dyDescent="0.25">
      <c r="A734" s="201" t="s">
        <v>916</v>
      </c>
      <c r="B734" s="454">
        <v>906</v>
      </c>
      <c r="C734" s="414" t="s">
        <v>187</v>
      </c>
      <c r="D734" s="414" t="s">
        <v>158</v>
      </c>
      <c r="E734" s="414" t="s">
        <v>904</v>
      </c>
      <c r="F734" s="414"/>
      <c r="G734" s="314">
        <f t="shared" ref="G734:G736" si="55">G735</f>
        <v>0</v>
      </c>
      <c r="H734" s="522"/>
      <c r="I734" s="334"/>
      <c r="J734" s="321"/>
    </row>
    <row r="735" spans="1:11" s="132" customFormat="1" ht="15.75" hidden="1" x14ac:dyDescent="0.25">
      <c r="A735" s="200" t="s">
        <v>905</v>
      </c>
      <c r="B735" s="455">
        <v>906</v>
      </c>
      <c r="C735" s="402" t="s">
        <v>187</v>
      </c>
      <c r="D735" s="402" t="s">
        <v>158</v>
      </c>
      <c r="E735" s="402" t="s">
        <v>907</v>
      </c>
      <c r="F735" s="402"/>
      <c r="G735" s="318">
        <f t="shared" si="55"/>
        <v>0</v>
      </c>
      <c r="H735" s="522"/>
      <c r="I735" s="334"/>
      <c r="J735" s="321"/>
    </row>
    <row r="736" spans="1:11" s="132" customFormat="1" ht="31.5" hidden="1" x14ac:dyDescent="0.25">
      <c r="A736" s="24" t="s">
        <v>191</v>
      </c>
      <c r="B736" s="455">
        <v>906</v>
      </c>
      <c r="C736" s="402" t="s">
        <v>187</v>
      </c>
      <c r="D736" s="402" t="s">
        <v>158</v>
      </c>
      <c r="E736" s="402" t="s">
        <v>907</v>
      </c>
      <c r="F736" s="402" t="s">
        <v>192</v>
      </c>
      <c r="G736" s="318">
        <f t="shared" si="55"/>
        <v>0</v>
      </c>
      <c r="H736" s="522"/>
      <c r="I736" s="334"/>
      <c r="J736" s="321"/>
    </row>
    <row r="737" spans="1:13" s="132" customFormat="1" ht="15.75" hidden="1" x14ac:dyDescent="0.25">
      <c r="A737" s="24" t="s">
        <v>193</v>
      </c>
      <c r="B737" s="455">
        <v>906</v>
      </c>
      <c r="C737" s="402" t="s">
        <v>187</v>
      </c>
      <c r="D737" s="402" t="s">
        <v>158</v>
      </c>
      <c r="E737" s="402" t="s">
        <v>907</v>
      </c>
      <c r="F737" s="402" t="s">
        <v>194</v>
      </c>
      <c r="G737" s="318"/>
      <c r="H737" s="522"/>
      <c r="I737" s="334"/>
      <c r="J737" s="321"/>
    </row>
    <row r="738" spans="1:13" s="132" customFormat="1" ht="31.5" hidden="1" x14ac:dyDescent="0.25">
      <c r="A738" s="201" t="s">
        <v>1013</v>
      </c>
      <c r="B738" s="454">
        <v>906</v>
      </c>
      <c r="C738" s="414" t="s">
        <v>187</v>
      </c>
      <c r="D738" s="414" t="s">
        <v>158</v>
      </c>
      <c r="E738" s="414" t="s">
        <v>1014</v>
      </c>
      <c r="F738" s="414"/>
      <c r="G738" s="314">
        <f t="shared" ref="G738:G740" si="56">G739</f>
        <v>0</v>
      </c>
      <c r="H738" s="522"/>
      <c r="I738" s="334"/>
      <c r="J738" s="321"/>
    </row>
    <row r="739" spans="1:13" s="134" customFormat="1" ht="31.5" hidden="1" x14ac:dyDescent="0.25">
      <c r="A739" s="200" t="s">
        <v>243</v>
      </c>
      <c r="B739" s="455">
        <v>906</v>
      </c>
      <c r="C739" s="402" t="s">
        <v>187</v>
      </c>
      <c r="D739" s="402" t="s">
        <v>158</v>
      </c>
      <c r="E739" s="402" t="s">
        <v>1015</v>
      </c>
      <c r="F739" s="402"/>
      <c r="G739" s="318">
        <f t="shared" si="56"/>
        <v>0</v>
      </c>
      <c r="H739" s="522"/>
      <c r="I739" s="337"/>
      <c r="J739" s="78"/>
    </row>
    <row r="740" spans="1:13" s="132" customFormat="1" ht="31.5" hidden="1" x14ac:dyDescent="0.25">
      <c r="A740" s="24" t="s">
        <v>191</v>
      </c>
      <c r="B740" s="455">
        <v>906</v>
      </c>
      <c r="C740" s="402" t="s">
        <v>187</v>
      </c>
      <c r="D740" s="402" t="s">
        <v>158</v>
      </c>
      <c r="E740" s="402" t="s">
        <v>1015</v>
      </c>
      <c r="F740" s="402" t="s">
        <v>192</v>
      </c>
      <c r="G740" s="318">
        <f t="shared" si="56"/>
        <v>0</v>
      </c>
      <c r="H740" s="522"/>
      <c r="I740" s="334"/>
      <c r="J740" s="321"/>
    </row>
    <row r="741" spans="1:13" s="132" customFormat="1" ht="15.75" hidden="1" x14ac:dyDescent="0.25">
      <c r="A741" s="24" t="s">
        <v>193</v>
      </c>
      <c r="B741" s="455">
        <v>906</v>
      </c>
      <c r="C741" s="402" t="s">
        <v>187</v>
      </c>
      <c r="D741" s="402" t="s">
        <v>158</v>
      </c>
      <c r="E741" s="402" t="s">
        <v>1015</v>
      </c>
      <c r="F741" s="402" t="s">
        <v>194</v>
      </c>
      <c r="G741" s="318"/>
      <c r="H741" s="532"/>
      <c r="I741" s="339"/>
      <c r="J741" s="321"/>
    </row>
    <row r="742" spans="1:13" s="132" customFormat="1" ht="34.5" hidden="1" customHeight="1" x14ac:dyDescent="0.25">
      <c r="A742" s="201" t="s">
        <v>1024</v>
      </c>
      <c r="B742" s="454">
        <v>906</v>
      </c>
      <c r="C742" s="414" t="s">
        <v>187</v>
      </c>
      <c r="D742" s="414" t="s">
        <v>158</v>
      </c>
      <c r="E742" s="414" t="s">
        <v>1026</v>
      </c>
      <c r="F742" s="414"/>
      <c r="G742" s="314">
        <f t="shared" ref="G742:G744" si="57">G743</f>
        <v>0</v>
      </c>
      <c r="H742" s="533"/>
      <c r="I742" s="340"/>
      <c r="J742" s="321"/>
    </row>
    <row r="743" spans="1:13" s="132" customFormat="1" ht="31.5" hidden="1" x14ac:dyDescent="0.25">
      <c r="A743" s="200" t="s">
        <v>1025</v>
      </c>
      <c r="B743" s="455">
        <v>906</v>
      </c>
      <c r="C743" s="402" t="s">
        <v>187</v>
      </c>
      <c r="D743" s="402" t="s">
        <v>158</v>
      </c>
      <c r="E743" s="402" t="s">
        <v>1027</v>
      </c>
      <c r="F743" s="402"/>
      <c r="G743" s="318">
        <f t="shared" si="57"/>
        <v>0</v>
      </c>
      <c r="H743" s="534"/>
      <c r="I743" s="334"/>
      <c r="J743" s="321"/>
    </row>
    <row r="744" spans="1:13" s="132" customFormat="1" ht="31.5" hidden="1" x14ac:dyDescent="0.25">
      <c r="A744" s="24" t="s">
        <v>191</v>
      </c>
      <c r="B744" s="455">
        <v>906</v>
      </c>
      <c r="C744" s="402" t="s">
        <v>187</v>
      </c>
      <c r="D744" s="402" t="s">
        <v>158</v>
      </c>
      <c r="E744" s="402" t="s">
        <v>1027</v>
      </c>
      <c r="F744" s="402" t="s">
        <v>192</v>
      </c>
      <c r="G744" s="318">
        <f t="shared" si="57"/>
        <v>0</v>
      </c>
      <c r="H744" s="534"/>
      <c r="I744" s="341"/>
      <c r="J744" s="321"/>
    </row>
    <row r="745" spans="1:13" s="132" customFormat="1" ht="15.75" hidden="1" x14ac:dyDescent="0.25">
      <c r="A745" s="24" t="s">
        <v>193</v>
      </c>
      <c r="B745" s="455">
        <v>906</v>
      </c>
      <c r="C745" s="402" t="s">
        <v>187</v>
      </c>
      <c r="D745" s="402" t="s">
        <v>158</v>
      </c>
      <c r="E745" s="402" t="s">
        <v>1027</v>
      </c>
      <c r="F745" s="402" t="s">
        <v>194</v>
      </c>
      <c r="G745" s="318"/>
      <c r="H745" s="535"/>
      <c r="I745" s="334"/>
      <c r="J745" s="330"/>
      <c r="K745" s="330"/>
      <c r="L745" s="324"/>
      <c r="M745" s="325"/>
    </row>
    <row r="746" spans="1:13" s="132" customFormat="1" ht="36" hidden="1" customHeight="1" x14ac:dyDescent="0.25">
      <c r="A746" s="143" t="s">
        <v>722</v>
      </c>
      <c r="B746" s="454">
        <v>906</v>
      </c>
      <c r="C746" s="414" t="s">
        <v>187</v>
      </c>
      <c r="D746" s="414" t="s">
        <v>158</v>
      </c>
      <c r="E746" s="414" t="s">
        <v>828</v>
      </c>
      <c r="F746" s="414"/>
      <c r="G746" s="314">
        <f t="shared" ref="G746:G748" si="58">G747</f>
        <v>0</v>
      </c>
      <c r="H746" s="536"/>
      <c r="I746" s="341"/>
      <c r="J746" s="307"/>
      <c r="K746" s="307"/>
      <c r="L746" s="307"/>
      <c r="M746" s="308"/>
    </row>
    <row r="747" spans="1:13" s="132" customFormat="1" ht="63" hidden="1" x14ac:dyDescent="0.25">
      <c r="A747" s="111" t="s">
        <v>971</v>
      </c>
      <c r="B747" s="455">
        <v>906</v>
      </c>
      <c r="C747" s="402" t="s">
        <v>187</v>
      </c>
      <c r="D747" s="402" t="s">
        <v>158</v>
      </c>
      <c r="E747" s="402" t="s">
        <v>829</v>
      </c>
      <c r="F747" s="402"/>
      <c r="G747" s="318">
        <f t="shared" si="58"/>
        <v>0</v>
      </c>
      <c r="H747" s="522"/>
      <c r="I747" s="334"/>
      <c r="J747" s="302"/>
    </row>
    <row r="748" spans="1:13" s="132" customFormat="1" ht="31.5" hidden="1" x14ac:dyDescent="0.25">
      <c r="A748" s="24" t="s">
        <v>191</v>
      </c>
      <c r="B748" s="455">
        <v>906</v>
      </c>
      <c r="C748" s="402" t="s">
        <v>187</v>
      </c>
      <c r="D748" s="402" t="s">
        <v>158</v>
      </c>
      <c r="E748" s="402" t="s">
        <v>829</v>
      </c>
      <c r="F748" s="402" t="s">
        <v>192</v>
      </c>
      <c r="G748" s="318">
        <f t="shared" si="58"/>
        <v>0</v>
      </c>
      <c r="H748" s="522"/>
      <c r="I748" s="334"/>
      <c r="J748" s="321"/>
    </row>
    <row r="749" spans="1:13" s="132" customFormat="1" ht="15.75" hidden="1" x14ac:dyDescent="0.25">
      <c r="A749" s="24" t="s">
        <v>193</v>
      </c>
      <c r="B749" s="455">
        <v>906</v>
      </c>
      <c r="C749" s="402" t="s">
        <v>187</v>
      </c>
      <c r="D749" s="402" t="s">
        <v>158</v>
      </c>
      <c r="E749" s="402" t="s">
        <v>829</v>
      </c>
      <c r="F749" s="402" t="s">
        <v>194</v>
      </c>
      <c r="G749" s="318"/>
      <c r="H749" s="522"/>
      <c r="I749" s="334"/>
      <c r="J749" s="321"/>
    </row>
    <row r="750" spans="1:13" s="132" customFormat="1" ht="31.5" hidden="1" x14ac:dyDescent="0.25">
      <c r="A750" s="26" t="s">
        <v>950</v>
      </c>
      <c r="B750" s="454">
        <v>906</v>
      </c>
      <c r="C750" s="414" t="s">
        <v>187</v>
      </c>
      <c r="D750" s="414" t="s">
        <v>158</v>
      </c>
      <c r="E750" s="414" t="s">
        <v>951</v>
      </c>
      <c r="F750" s="402"/>
      <c r="G750" s="314">
        <f t="shared" ref="G750:G752" si="59">G751</f>
        <v>0</v>
      </c>
      <c r="H750" s="522"/>
      <c r="I750" s="334"/>
      <c r="J750" s="321"/>
    </row>
    <row r="751" spans="1:13" s="132" customFormat="1" ht="56.25" hidden="1" customHeight="1" x14ac:dyDescent="0.25">
      <c r="A751" s="24" t="s">
        <v>972</v>
      </c>
      <c r="B751" s="455">
        <v>906</v>
      </c>
      <c r="C751" s="402" t="s">
        <v>187</v>
      </c>
      <c r="D751" s="402" t="s">
        <v>158</v>
      </c>
      <c r="E751" s="402" t="s">
        <v>952</v>
      </c>
      <c r="F751" s="402"/>
      <c r="G751" s="318">
        <f t="shared" si="59"/>
        <v>0</v>
      </c>
      <c r="H751" s="522"/>
      <c r="I751" s="334"/>
      <c r="J751" s="321"/>
      <c r="L751" s="264"/>
    </row>
    <row r="752" spans="1:13" s="132" customFormat="1" ht="31.5" hidden="1" x14ac:dyDescent="0.25">
      <c r="A752" s="24" t="s">
        <v>191</v>
      </c>
      <c r="B752" s="455">
        <v>906</v>
      </c>
      <c r="C752" s="402" t="s">
        <v>187</v>
      </c>
      <c r="D752" s="402" t="s">
        <v>158</v>
      </c>
      <c r="E752" s="402" t="s">
        <v>952</v>
      </c>
      <c r="F752" s="402" t="s">
        <v>192</v>
      </c>
      <c r="G752" s="318">
        <f t="shared" si="59"/>
        <v>0</v>
      </c>
      <c r="H752" s="522"/>
      <c r="I752" s="334"/>
      <c r="J752" s="321"/>
    </row>
    <row r="753" spans="1:11" s="132" customFormat="1" ht="15.75" hidden="1" x14ac:dyDescent="0.25">
      <c r="A753" s="24" t="s">
        <v>193</v>
      </c>
      <c r="B753" s="455">
        <v>906</v>
      </c>
      <c r="C753" s="402" t="s">
        <v>187</v>
      </c>
      <c r="D753" s="402" t="s">
        <v>158</v>
      </c>
      <c r="E753" s="402" t="s">
        <v>952</v>
      </c>
      <c r="F753" s="402" t="s">
        <v>194</v>
      </c>
      <c r="G753" s="318"/>
      <c r="H753" s="522"/>
      <c r="I753" s="337"/>
      <c r="J753" s="78"/>
      <c r="K753" s="134"/>
    </row>
    <row r="754" spans="1:11" s="132" customFormat="1" ht="31.5" x14ac:dyDescent="0.25">
      <c r="A754" s="26" t="s">
        <v>957</v>
      </c>
      <c r="B754" s="454">
        <v>906</v>
      </c>
      <c r="C754" s="414" t="s">
        <v>187</v>
      </c>
      <c r="D754" s="414" t="s">
        <v>158</v>
      </c>
      <c r="E754" s="414" t="s">
        <v>955</v>
      </c>
      <c r="F754" s="414"/>
      <c r="G754" s="318">
        <f>G755</f>
        <v>1804</v>
      </c>
      <c r="H754" s="522"/>
      <c r="I754" s="337"/>
      <c r="J754" s="78"/>
      <c r="K754" s="134"/>
    </row>
    <row r="755" spans="1:11" s="132" customFormat="1" ht="47.25" x14ac:dyDescent="0.25">
      <c r="A755" s="24" t="s">
        <v>1346</v>
      </c>
      <c r="B755" s="455">
        <v>906</v>
      </c>
      <c r="C755" s="402" t="s">
        <v>187</v>
      </c>
      <c r="D755" s="402" t="s">
        <v>158</v>
      </c>
      <c r="E755" s="402" t="s">
        <v>956</v>
      </c>
      <c r="F755" s="402"/>
      <c r="G755" s="318">
        <f>G756</f>
        <v>1804</v>
      </c>
      <c r="H755" s="522"/>
      <c r="I755" s="337"/>
      <c r="J755" s="78"/>
      <c r="K755" s="134"/>
    </row>
    <row r="756" spans="1:11" s="132" customFormat="1" ht="31.5" x14ac:dyDescent="0.25">
      <c r="A756" s="24" t="s">
        <v>191</v>
      </c>
      <c r="B756" s="455">
        <v>906</v>
      </c>
      <c r="C756" s="402" t="s">
        <v>187</v>
      </c>
      <c r="D756" s="402" t="s">
        <v>158</v>
      </c>
      <c r="E756" s="402" t="s">
        <v>956</v>
      </c>
      <c r="F756" s="402" t="s">
        <v>192</v>
      </c>
      <c r="G756" s="318">
        <f>G757</f>
        <v>1804</v>
      </c>
      <c r="H756" s="522"/>
      <c r="I756" s="337"/>
      <c r="J756" s="78"/>
      <c r="K756" s="134"/>
    </row>
    <row r="757" spans="1:11" s="132" customFormat="1" ht="15.75" x14ac:dyDescent="0.25">
      <c r="A757" s="24" t="s">
        <v>193</v>
      </c>
      <c r="B757" s="455">
        <v>906</v>
      </c>
      <c r="C757" s="402" t="s">
        <v>187</v>
      </c>
      <c r="D757" s="402" t="s">
        <v>158</v>
      </c>
      <c r="E757" s="402" t="s">
        <v>956</v>
      </c>
      <c r="F757" s="402" t="s">
        <v>194</v>
      </c>
      <c r="G757" s="318">
        <f>1677.7+168-41.7</f>
        <v>1804</v>
      </c>
      <c r="H757" s="522" t="s">
        <v>1213</v>
      </c>
      <c r="I757" s="337"/>
      <c r="J757" s="78"/>
      <c r="K757" s="134"/>
    </row>
    <row r="758" spans="1:11" ht="47.25" x14ac:dyDescent="0.25">
      <c r="A758" s="26" t="s">
        <v>859</v>
      </c>
      <c r="B758" s="454">
        <v>906</v>
      </c>
      <c r="C758" s="414" t="s">
        <v>187</v>
      </c>
      <c r="D758" s="414" t="s">
        <v>158</v>
      </c>
      <c r="E758" s="414" t="s">
        <v>206</v>
      </c>
      <c r="F758" s="414"/>
      <c r="G758" s="314">
        <f>G759</f>
        <v>60</v>
      </c>
      <c r="H758" s="522"/>
      <c r="I758" s="334"/>
      <c r="J758" s="321"/>
      <c r="K758" s="132"/>
    </row>
    <row r="759" spans="1:11" s="132" customFormat="1" ht="47.25" x14ac:dyDescent="0.25">
      <c r="A759" s="26" t="s">
        <v>587</v>
      </c>
      <c r="B759" s="454">
        <v>906</v>
      </c>
      <c r="C759" s="414" t="s">
        <v>187</v>
      </c>
      <c r="D759" s="414" t="s">
        <v>158</v>
      </c>
      <c r="E759" s="414" t="s">
        <v>504</v>
      </c>
      <c r="F759" s="414"/>
      <c r="G759" s="314">
        <f t="shared" ref="G759:G761" si="60">G760</f>
        <v>60</v>
      </c>
      <c r="H759" s="522"/>
      <c r="I759" s="334"/>
      <c r="J759" s="321"/>
    </row>
    <row r="760" spans="1:11" ht="47.25" x14ac:dyDescent="0.25">
      <c r="A760" s="24" t="s">
        <v>635</v>
      </c>
      <c r="B760" s="455">
        <v>906</v>
      </c>
      <c r="C760" s="402" t="s">
        <v>187</v>
      </c>
      <c r="D760" s="402" t="s">
        <v>158</v>
      </c>
      <c r="E760" s="402" t="s">
        <v>505</v>
      </c>
      <c r="F760" s="402"/>
      <c r="G760" s="318">
        <f t="shared" si="60"/>
        <v>60</v>
      </c>
      <c r="H760" s="522"/>
      <c r="I760" s="334"/>
      <c r="J760" s="321"/>
      <c r="K760" s="132"/>
    </row>
    <row r="761" spans="1:11" ht="31.5" x14ac:dyDescent="0.25">
      <c r="A761" s="24" t="s">
        <v>191</v>
      </c>
      <c r="B761" s="455">
        <v>906</v>
      </c>
      <c r="C761" s="402" t="s">
        <v>187</v>
      </c>
      <c r="D761" s="402" t="s">
        <v>158</v>
      </c>
      <c r="E761" s="402" t="s">
        <v>505</v>
      </c>
      <c r="F761" s="402" t="s">
        <v>192</v>
      </c>
      <c r="G761" s="318">
        <f t="shared" si="60"/>
        <v>60</v>
      </c>
      <c r="H761" s="522"/>
      <c r="I761" s="334"/>
      <c r="J761" s="321"/>
      <c r="K761" s="132"/>
    </row>
    <row r="762" spans="1:11" ht="15.75" x14ac:dyDescent="0.25">
      <c r="A762" s="24" t="s">
        <v>193</v>
      </c>
      <c r="B762" s="455">
        <v>906</v>
      </c>
      <c r="C762" s="402" t="s">
        <v>187</v>
      </c>
      <c r="D762" s="402" t="s">
        <v>158</v>
      </c>
      <c r="E762" s="402" t="s">
        <v>505</v>
      </c>
      <c r="F762" s="402" t="s">
        <v>194</v>
      </c>
      <c r="G762" s="318">
        <v>60</v>
      </c>
      <c r="H762" s="522"/>
      <c r="I762" s="334"/>
      <c r="J762" s="321"/>
      <c r="K762" s="132"/>
    </row>
    <row r="763" spans="1:11" ht="47.25" x14ac:dyDescent="0.25">
      <c r="A763" s="359" t="s">
        <v>844</v>
      </c>
      <c r="B763" s="454">
        <v>906</v>
      </c>
      <c r="C763" s="414" t="s">
        <v>187</v>
      </c>
      <c r="D763" s="414" t="s">
        <v>158</v>
      </c>
      <c r="E763" s="414" t="s">
        <v>339</v>
      </c>
      <c r="F763" s="464"/>
      <c r="G763" s="314">
        <f t="shared" ref="G763:G766" si="61">G764</f>
        <v>870.84</v>
      </c>
      <c r="H763" s="522"/>
      <c r="I763" s="334"/>
      <c r="J763" s="321"/>
      <c r="K763" s="132"/>
    </row>
    <row r="764" spans="1:11" s="132" customFormat="1" ht="47.25" x14ac:dyDescent="0.25">
      <c r="A764" s="359" t="s">
        <v>463</v>
      </c>
      <c r="B764" s="454">
        <v>906</v>
      </c>
      <c r="C764" s="414" t="s">
        <v>187</v>
      </c>
      <c r="D764" s="414" t="s">
        <v>158</v>
      </c>
      <c r="E764" s="414" t="s">
        <v>461</v>
      </c>
      <c r="F764" s="464"/>
      <c r="G764" s="314">
        <f t="shared" si="61"/>
        <v>870.84</v>
      </c>
      <c r="H764" s="522"/>
      <c r="I764" s="334"/>
      <c r="J764" s="321"/>
    </row>
    <row r="765" spans="1:11" ht="35.450000000000003" customHeight="1" x14ac:dyDescent="0.25">
      <c r="A765" s="70" t="s">
        <v>359</v>
      </c>
      <c r="B765" s="455">
        <v>906</v>
      </c>
      <c r="C765" s="402" t="s">
        <v>187</v>
      </c>
      <c r="D765" s="402" t="s">
        <v>158</v>
      </c>
      <c r="E765" s="402" t="s">
        <v>506</v>
      </c>
      <c r="F765" s="467"/>
      <c r="G765" s="318">
        <f t="shared" si="61"/>
        <v>870.84</v>
      </c>
      <c r="H765" s="522"/>
      <c r="I765" s="334"/>
      <c r="J765" s="321"/>
      <c r="K765" s="132"/>
    </row>
    <row r="766" spans="1:11" ht="39.75" customHeight="1" x14ac:dyDescent="0.25">
      <c r="A766" s="22" t="s">
        <v>191</v>
      </c>
      <c r="B766" s="455">
        <v>906</v>
      </c>
      <c r="C766" s="402" t="s">
        <v>187</v>
      </c>
      <c r="D766" s="402" t="s">
        <v>158</v>
      </c>
      <c r="E766" s="402" t="s">
        <v>506</v>
      </c>
      <c r="F766" s="467" t="s">
        <v>192</v>
      </c>
      <c r="G766" s="318">
        <f t="shared" si="61"/>
        <v>870.84</v>
      </c>
      <c r="H766" s="522"/>
      <c r="I766" s="334"/>
      <c r="J766" s="321"/>
      <c r="K766" s="132"/>
    </row>
    <row r="767" spans="1:11" ht="15.75" x14ac:dyDescent="0.25">
      <c r="A767" s="111" t="s">
        <v>193</v>
      </c>
      <c r="B767" s="455">
        <v>906</v>
      </c>
      <c r="C767" s="402" t="s">
        <v>187</v>
      </c>
      <c r="D767" s="402" t="s">
        <v>158</v>
      </c>
      <c r="E767" s="402" t="s">
        <v>506</v>
      </c>
      <c r="F767" s="467" t="s">
        <v>194</v>
      </c>
      <c r="G767" s="318">
        <v>870.84</v>
      </c>
      <c r="H767" s="522"/>
      <c r="I767" s="334"/>
      <c r="J767" s="321"/>
      <c r="K767" s="132"/>
    </row>
    <row r="768" spans="1:11" ht="15.75" x14ac:dyDescent="0.25">
      <c r="A768" s="315" t="s">
        <v>188</v>
      </c>
      <c r="B768" s="454">
        <v>906</v>
      </c>
      <c r="C768" s="414" t="s">
        <v>187</v>
      </c>
      <c r="D768" s="414" t="s">
        <v>159</v>
      </c>
      <c r="E768" s="414"/>
      <c r="F768" s="414"/>
      <c r="G768" s="30">
        <f>G769+G796</f>
        <v>41774.980000000003</v>
      </c>
      <c r="H768" s="522"/>
      <c r="I768" s="334"/>
      <c r="J768" s="321"/>
      <c r="K768" s="132"/>
    </row>
    <row r="769" spans="1:11" ht="36.75" customHeight="1" x14ac:dyDescent="0.25">
      <c r="A769" s="315" t="s">
        <v>858</v>
      </c>
      <c r="B769" s="454">
        <v>906</v>
      </c>
      <c r="C769" s="414" t="s">
        <v>187</v>
      </c>
      <c r="D769" s="414" t="s">
        <v>159</v>
      </c>
      <c r="E769" s="414" t="s">
        <v>237</v>
      </c>
      <c r="F769" s="414"/>
      <c r="G769" s="30">
        <f>G770+G777+G788+G792</f>
        <v>41472.58</v>
      </c>
      <c r="H769" s="522"/>
      <c r="I769" s="334"/>
      <c r="J769" s="321"/>
      <c r="K769" s="132"/>
    </row>
    <row r="770" spans="1:11" s="132" customFormat="1" ht="36.75" customHeight="1" x14ac:dyDescent="0.25">
      <c r="A770" s="315" t="s">
        <v>507</v>
      </c>
      <c r="B770" s="454">
        <v>906</v>
      </c>
      <c r="C770" s="414" t="s">
        <v>187</v>
      </c>
      <c r="D770" s="414" t="s">
        <v>159</v>
      </c>
      <c r="E770" s="414" t="s">
        <v>766</v>
      </c>
      <c r="F770" s="414"/>
      <c r="G770" s="30">
        <f>G771+G774</f>
        <v>37028.080000000002</v>
      </c>
      <c r="H770" s="522"/>
      <c r="I770" s="334"/>
      <c r="J770" s="321"/>
    </row>
    <row r="771" spans="1:11" ht="31.5" x14ac:dyDescent="0.25">
      <c r="A771" s="364" t="s">
        <v>190</v>
      </c>
      <c r="B771" s="455">
        <v>906</v>
      </c>
      <c r="C771" s="402" t="s">
        <v>187</v>
      </c>
      <c r="D771" s="402" t="s">
        <v>159</v>
      </c>
      <c r="E771" s="402" t="s">
        <v>788</v>
      </c>
      <c r="F771" s="402"/>
      <c r="G771" s="20">
        <f>G772</f>
        <v>37028.080000000002</v>
      </c>
      <c r="H771" s="522"/>
      <c r="I771" s="334"/>
      <c r="J771" s="321"/>
      <c r="K771" s="132"/>
    </row>
    <row r="772" spans="1:11" ht="36.75" customHeight="1" x14ac:dyDescent="0.25">
      <c r="A772" s="364" t="s">
        <v>191</v>
      </c>
      <c r="B772" s="455">
        <v>906</v>
      </c>
      <c r="C772" s="402" t="s">
        <v>187</v>
      </c>
      <c r="D772" s="402" t="s">
        <v>159</v>
      </c>
      <c r="E772" s="402" t="s">
        <v>788</v>
      </c>
      <c r="F772" s="402" t="s">
        <v>192</v>
      </c>
      <c r="G772" s="20">
        <f>G773</f>
        <v>37028.080000000002</v>
      </c>
      <c r="H772" s="522"/>
      <c r="I772" s="334"/>
      <c r="J772" s="321"/>
      <c r="K772" s="132"/>
    </row>
    <row r="773" spans="1:11" ht="15.75" x14ac:dyDescent="0.25">
      <c r="A773" s="364" t="s">
        <v>193</v>
      </c>
      <c r="B773" s="455">
        <v>906</v>
      </c>
      <c r="C773" s="402" t="s">
        <v>187</v>
      </c>
      <c r="D773" s="402" t="s">
        <v>159</v>
      </c>
      <c r="E773" s="402" t="s">
        <v>788</v>
      </c>
      <c r="F773" s="402" t="s">
        <v>194</v>
      </c>
      <c r="G773" s="20">
        <f>37018.08+10</f>
        <v>37028.080000000002</v>
      </c>
      <c r="H773" s="522" t="s">
        <v>1264</v>
      </c>
      <c r="I773" s="334" t="s">
        <v>1265</v>
      </c>
      <c r="J773" s="321"/>
      <c r="K773" s="132"/>
    </row>
    <row r="774" spans="1:11" s="132" customFormat="1" ht="31.5" hidden="1" x14ac:dyDescent="0.25">
      <c r="A774" s="24" t="s">
        <v>968</v>
      </c>
      <c r="B774" s="455">
        <v>906</v>
      </c>
      <c r="C774" s="402" t="s">
        <v>187</v>
      </c>
      <c r="D774" s="402" t="s">
        <v>159</v>
      </c>
      <c r="E774" s="402" t="s">
        <v>967</v>
      </c>
      <c r="F774" s="402"/>
      <c r="G774" s="20">
        <f>G775</f>
        <v>0</v>
      </c>
      <c r="H774" s="522"/>
      <c r="I774" s="334"/>
      <c r="J774" s="321"/>
    </row>
    <row r="775" spans="1:11" s="132" customFormat="1" ht="31.5" hidden="1" x14ac:dyDescent="0.25">
      <c r="A775" s="364" t="s">
        <v>191</v>
      </c>
      <c r="B775" s="455">
        <v>906</v>
      </c>
      <c r="C775" s="402" t="s">
        <v>187</v>
      </c>
      <c r="D775" s="402" t="s">
        <v>159</v>
      </c>
      <c r="E775" s="402" t="s">
        <v>967</v>
      </c>
      <c r="F775" s="402" t="s">
        <v>192</v>
      </c>
      <c r="G775" s="20">
        <f>G776</f>
        <v>0</v>
      </c>
      <c r="H775" s="522"/>
      <c r="I775" s="334"/>
      <c r="J775" s="321"/>
    </row>
    <row r="776" spans="1:11" s="132" customFormat="1" ht="15.75" hidden="1" x14ac:dyDescent="0.25">
      <c r="A776" s="24" t="s">
        <v>193</v>
      </c>
      <c r="B776" s="455">
        <v>906</v>
      </c>
      <c r="C776" s="402" t="s">
        <v>187</v>
      </c>
      <c r="D776" s="402" t="s">
        <v>159</v>
      </c>
      <c r="E776" s="402" t="s">
        <v>967</v>
      </c>
      <c r="F776" s="402" t="s">
        <v>194</v>
      </c>
      <c r="G776" s="20"/>
      <c r="H776" s="522"/>
      <c r="I776" s="334"/>
      <c r="J776" s="321"/>
    </row>
    <row r="777" spans="1:11" s="132" customFormat="1" ht="36" customHeight="1" x14ac:dyDescent="0.25">
      <c r="A777" s="315" t="s">
        <v>471</v>
      </c>
      <c r="B777" s="454">
        <v>906</v>
      </c>
      <c r="C777" s="414" t="s">
        <v>187</v>
      </c>
      <c r="D777" s="414" t="s">
        <v>159</v>
      </c>
      <c r="E777" s="414" t="s">
        <v>768</v>
      </c>
      <c r="F777" s="414"/>
      <c r="G777" s="30">
        <f>G778+G781</f>
        <v>2239.6</v>
      </c>
      <c r="H777" s="522"/>
      <c r="I777" s="334"/>
      <c r="J777" s="321"/>
    </row>
    <row r="778" spans="1:11" s="132" customFormat="1" ht="91.15" customHeight="1" x14ac:dyDescent="0.25">
      <c r="A778" s="24" t="s">
        <v>200</v>
      </c>
      <c r="B778" s="455">
        <v>906</v>
      </c>
      <c r="C778" s="402" t="s">
        <v>187</v>
      </c>
      <c r="D778" s="402" t="s">
        <v>159</v>
      </c>
      <c r="E778" s="402" t="s">
        <v>884</v>
      </c>
      <c r="F778" s="402"/>
      <c r="G778" s="20">
        <f>G779</f>
        <v>1480</v>
      </c>
      <c r="H778" s="522"/>
      <c r="I778" s="334"/>
      <c r="J778" s="321"/>
    </row>
    <row r="779" spans="1:11" s="132" customFormat="1" ht="36" customHeight="1" x14ac:dyDescent="0.25">
      <c r="A779" s="364" t="s">
        <v>191</v>
      </c>
      <c r="B779" s="455">
        <v>906</v>
      </c>
      <c r="C779" s="402" t="s">
        <v>187</v>
      </c>
      <c r="D779" s="402" t="s">
        <v>159</v>
      </c>
      <c r="E779" s="402" t="s">
        <v>884</v>
      </c>
      <c r="F779" s="402" t="s">
        <v>192</v>
      </c>
      <c r="G779" s="20">
        <f>G780</f>
        <v>1480</v>
      </c>
      <c r="H779" s="522"/>
      <c r="I779" s="334"/>
      <c r="J779" s="321"/>
    </row>
    <row r="780" spans="1:11" s="132" customFormat="1" ht="23.1" customHeight="1" x14ac:dyDescent="0.25">
      <c r="A780" s="364" t="s">
        <v>193</v>
      </c>
      <c r="B780" s="455">
        <v>906</v>
      </c>
      <c r="C780" s="402" t="s">
        <v>187</v>
      </c>
      <c r="D780" s="402" t="s">
        <v>159</v>
      </c>
      <c r="E780" s="402" t="s">
        <v>884</v>
      </c>
      <c r="F780" s="402" t="s">
        <v>194</v>
      </c>
      <c r="G780" s="20">
        <f>1350+130</f>
        <v>1480</v>
      </c>
      <c r="H780" s="522" t="s">
        <v>1337</v>
      </c>
      <c r="I780" s="334"/>
      <c r="J780" s="321"/>
    </row>
    <row r="781" spans="1:11" s="132" customFormat="1" ht="31.5" x14ac:dyDescent="0.25">
      <c r="A781" s="364" t="s">
        <v>1147</v>
      </c>
      <c r="B781" s="455">
        <v>906</v>
      </c>
      <c r="C781" s="402" t="s">
        <v>187</v>
      </c>
      <c r="D781" s="402" t="s">
        <v>159</v>
      </c>
      <c r="E781" s="402" t="s">
        <v>1148</v>
      </c>
      <c r="F781" s="402"/>
      <c r="G781" s="20">
        <f>G782</f>
        <v>759.59999999999991</v>
      </c>
      <c r="H781" s="522"/>
      <c r="I781" s="334"/>
      <c r="J781" s="321"/>
    </row>
    <row r="782" spans="1:11" s="132" customFormat="1" ht="31.5" x14ac:dyDescent="0.25">
      <c r="A782" s="364" t="s">
        <v>191</v>
      </c>
      <c r="B782" s="455">
        <v>906</v>
      </c>
      <c r="C782" s="402" t="s">
        <v>187</v>
      </c>
      <c r="D782" s="402" t="s">
        <v>159</v>
      </c>
      <c r="E782" s="402" t="s">
        <v>1148</v>
      </c>
      <c r="F782" s="402" t="s">
        <v>192</v>
      </c>
      <c r="G782" s="20">
        <f>G783</f>
        <v>759.59999999999991</v>
      </c>
      <c r="H782" s="522"/>
      <c r="I782" s="334"/>
      <c r="J782" s="321"/>
    </row>
    <row r="783" spans="1:11" s="132" customFormat="1" ht="15.75" x14ac:dyDescent="0.25">
      <c r="A783" s="364" t="s">
        <v>193</v>
      </c>
      <c r="B783" s="455">
        <v>906</v>
      </c>
      <c r="C783" s="402" t="s">
        <v>187</v>
      </c>
      <c r="D783" s="402" t="s">
        <v>159</v>
      </c>
      <c r="E783" s="402" t="s">
        <v>1148</v>
      </c>
      <c r="F783" s="402" t="s">
        <v>194</v>
      </c>
      <c r="G783" s="20">
        <f>743.8+15.8</f>
        <v>759.59999999999991</v>
      </c>
      <c r="H783" s="522" t="s">
        <v>1326</v>
      </c>
      <c r="I783" s="334"/>
      <c r="J783" s="321"/>
    </row>
    <row r="784" spans="1:11" s="132" customFormat="1" ht="30.75" hidden="1" customHeight="1" x14ac:dyDescent="0.25">
      <c r="A784" s="315" t="s">
        <v>809</v>
      </c>
      <c r="B784" s="454">
        <v>906</v>
      </c>
      <c r="C784" s="414" t="s">
        <v>187</v>
      </c>
      <c r="D784" s="414" t="s">
        <v>159</v>
      </c>
      <c r="E784" s="414" t="s">
        <v>770</v>
      </c>
      <c r="F784" s="414"/>
      <c r="G784" s="30">
        <f t="shared" ref="G784:G786" si="62">G785</f>
        <v>0</v>
      </c>
      <c r="H784" s="522"/>
      <c r="I784" s="334"/>
      <c r="J784" s="321"/>
    </row>
    <row r="785" spans="1:11" ht="31.5" hidden="1" x14ac:dyDescent="0.25">
      <c r="A785" s="31" t="s">
        <v>346</v>
      </c>
      <c r="B785" s="455">
        <v>906</v>
      </c>
      <c r="C785" s="402" t="s">
        <v>187</v>
      </c>
      <c r="D785" s="402" t="s">
        <v>159</v>
      </c>
      <c r="E785" s="402" t="s">
        <v>835</v>
      </c>
      <c r="F785" s="402"/>
      <c r="G785" s="20">
        <f t="shared" si="62"/>
        <v>0</v>
      </c>
      <c r="H785" s="522"/>
      <c r="I785" s="334"/>
      <c r="J785" s="321"/>
      <c r="K785" s="132"/>
    </row>
    <row r="786" spans="1:11" ht="31.5" hidden="1" x14ac:dyDescent="0.25">
      <c r="A786" s="24" t="s">
        <v>191</v>
      </c>
      <c r="B786" s="455">
        <v>906</v>
      </c>
      <c r="C786" s="402" t="s">
        <v>187</v>
      </c>
      <c r="D786" s="402" t="s">
        <v>159</v>
      </c>
      <c r="E786" s="402" t="s">
        <v>835</v>
      </c>
      <c r="F786" s="402" t="s">
        <v>192</v>
      </c>
      <c r="G786" s="20">
        <f t="shared" si="62"/>
        <v>0</v>
      </c>
      <c r="H786" s="522"/>
      <c r="I786" s="334"/>
      <c r="J786" s="321"/>
      <c r="K786" s="132"/>
    </row>
    <row r="787" spans="1:11" ht="15.75" hidden="1" x14ac:dyDescent="0.25">
      <c r="A787" s="24" t="s">
        <v>193</v>
      </c>
      <c r="B787" s="455">
        <v>906</v>
      </c>
      <c r="C787" s="402" t="s">
        <v>187</v>
      </c>
      <c r="D787" s="402" t="s">
        <v>159</v>
      </c>
      <c r="E787" s="402" t="s">
        <v>835</v>
      </c>
      <c r="F787" s="402" t="s">
        <v>194</v>
      </c>
      <c r="G787" s="20">
        <v>0</v>
      </c>
      <c r="H787" s="522"/>
      <c r="I787" s="334"/>
      <c r="J787" s="321"/>
      <c r="K787" s="132"/>
    </row>
    <row r="788" spans="1:11" s="132" customFormat="1" ht="31.5" x14ac:dyDescent="0.25">
      <c r="A788" s="145" t="s">
        <v>515</v>
      </c>
      <c r="B788" s="454">
        <v>906</v>
      </c>
      <c r="C788" s="414" t="s">
        <v>187</v>
      </c>
      <c r="D788" s="414" t="s">
        <v>159</v>
      </c>
      <c r="E788" s="414" t="s">
        <v>773</v>
      </c>
      <c r="F788" s="414"/>
      <c r="G788" s="30">
        <f t="shared" ref="G788:G790" si="63">G789</f>
        <v>1204</v>
      </c>
      <c r="H788" s="522"/>
      <c r="I788" s="334"/>
      <c r="J788" s="321"/>
    </row>
    <row r="789" spans="1:11" ht="37.5" customHeight="1" x14ac:dyDescent="0.25">
      <c r="A789" s="31" t="s">
        <v>344</v>
      </c>
      <c r="B789" s="455">
        <v>906</v>
      </c>
      <c r="C789" s="402" t="s">
        <v>187</v>
      </c>
      <c r="D789" s="402" t="s">
        <v>159</v>
      </c>
      <c r="E789" s="402" t="s">
        <v>774</v>
      </c>
      <c r="F789" s="402"/>
      <c r="G789" s="20">
        <f t="shared" si="63"/>
        <v>1204</v>
      </c>
      <c r="H789" s="522"/>
      <c r="I789" s="334"/>
      <c r="J789" s="321"/>
      <c r="K789" s="132"/>
    </row>
    <row r="790" spans="1:11" ht="32.25" customHeight="1" x14ac:dyDescent="0.25">
      <c r="A790" s="364" t="s">
        <v>191</v>
      </c>
      <c r="B790" s="455">
        <v>906</v>
      </c>
      <c r="C790" s="402" t="s">
        <v>187</v>
      </c>
      <c r="D790" s="402" t="s">
        <v>159</v>
      </c>
      <c r="E790" s="402" t="s">
        <v>774</v>
      </c>
      <c r="F790" s="402" t="s">
        <v>192</v>
      </c>
      <c r="G790" s="20">
        <f t="shared" si="63"/>
        <v>1204</v>
      </c>
      <c r="H790" s="522"/>
      <c r="I790" s="334"/>
      <c r="J790" s="321"/>
      <c r="K790" s="132"/>
    </row>
    <row r="791" spans="1:11" ht="15.75" x14ac:dyDescent="0.25">
      <c r="A791" s="24" t="s">
        <v>193</v>
      </c>
      <c r="B791" s="455">
        <v>906</v>
      </c>
      <c r="C791" s="402" t="s">
        <v>187</v>
      </c>
      <c r="D791" s="402" t="s">
        <v>159</v>
      </c>
      <c r="E791" s="402" t="s">
        <v>774</v>
      </c>
      <c r="F791" s="402" t="s">
        <v>194</v>
      </c>
      <c r="G791" s="20">
        <v>1204</v>
      </c>
      <c r="H791" s="522"/>
      <c r="I791" s="334"/>
      <c r="J791" s="321"/>
      <c r="K791" s="132"/>
    </row>
    <row r="792" spans="1:11" s="132" customFormat="1" ht="47.25" x14ac:dyDescent="0.25">
      <c r="A792" s="26" t="s">
        <v>1092</v>
      </c>
      <c r="B792" s="454">
        <v>906</v>
      </c>
      <c r="C792" s="414" t="s">
        <v>187</v>
      </c>
      <c r="D792" s="414" t="s">
        <v>159</v>
      </c>
      <c r="E792" s="414" t="s">
        <v>1093</v>
      </c>
      <c r="F792" s="414"/>
      <c r="G792" s="30">
        <f t="shared" ref="G792:G794" si="64">G793</f>
        <v>1000.9</v>
      </c>
      <c r="H792" s="522"/>
      <c r="I792" s="334"/>
      <c r="J792" s="321"/>
    </row>
    <row r="793" spans="1:11" s="132" customFormat="1" ht="31.5" x14ac:dyDescent="0.25">
      <c r="A793" s="24" t="s">
        <v>1112</v>
      </c>
      <c r="B793" s="455">
        <v>906</v>
      </c>
      <c r="C793" s="402" t="s">
        <v>187</v>
      </c>
      <c r="D793" s="402" t="s">
        <v>159</v>
      </c>
      <c r="E793" s="402" t="s">
        <v>1191</v>
      </c>
      <c r="F793" s="402"/>
      <c r="G793" s="20">
        <f t="shared" si="64"/>
        <v>1000.9</v>
      </c>
      <c r="H793" s="522"/>
      <c r="I793" s="334"/>
      <c r="J793" s="321"/>
    </row>
    <row r="794" spans="1:11" s="132" customFormat="1" ht="31.15" customHeight="1" x14ac:dyDescent="0.25">
      <c r="A794" s="364" t="s">
        <v>191</v>
      </c>
      <c r="B794" s="455">
        <v>906</v>
      </c>
      <c r="C794" s="402" t="s">
        <v>187</v>
      </c>
      <c r="D794" s="402" t="s">
        <v>159</v>
      </c>
      <c r="E794" s="402" t="s">
        <v>1191</v>
      </c>
      <c r="F794" s="402" t="s">
        <v>192</v>
      </c>
      <c r="G794" s="20">
        <f t="shared" si="64"/>
        <v>1000.9</v>
      </c>
      <c r="H794" s="522"/>
      <c r="I794" s="334"/>
      <c r="J794" s="321"/>
    </row>
    <row r="795" spans="1:11" s="132" customFormat="1" ht="14.45" customHeight="1" x14ac:dyDescent="0.25">
      <c r="A795" s="116" t="s">
        <v>1094</v>
      </c>
      <c r="B795" s="455">
        <v>906</v>
      </c>
      <c r="C795" s="402" t="s">
        <v>187</v>
      </c>
      <c r="D795" s="402" t="s">
        <v>159</v>
      </c>
      <c r="E795" s="402" t="s">
        <v>1191</v>
      </c>
      <c r="F795" s="402" t="s">
        <v>1095</v>
      </c>
      <c r="G795" s="20">
        <f>200+800.9</f>
        <v>1000.9</v>
      </c>
      <c r="H795" s="522"/>
      <c r="I795" s="334"/>
      <c r="J795" s="321"/>
    </row>
    <row r="796" spans="1:11" ht="54.75" customHeight="1" x14ac:dyDescent="0.25">
      <c r="A796" s="359" t="s">
        <v>844</v>
      </c>
      <c r="B796" s="454">
        <v>906</v>
      </c>
      <c r="C796" s="414" t="s">
        <v>187</v>
      </c>
      <c r="D796" s="414" t="s">
        <v>159</v>
      </c>
      <c r="E796" s="414" t="s">
        <v>339</v>
      </c>
      <c r="F796" s="464"/>
      <c r="G796" s="30">
        <f>G798</f>
        <v>302.39999999999998</v>
      </c>
      <c r="H796" s="522"/>
      <c r="I796" s="334"/>
      <c r="J796" s="321"/>
      <c r="K796" s="132"/>
    </row>
    <row r="797" spans="1:11" s="132" customFormat="1" ht="54.75" customHeight="1" x14ac:dyDescent="0.25">
      <c r="A797" s="359" t="s">
        <v>463</v>
      </c>
      <c r="B797" s="454">
        <v>906</v>
      </c>
      <c r="C797" s="414" t="s">
        <v>187</v>
      </c>
      <c r="D797" s="414" t="s">
        <v>510</v>
      </c>
      <c r="E797" s="414" t="s">
        <v>461</v>
      </c>
      <c r="F797" s="464"/>
      <c r="G797" s="30">
        <f t="shared" ref="G797:G799" si="65">G798</f>
        <v>302.39999999999998</v>
      </c>
      <c r="H797" s="522"/>
      <c r="I797" s="334"/>
      <c r="J797" s="321"/>
    </row>
    <row r="798" spans="1:11" ht="38.25" customHeight="1" x14ac:dyDescent="0.25">
      <c r="A798" s="70" t="s">
        <v>359</v>
      </c>
      <c r="B798" s="455">
        <v>906</v>
      </c>
      <c r="C798" s="402" t="s">
        <v>187</v>
      </c>
      <c r="D798" s="402" t="s">
        <v>159</v>
      </c>
      <c r="E798" s="402" t="s">
        <v>506</v>
      </c>
      <c r="F798" s="467"/>
      <c r="G798" s="20">
        <f t="shared" si="65"/>
        <v>302.39999999999998</v>
      </c>
      <c r="H798" s="522"/>
      <c r="I798" s="334"/>
      <c r="J798" s="321"/>
      <c r="K798" s="132"/>
    </row>
    <row r="799" spans="1:11" ht="34.5" customHeight="1" x14ac:dyDescent="0.25">
      <c r="A799" s="22" t="s">
        <v>191</v>
      </c>
      <c r="B799" s="455">
        <v>906</v>
      </c>
      <c r="C799" s="402" t="s">
        <v>187</v>
      </c>
      <c r="D799" s="402" t="s">
        <v>159</v>
      </c>
      <c r="E799" s="402" t="s">
        <v>506</v>
      </c>
      <c r="F799" s="467" t="s">
        <v>192</v>
      </c>
      <c r="G799" s="20">
        <f t="shared" si="65"/>
        <v>302.39999999999998</v>
      </c>
      <c r="H799" s="522"/>
      <c r="I799" s="334"/>
      <c r="J799" s="321"/>
      <c r="K799" s="132"/>
    </row>
    <row r="800" spans="1:11" ht="15.75" x14ac:dyDescent="0.25">
      <c r="A800" s="111" t="s">
        <v>193</v>
      </c>
      <c r="B800" s="455">
        <v>906</v>
      </c>
      <c r="C800" s="402" t="s">
        <v>187</v>
      </c>
      <c r="D800" s="402" t="s">
        <v>159</v>
      </c>
      <c r="E800" s="402" t="s">
        <v>506</v>
      </c>
      <c r="F800" s="467" t="s">
        <v>194</v>
      </c>
      <c r="G800" s="20">
        <v>302.39999999999998</v>
      </c>
      <c r="H800" s="522"/>
      <c r="I800" s="334"/>
      <c r="J800" s="321"/>
      <c r="K800" s="132"/>
    </row>
    <row r="801" spans="1:11" ht="21.2" customHeight="1" x14ac:dyDescent="0.25">
      <c r="A801" s="315" t="s">
        <v>246</v>
      </c>
      <c r="B801" s="454">
        <v>906</v>
      </c>
      <c r="C801" s="414" t="s">
        <v>187</v>
      </c>
      <c r="D801" s="414" t="s">
        <v>187</v>
      </c>
      <c r="E801" s="414"/>
      <c r="F801" s="414"/>
      <c r="G801" s="314">
        <f t="shared" ref="G801:G803" si="66">G802</f>
        <v>7513.9</v>
      </c>
      <c r="H801" s="522"/>
      <c r="I801" s="334"/>
      <c r="J801" s="321"/>
      <c r="K801" s="132"/>
    </row>
    <row r="802" spans="1:11" ht="31.5" x14ac:dyDescent="0.25">
      <c r="A802" s="315" t="s">
        <v>860</v>
      </c>
      <c r="B802" s="454">
        <v>906</v>
      </c>
      <c r="C802" s="414" t="s">
        <v>187</v>
      </c>
      <c r="D802" s="414" t="s">
        <v>187</v>
      </c>
      <c r="E802" s="414" t="s">
        <v>237</v>
      </c>
      <c r="F802" s="414"/>
      <c r="G802" s="314">
        <f t="shared" si="66"/>
        <v>7513.9</v>
      </c>
      <c r="H802" s="522"/>
      <c r="I802" s="334"/>
      <c r="J802" s="321"/>
      <c r="K802" s="132"/>
    </row>
    <row r="803" spans="1:11" s="132" customFormat="1" ht="31.5" x14ac:dyDescent="0.25">
      <c r="A803" s="315" t="s">
        <v>511</v>
      </c>
      <c r="B803" s="454">
        <v>906</v>
      </c>
      <c r="C803" s="414" t="s">
        <v>187</v>
      </c>
      <c r="D803" s="414" t="s">
        <v>187</v>
      </c>
      <c r="E803" s="414" t="s">
        <v>772</v>
      </c>
      <c r="F803" s="414"/>
      <c r="G803" s="314">
        <f t="shared" si="66"/>
        <v>7513.9</v>
      </c>
      <c r="H803" s="522"/>
      <c r="I803" s="334"/>
      <c r="J803" s="321"/>
    </row>
    <row r="804" spans="1:11" ht="31.5" x14ac:dyDescent="0.25">
      <c r="A804" s="24" t="s">
        <v>617</v>
      </c>
      <c r="B804" s="455">
        <v>906</v>
      </c>
      <c r="C804" s="402" t="s">
        <v>187</v>
      </c>
      <c r="D804" s="402" t="s">
        <v>187</v>
      </c>
      <c r="E804" s="402" t="s">
        <v>789</v>
      </c>
      <c r="F804" s="402"/>
      <c r="G804" s="318">
        <f t="shared" ref="G804:G805" si="67">G805</f>
        <v>7513.9</v>
      </c>
      <c r="H804" s="522"/>
      <c r="I804" s="334"/>
      <c r="J804" s="321"/>
      <c r="K804" s="132"/>
    </row>
    <row r="805" spans="1:11" ht="36" customHeight="1" x14ac:dyDescent="0.25">
      <c r="A805" s="364" t="s">
        <v>191</v>
      </c>
      <c r="B805" s="455">
        <v>906</v>
      </c>
      <c r="C805" s="402" t="s">
        <v>187</v>
      </c>
      <c r="D805" s="402" t="s">
        <v>187</v>
      </c>
      <c r="E805" s="402" t="s">
        <v>789</v>
      </c>
      <c r="F805" s="402" t="s">
        <v>192</v>
      </c>
      <c r="G805" s="318">
        <f t="shared" si="67"/>
        <v>7513.9</v>
      </c>
      <c r="H805" s="520"/>
      <c r="I805" s="346"/>
      <c r="J805" s="321"/>
      <c r="K805" s="132"/>
    </row>
    <row r="806" spans="1:11" ht="15.75" x14ac:dyDescent="0.25">
      <c r="A806" s="364" t="s">
        <v>193</v>
      </c>
      <c r="B806" s="455">
        <v>906</v>
      </c>
      <c r="C806" s="402" t="s">
        <v>187</v>
      </c>
      <c r="D806" s="402" t="s">
        <v>187</v>
      </c>
      <c r="E806" s="402" t="s">
        <v>789</v>
      </c>
      <c r="F806" s="402" t="s">
        <v>194</v>
      </c>
      <c r="G806" s="20">
        <f>4113.9+3400</f>
        <v>7513.9</v>
      </c>
      <c r="H806" s="520"/>
      <c r="I806" s="353"/>
      <c r="J806" s="321"/>
      <c r="K806" s="132"/>
    </row>
    <row r="807" spans="1:11" ht="15.75" x14ac:dyDescent="0.25">
      <c r="A807" s="315" t="s">
        <v>201</v>
      </c>
      <c r="B807" s="454">
        <v>906</v>
      </c>
      <c r="C807" s="414" t="s">
        <v>187</v>
      </c>
      <c r="D807" s="414" t="s">
        <v>161</v>
      </c>
      <c r="E807" s="414"/>
      <c r="F807" s="414"/>
      <c r="G807" s="314">
        <f>G808+G825</f>
        <v>21608.03</v>
      </c>
      <c r="H807" s="522"/>
      <c r="I807" s="334"/>
      <c r="J807" s="321"/>
      <c r="K807" s="132"/>
    </row>
    <row r="808" spans="1:11" ht="31.5" x14ac:dyDescent="0.25">
      <c r="A808" s="315" t="s">
        <v>488</v>
      </c>
      <c r="B808" s="454">
        <v>906</v>
      </c>
      <c r="C808" s="414" t="s">
        <v>187</v>
      </c>
      <c r="D808" s="414" t="s">
        <v>161</v>
      </c>
      <c r="E808" s="414" t="s">
        <v>434</v>
      </c>
      <c r="F808" s="414"/>
      <c r="G808" s="314">
        <f>G809</f>
        <v>21108.03</v>
      </c>
      <c r="H808" s="522"/>
      <c r="I808" s="334"/>
      <c r="J808" s="321"/>
      <c r="K808" s="132"/>
    </row>
    <row r="809" spans="1:11" ht="15.75" x14ac:dyDescent="0.25">
      <c r="A809" s="315" t="s">
        <v>489</v>
      </c>
      <c r="B809" s="454">
        <v>906</v>
      </c>
      <c r="C809" s="414" t="s">
        <v>187</v>
      </c>
      <c r="D809" s="414" t="s">
        <v>161</v>
      </c>
      <c r="E809" s="414" t="s">
        <v>435</v>
      </c>
      <c r="F809" s="414"/>
      <c r="G809" s="314">
        <f>G810+G815+G822</f>
        <v>21108.03</v>
      </c>
      <c r="H809" s="522"/>
      <c r="I809" s="334"/>
      <c r="J809" s="321"/>
      <c r="K809" s="132"/>
    </row>
    <row r="810" spans="1:11" ht="34.700000000000003" customHeight="1" x14ac:dyDescent="0.25">
      <c r="A810" s="364" t="s">
        <v>468</v>
      </c>
      <c r="B810" s="455">
        <v>906</v>
      </c>
      <c r="C810" s="402" t="s">
        <v>187</v>
      </c>
      <c r="D810" s="402" t="s">
        <v>161</v>
      </c>
      <c r="E810" s="402" t="s">
        <v>436</v>
      </c>
      <c r="F810" s="402"/>
      <c r="G810" s="318">
        <f>G811+G813</f>
        <v>6102.53</v>
      </c>
      <c r="H810" s="522"/>
      <c r="I810" s="334"/>
      <c r="J810" s="321"/>
      <c r="K810" s="132"/>
    </row>
    <row r="811" spans="1:11" ht="72" customHeight="1" x14ac:dyDescent="0.25">
      <c r="A811" s="364" t="s">
        <v>119</v>
      </c>
      <c r="B811" s="455">
        <v>906</v>
      </c>
      <c r="C811" s="402" t="s">
        <v>187</v>
      </c>
      <c r="D811" s="402" t="s">
        <v>161</v>
      </c>
      <c r="E811" s="402" t="s">
        <v>436</v>
      </c>
      <c r="F811" s="402" t="s">
        <v>120</v>
      </c>
      <c r="G811" s="318">
        <f>G812</f>
        <v>5852.53</v>
      </c>
      <c r="H811" s="522"/>
      <c r="I811" s="334"/>
      <c r="J811" s="321"/>
      <c r="K811" s="132"/>
    </row>
    <row r="812" spans="1:11" ht="31.5" x14ac:dyDescent="0.25">
      <c r="A812" s="364" t="s">
        <v>121</v>
      </c>
      <c r="B812" s="455">
        <v>906</v>
      </c>
      <c r="C812" s="402" t="s">
        <v>187</v>
      </c>
      <c r="D812" s="402" t="s">
        <v>161</v>
      </c>
      <c r="E812" s="402" t="s">
        <v>436</v>
      </c>
      <c r="F812" s="402" t="s">
        <v>122</v>
      </c>
      <c r="G812" s="20">
        <f>5789.33+63.2</f>
        <v>5852.53</v>
      </c>
      <c r="H812" s="522" t="s">
        <v>1266</v>
      </c>
      <c r="I812" s="334" t="s">
        <v>1267</v>
      </c>
      <c r="J812" s="321"/>
      <c r="K812" s="132"/>
    </row>
    <row r="813" spans="1:11" ht="31.5" x14ac:dyDescent="0.25">
      <c r="A813" s="364" t="s">
        <v>123</v>
      </c>
      <c r="B813" s="455">
        <v>906</v>
      </c>
      <c r="C813" s="402" t="s">
        <v>187</v>
      </c>
      <c r="D813" s="402" t="s">
        <v>161</v>
      </c>
      <c r="E813" s="402" t="s">
        <v>436</v>
      </c>
      <c r="F813" s="402" t="s">
        <v>124</v>
      </c>
      <c r="G813" s="318">
        <f>G814</f>
        <v>250</v>
      </c>
      <c r="H813" s="522"/>
      <c r="I813" s="334"/>
      <c r="J813" s="321"/>
      <c r="K813" s="132"/>
    </row>
    <row r="814" spans="1:11" ht="31.5" x14ac:dyDescent="0.25">
      <c r="A814" s="364" t="s">
        <v>125</v>
      </c>
      <c r="B814" s="455">
        <v>906</v>
      </c>
      <c r="C814" s="402" t="s">
        <v>187</v>
      </c>
      <c r="D814" s="402" t="s">
        <v>161</v>
      </c>
      <c r="E814" s="402" t="s">
        <v>436</v>
      </c>
      <c r="F814" s="402" t="s">
        <v>126</v>
      </c>
      <c r="G814" s="318">
        <v>250</v>
      </c>
      <c r="H814" s="522"/>
      <c r="I814" s="334"/>
      <c r="J814" s="321"/>
      <c r="K814" s="132"/>
    </row>
    <row r="815" spans="1:11" s="363" customFormat="1" ht="31.5" x14ac:dyDescent="0.25">
      <c r="A815" s="364" t="s">
        <v>417</v>
      </c>
      <c r="B815" s="455">
        <v>906</v>
      </c>
      <c r="C815" s="402" t="s">
        <v>187</v>
      </c>
      <c r="D815" s="402" t="s">
        <v>161</v>
      </c>
      <c r="E815" s="402" t="s">
        <v>437</v>
      </c>
      <c r="F815" s="402"/>
      <c r="G815" s="318">
        <f>G816+G818+G820</f>
        <v>14530.5</v>
      </c>
      <c r="H815" s="522"/>
      <c r="I815" s="334"/>
      <c r="J815" s="321"/>
    </row>
    <row r="816" spans="1:11" s="363" customFormat="1" ht="63" x14ac:dyDescent="0.25">
      <c r="A816" s="364" t="s">
        <v>119</v>
      </c>
      <c r="B816" s="455">
        <v>906</v>
      </c>
      <c r="C816" s="402" t="s">
        <v>187</v>
      </c>
      <c r="D816" s="402" t="s">
        <v>161</v>
      </c>
      <c r="E816" s="402" t="s">
        <v>437</v>
      </c>
      <c r="F816" s="402" t="s">
        <v>120</v>
      </c>
      <c r="G816" s="318">
        <f>G817</f>
        <v>13078.8</v>
      </c>
      <c r="H816" s="522"/>
      <c r="I816" s="334"/>
      <c r="J816" s="321"/>
    </row>
    <row r="817" spans="1:11" s="363" customFormat="1" ht="31.5" x14ac:dyDescent="0.25">
      <c r="A817" s="364" t="s">
        <v>121</v>
      </c>
      <c r="B817" s="455">
        <v>906</v>
      </c>
      <c r="C817" s="402" t="s">
        <v>187</v>
      </c>
      <c r="D817" s="402" t="s">
        <v>161</v>
      </c>
      <c r="E817" s="402" t="s">
        <v>437</v>
      </c>
      <c r="F817" s="402" t="s">
        <v>122</v>
      </c>
      <c r="G817" s="318">
        <f>13041.5+37.3</f>
        <v>13078.8</v>
      </c>
      <c r="H817" s="522" t="s">
        <v>1268</v>
      </c>
      <c r="I817" s="334" t="s">
        <v>1269</v>
      </c>
      <c r="J817" s="321"/>
    </row>
    <row r="818" spans="1:11" s="363" customFormat="1" ht="31.5" x14ac:dyDescent="0.25">
      <c r="A818" s="364" t="s">
        <v>123</v>
      </c>
      <c r="B818" s="455">
        <v>906</v>
      </c>
      <c r="C818" s="402" t="s">
        <v>187</v>
      </c>
      <c r="D818" s="402" t="s">
        <v>161</v>
      </c>
      <c r="E818" s="402" t="s">
        <v>437</v>
      </c>
      <c r="F818" s="402" t="s">
        <v>124</v>
      </c>
      <c r="G818" s="318">
        <f>G819</f>
        <v>1437.7</v>
      </c>
      <c r="H818" s="522"/>
      <c r="I818" s="334"/>
      <c r="J818" s="321"/>
    </row>
    <row r="819" spans="1:11" s="363" customFormat="1" ht="31.5" x14ac:dyDescent="0.25">
      <c r="A819" s="364" t="s">
        <v>125</v>
      </c>
      <c r="B819" s="455">
        <v>906</v>
      </c>
      <c r="C819" s="402" t="s">
        <v>187</v>
      </c>
      <c r="D819" s="402" t="s">
        <v>161</v>
      </c>
      <c r="E819" s="402" t="s">
        <v>437</v>
      </c>
      <c r="F819" s="402" t="s">
        <v>126</v>
      </c>
      <c r="G819" s="318">
        <v>1437.7</v>
      </c>
      <c r="H819" s="522"/>
      <c r="I819" s="334"/>
      <c r="J819" s="321"/>
    </row>
    <row r="820" spans="1:11" s="363" customFormat="1" ht="15.75" x14ac:dyDescent="0.25">
      <c r="A820" s="364" t="s">
        <v>127</v>
      </c>
      <c r="B820" s="455">
        <v>906</v>
      </c>
      <c r="C820" s="402" t="s">
        <v>187</v>
      </c>
      <c r="D820" s="402" t="s">
        <v>161</v>
      </c>
      <c r="E820" s="402" t="s">
        <v>437</v>
      </c>
      <c r="F820" s="402" t="s">
        <v>134</v>
      </c>
      <c r="G820" s="318">
        <f>G821</f>
        <v>14</v>
      </c>
      <c r="H820" s="522"/>
      <c r="I820" s="334"/>
      <c r="J820" s="321"/>
    </row>
    <row r="821" spans="1:11" s="363" customFormat="1" ht="15.75" x14ac:dyDescent="0.25">
      <c r="A821" s="364" t="s">
        <v>280</v>
      </c>
      <c r="B821" s="455">
        <v>906</v>
      </c>
      <c r="C821" s="402" t="s">
        <v>187</v>
      </c>
      <c r="D821" s="402" t="s">
        <v>161</v>
      </c>
      <c r="E821" s="402" t="s">
        <v>437</v>
      </c>
      <c r="F821" s="402" t="s">
        <v>130</v>
      </c>
      <c r="G821" s="318">
        <v>14</v>
      </c>
      <c r="H821" s="522"/>
      <c r="I821" s="334"/>
      <c r="J821" s="321"/>
    </row>
    <row r="822" spans="1:11" s="132" customFormat="1" ht="31.5" x14ac:dyDescent="0.25">
      <c r="A822" s="364" t="s">
        <v>416</v>
      </c>
      <c r="B822" s="455">
        <v>906</v>
      </c>
      <c r="C822" s="402" t="s">
        <v>187</v>
      </c>
      <c r="D822" s="402" t="s">
        <v>161</v>
      </c>
      <c r="E822" s="402" t="s">
        <v>438</v>
      </c>
      <c r="F822" s="402"/>
      <c r="G822" s="318">
        <f>G823</f>
        <v>475</v>
      </c>
      <c r="H822" s="522"/>
      <c r="I822" s="334"/>
      <c r="J822" s="321"/>
    </row>
    <row r="823" spans="1:11" s="132" customFormat="1" ht="63" x14ac:dyDescent="0.25">
      <c r="A823" s="364" t="s">
        <v>119</v>
      </c>
      <c r="B823" s="455">
        <v>906</v>
      </c>
      <c r="C823" s="402" t="s">
        <v>187</v>
      </c>
      <c r="D823" s="402" t="s">
        <v>161</v>
      </c>
      <c r="E823" s="402" t="s">
        <v>438</v>
      </c>
      <c r="F823" s="402" t="s">
        <v>120</v>
      </c>
      <c r="G823" s="318">
        <f>G824</f>
        <v>475</v>
      </c>
      <c r="H823" s="522"/>
      <c r="I823" s="334"/>
      <c r="J823" s="321"/>
    </row>
    <row r="824" spans="1:11" s="132" customFormat="1" ht="31.5" x14ac:dyDescent="0.25">
      <c r="A824" s="364" t="s">
        <v>121</v>
      </c>
      <c r="B824" s="455">
        <v>906</v>
      </c>
      <c r="C824" s="402" t="s">
        <v>187</v>
      </c>
      <c r="D824" s="402" t="s">
        <v>161</v>
      </c>
      <c r="E824" s="402" t="s">
        <v>438</v>
      </c>
      <c r="F824" s="402" t="s">
        <v>122</v>
      </c>
      <c r="G824" s="318">
        <f>43+432</f>
        <v>475</v>
      </c>
      <c r="H824" s="522"/>
      <c r="I824" s="334"/>
      <c r="J824" s="321"/>
    </row>
    <row r="825" spans="1:11" ht="15.75" x14ac:dyDescent="0.25">
      <c r="A825" s="315" t="s">
        <v>133</v>
      </c>
      <c r="B825" s="454">
        <v>906</v>
      </c>
      <c r="C825" s="414" t="s">
        <v>187</v>
      </c>
      <c r="D825" s="414" t="s">
        <v>161</v>
      </c>
      <c r="E825" s="414" t="s">
        <v>442</v>
      </c>
      <c r="F825" s="414"/>
      <c r="G825" s="314">
        <f>G826+G832</f>
        <v>500</v>
      </c>
      <c r="H825" s="522"/>
      <c r="I825" s="334"/>
      <c r="J825" s="321"/>
      <c r="K825" s="132"/>
    </row>
    <row r="826" spans="1:11" s="132" customFormat="1" ht="31.5" x14ac:dyDescent="0.25">
      <c r="A826" s="315" t="s">
        <v>446</v>
      </c>
      <c r="B826" s="454">
        <v>906</v>
      </c>
      <c r="C826" s="414" t="s">
        <v>187</v>
      </c>
      <c r="D826" s="414" t="s">
        <v>161</v>
      </c>
      <c r="E826" s="414" t="s">
        <v>441</v>
      </c>
      <c r="F826" s="414"/>
      <c r="G826" s="314">
        <f>G827</f>
        <v>500</v>
      </c>
      <c r="H826" s="522"/>
      <c r="I826" s="334"/>
      <c r="J826" s="321"/>
    </row>
    <row r="827" spans="1:11" ht="15.75" x14ac:dyDescent="0.25">
      <c r="A827" s="364" t="s">
        <v>247</v>
      </c>
      <c r="B827" s="455">
        <v>906</v>
      </c>
      <c r="C827" s="402" t="s">
        <v>187</v>
      </c>
      <c r="D827" s="402" t="s">
        <v>161</v>
      </c>
      <c r="E827" s="402" t="s">
        <v>512</v>
      </c>
      <c r="F827" s="402"/>
      <c r="G827" s="318">
        <f>G828+G830</f>
        <v>500</v>
      </c>
      <c r="H827" s="522"/>
      <c r="I827" s="334"/>
      <c r="J827" s="321"/>
      <c r="K827" s="132"/>
    </row>
    <row r="828" spans="1:11" s="132" customFormat="1" ht="63" hidden="1" x14ac:dyDescent="0.25">
      <c r="A828" s="364" t="s">
        <v>119</v>
      </c>
      <c r="B828" s="455">
        <v>906</v>
      </c>
      <c r="C828" s="402" t="s">
        <v>187</v>
      </c>
      <c r="D828" s="402" t="s">
        <v>161</v>
      </c>
      <c r="E828" s="402" t="s">
        <v>512</v>
      </c>
      <c r="F828" s="402" t="s">
        <v>120</v>
      </c>
      <c r="G828" s="318">
        <f>G829</f>
        <v>0</v>
      </c>
      <c r="H828" s="522"/>
      <c r="I828" s="334"/>
      <c r="J828" s="321"/>
    </row>
    <row r="829" spans="1:11" s="132" customFormat="1" ht="15.75" hidden="1" x14ac:dyDescent="0.25">
      <c r="A829" s="364" t="s">
        <v>212</v>
      </c>
      <c r="B829" s="455">
        <v>906</v>
      </c>
      <c r="C829" s="402" t="s">
        <v>187</v>
      </c>
      <c r="D829" s="402" t="s">
        <v>161</v>
      </c>
      <c r="E829" s="402" t="s">
        <v>512</v>
      </c>
      <c r="F829" s="402" t="s">
        <v>156</v>
      </c>
      <c r="G829" s="318"/>
      <c r="H829" s="520"/>
      <c r="I829" s="334"/>
      <c r="J829" s="321"/>
    </row>
    <row r="830" spans="1:11" ht="31.5" x14ac:dyDescent="0.25">
      <c r="A830" s="364" t="s">
        <v>123</v>
      </c>
      <c r="B830" s="455">
        <v>906</v>
      </c>
      <c r="C830" s="402" t="s">
        <v>187</v>
      </c>
      <c r="D830" s="402" t="s">
        <v>161</v>
      </c>
      <c r="E830" s="402" t="s">
        <v>512</v>
      </c>
      <c r="F830" s="402" t="s">
        <v>124</v>
      </c>
      <c r="G830" s="318">
        <f>G831</f>
        <v>500</v>
      </c>
      <c r="H830" s="522"/>
      <c r="I830" s="334"/>
      <c r="J830" s="321"/>
      <c r="K830" s="132"/>
    </row>
    <row r="831" spans="1:11" ht="31.5" x14ac:dyDescent="0.25">
      <c r="A831" s="364" t="s">
        <v>125</v>
      </c>
      <c r="B831" s="455">
        <v>906</v>
      </c>
      <c r="C831" s="402" t="s">
        <v>187</v>
      </c>
      <c r="D831" s="402" t="s">
        <v>161</v>
      </c>
      <c r="E831" s="402" t="s">
        <v>512</v>
      </c>
      <c r="F831" s="402" t="s">
        <v>126</v>
      </c>
      <c r="G831" s="318">
        <v>500</v>
      </c>
      <c r="H831" s="522"/>
      <c r="I831" s="334"/>
      <c r="J831" s="321"/>
      <c r="K831" s="132"/>
    </row>
    <row r="832" spans="1:11" s="132" customFormat="1" ht="31.5" hidden="1" x14ac:dyDescent="0.25">
      <c r="A832" s="315" t="s">
        <v>500</v>
      </c>
      <c r="B832" s="454">
        <v>906</v>
      </c>
      <c r="C832" s="414" t="s">
        <v>187</v>
      </c>
      <c r="D832" s="414" t="s">
        <v>161</v>
      </c>
      <c r="E832" s="414" t="s">
        <v>485</v>
      </c>
      <c r="F832" s="414"/>
      <c r="G832" s="314">
        <f>G833+G840</f>
        <v>0</v>
      </c>
      <c r="H832" s="522"/>
      <c r="I832" s="334"/>
      <c r="J832" s="321"/>
    </row>
    <row r="833" spans="1:11" ht="31.5" hidden="1" x14ac:dyDescent="0.25">
      <c r="A833" s="364" t="s">
        <v>637</v>
      </c>
      <c r="B833" s="455">
        <v>906</v>
      </c>
      <c r="C833" s="402" t="s">
        <v>187</v>
      </c>
      <c r="D833" s="402" t="s">
        <v>161</v>
      </c>
      <c r="E833" s="402" t="s">
        <v>486</v>
      </c>
      <c r="F833" s="402"/>
      <c r="G833" s="318">
        <f>G834+G836+G838</f>
        <v>0</v>
      </c>
      <c r="H833" s="522"/>
      <c r="I833" s="334"/>
      <c r="J833" s="321"/>
      <c r="K833" s="132"/>
    </row>
    <row r="834" spans="1:11" ht="61.5" hidden="1" customHeight="1" x14ac:dyDescent="0.25">
      <c r="A834" s="364" t="s">
        <v>119</v>
      </c>
      <c r="B834" s="455">
        <v>906</v>
      </c>
      <c r="C834" s="402" t="s">
        <v>187</v>
      </c>
      <c r="D834" s="402" t="s">
        <v>161</v>
      </c>
      <c r="E834" s="402" t="s">
        <v>486</v>
      </c>
      <c r="F834" s="402" t="s">
        <v>120</v>
      </c>
      <c r="G834" s="318">
        <f>G835</f>
        <v>0</v>
      </c>
      <c r="H834" s="522"/>
      <c r="I834" s="334"/>
      <c r="J834" s="321"/>
      <c r="K834" s="132"/>
    </row>
    <row r="835" spans="1:11" ht="15.75" hidden="1" x14ac:dyDescent="0.25">
      <c r="A835" s="364" t="s">
        <v>212</v>
      </c>
      <c r="B835" s="455">
        <v>906</v>
      </c>
      <c r="C835" s="402" t="s">
        <v>187</v>
      </c>
      <c r="D835" s="402" t="s">
        <v>161</v>
      </c>
      <c r="E835" s="402" t="s">
        <v>486</v>
      </c>
      <c r="F835" s="402" t="s">
        <v>156</v>
      </c>
      <c r="G835" s="20"/>
      <c r="H835" s="522"/>
      <c r="I835" s="334"/>
      <c r="J835" s="321"/>
      <c r="K835" s="132"/>
    </row>
    <row r="836" spans="1:11" ht="31.5" hidden="1" x14ac:dyDescent="0.25">
      <c r="A836" s="364" t="s">
        <v>123</v>
      </c>
      <c r="B836" s="455">
        <v>906</v>
      </c>
      <c r="C836" s="402" t="s">
        <v>187</v>
      </c>
      <c r="D836" s="402" t="s">
        <v>161</v>
      </c>
      <c r="E836" s="402" t="s">
        <v>486</v>
      </c>
      <c r="F836" s="402" t="s">
        <v>124</v>
      </c>
      <c r="G836" s="318">
        <f>G837</f>
        <v>0</v>
      </c>
      <c r="H836" s="522"/>
      <c r="I836" s="334"/>
      <c r="J836" s="321"/>
      <c r="K836" s="132"/>
    </row>
    <row r="837" spans="1:11" ht="33" hidden="1" customHeight="1" x14ac:dyDescent="0.25">
      <c r="A837" s="364" t="s">
        <v>125</v>
      </c>
      <c r="B837" s="455">
        <v>906</v>
      </c>
      <c r="C837" s="402" t="s">
        <v>187</v>
      </c>
      <c r="D837" s="402" t="s">
        <v>161</v>
      </c>
      <c r="E837" s="402" t="s">
        <v>486</v>
      </c>
      <c r="F837" s="402" t="s">
        <v>126</v>
      </c>
      <c r="G837" s="318"/>
      <c r="H837" s="522"/>
      <c r="I837" s="334"/>
      <c r="J837" s="321"/>
      <c r="K837" s="132"/>
    </row>
    <row r="838" spans="1:11" ht="15.75" hidden="1" x14ac:dyDescent="0.25">
      <c r="A838" s="364" t="s">
        <v>127</v>
      </c>
      <c r="B838" s="455">
        <v>906</v>
      </c>
      <c r="C838" s="402" t="s">
        <v>187</v>
      </c>
      <c r="D838" s="402" t="s">
        <v>161</v>
      </c>
      <c r="E838" s="402" t="s">
        <v>486</v>
      </c>
      <c r="F838" s="402" t="s">
        <v>134</v>
      </c>
      <c r="G838" s="318">
        <f>G839</f>
        <v>0</v>
      </c>
      <c r="H838" s="522"/>
      <c r="I838" s="334"/>
      <c r="J838" s="321"/>
      <c r="K838" s="132"/>
    </row>
    <row r="839" spans="1:11" ht="15.75" hidden="1" x14ac:dyDescent="0.25">
      <c r="A839" s="364" t="s">
        <v>280</v>
      </c>
      <c r="B839" s="455">
        <v>906</v>
      </c>
      <c r="C839" s="402" t="s">
        <v>187</v>
      </c>
      <c r="D839" s="402" t="s">
        <v>161</v>
      </c>
      <c r="E839" s="402" t="s">
        <v>486</v>
      </c>
      <c r="F839" s="402" t="s">
        <v>130</v>
      </c>
      <c r="G839" s="318"/>
      <c r="H839" s="522"/>
      <c r="I839" s="334"/>
      <c r="J839" s="321"/>
      <c r="K839" s="132"/>
    </row>
    <row r="840" spans="1:11" s="132" customFormat="1" ht="31.5" hidden="1" x14ac:dyDescent="0.25">
      <c r="A840" s="364" t="s">
        <v>416</v>
      </c>
      <c r="B840" s="455">
        <v>906</v>
      </c>
      <c r="C840" s="402" t="s">
        <v>187</v>
      </c>
      <c r="D840" s="402" t="s">
        <v>161</v>
      </c>
      <c r="E840" s="402" t="s">
        <v>487</v>
      </c>
      <c r="F840" s="402"/>
      <c r="G840" s="318">
        <f>G841</f>
        <v>0</v>
      </c>
      <c r="H840" s="522"/>
      <c r="I840" s="334"/>
      <c r="J840" s="321"/>
    </row>
    <row r="841" spans="1:11" s="132" customFormat="1" ht="63" hidden="1" x14ac:dyDescent="0.25">
      <c r="A841" s="364" t="s">
        <v>119</v>
      </c>
      <c r="B841" s="455">
        <v>906</v>
      </c>
      <c r="C841" s="402" t="s">
        <v>187</v>
      </c>
      <c r="D841" s="402" t="s">
        <v>161</v>
      </c>
      <c r="E841" s="402" t="s">
        <v>487</v>
      </c>
      <c r="F841" s="402" t="s">
        <v>120</v>
      </c>
      <c r="G841" s="318">
        <f>G842</f>
        <v>0</v>
      </c>
      <c r="H841" s="522"/>
      <c r="I841" s="334"/>
      <c r="J841" s="321"/>
    </row>
    <row r="842" spans="1:11" s="132" customFormat="1" ht="15.75" hidden="1" x14ac:dyDescent="0.25">
      <c r="A842" s="364" t="s">
        <v>212</v>
      </c>
      <c r="B842" s="455">
        <v>906</v>
      </c>
      <c r="C842" s="402" t="s">
        <v>187</v>
      </c>
      <c r="D842" s="402" t="s">
        <v>161</v>
      </c>
      <c r="E842" s="402" t="s">
        <v>487</v>
      </c>
      <c r="F842" s="402" t="s">
        <v>156</v>
      </c>
      <c r="G842" s="318"/>
      <c r="H842" s="522"/>
      <c r="I842" s="334"/>
      <c r="J842" s="321"/>
    </row>
    <row r="843" spans="1:11" ht="36.75" customHeight="1" x14ac:dyDescent="0.25">
      <c r="A843" s="312" t="s">
        <v>248</v>
      </c>
      <c r="B843" s="454">
        <v>907</v>
      </c>
      <c r="C843" s="402"/>
      <c r="D843" s="402"/>
      <c r="E843" s="402"/>
      <c r="F843" s="402"/>
      <c r="G843" s="314">
        <f>G851+G844</f>
        <v>76235.790000000008</v>
      </c>
      <c r="H843" s="523"/>
      <c r="I843" s="334"/>
      <c r="J843" s="321"/>
      <c r="K843" s="132"/>
    </row>
    <row r="844" spans="1:11" s="132" customFormat="1" ht="18.75" customHeight="1" x14ac:dyDescent="0.25">
      <c r="A844" s="315" t="s">
        <v>115</v>
      </c>
      <c r="B844" s="454">
        <v>907</v>
      </c>
      <c r="C844" s="414" t="s">
        <v>116</v>
      </c>
      <c r="D844" s="414"/>
      <c r="E844" s="414"/>
      <c r="F844" s="414"/>
      <c r="G844" s="314">
        <f t="shared" ref="G844:G845" si="68">G845</f>
        <v>100</v>
      </c>
      <c r="H844" s="522"/>
      <c r="I844" s="334"/>
      <c r="J844" s="321"/>
    </row>
    <row r="845" spans="1:11" s="132" customFormat="1" ht="21.75" customHeight="1" x14ac:dyDescent="0.25">
      <c r="A845" s="26" t="s">
        <v>131</v>
      </c>
      <c r="B845" s="454">
        <v>907</v>
      </c>
      <c r="C845" s="414" t="s">
        <v>116</v>
      </c>
      <c r="D845" s="414" t="s">
        <v>132</v>
      </c>
      <c r="E845" s="414"/>
      <c r="F845" s="414"/>
      <c r="G845" s="314">
        <f t="shared" si="68"/>
        <v>100</v>
      </c>
      <c r="H845" s="522"/>
      <c r="I845" s="334"/>
      <c r="J845" s="321"/>
    </row>
    <row r="846" spans="1:11" s="132" customFormat="1" ht="36.75" customHeight="1" x14ac:dyDescent="0.25">
      <c r="A846" s="315" t="s">
        <v>861</v>
      </c>
      <c r="B846" s="454">
        <v>907</v>
      </c>
      <c r="C846" s="414" t="s">
        <v>116</v>
      </c>
      <c r="D846" s="414" t="s">
        <v>132</v>
      </c>
      <c r="E846" s="414" t="s">
        <v>209</v>
      </c>
      <c r="F846" s="414"/>
      <c r="G846" s="314">
        <f t="shared" ref="G846:G849" si="69">G847</f>
        <v>100</v>
      </c>
      <c r="H846" s="522"/>
      <c r="I846" s="334"/>
      <c r="J846" s="321"/>
    </row>
    <row r="847" spans="1:11" s="132" customFormat="1" ht="36.75" customHeight="1" x14ac:dyDescent="0.25">
      <c r="A847" s="139" t="s">
        <v>610</v>
      </c>
      <c r="B847" s="454">
        <v>907</v>
      </c>
      <c r="C847" s="414" t="s">
        <v>116</v>
      </c>
      <c r="D847" s="414" t="s">
        <v>132</v>
      </c>
      <c r="E847" s="414" t="s">
        <v>611</v>
      </c>
      <c r="F847" s="414"/>
      <c r="G847" s="314">
        <f t="shared" si="69"/>
        <v>100</v>
      </c>
      <c r="H847" s="522"/>
      <c r="I847" s="334"/>
      <c r="J847" s="321"/>
    </row>
    <row r="848" spans="1:11" s="132" customFormat="1" ht="32.25" customHeight="1" x14ac:dyDescent="0.25">
      <c r="A848" s="69" t="s">
        <v>210</v>
      </c>
      <c r="B848" s="455">
        <v>907</v>
      </c>
      <c r="C848" s="402" t="s">
        <v>116</v>
      </c>
      <c r="D848" s="402" t="s">
        <v>132</v>
      </c>
      <c r="E848" s="402" t="s">
        <v>612</v>
      </c>
      <c r="F848" s="402"/>
      <c r="G848" s="318">
        <f t="shared" si="69"/>
        <v>100</v>
      </c>
      <c r="H848" s="522"/>
      <c r="I848" s="334"/>
      <c r="J848" s="321"/>
    </row>
    <row r="849" spans="1:11" s="132" customFormat="1" ht="29.85" customHeight="1" x14ac:dyDescent="0.25">
      <c r="A849" s="364" t="s">
        <v>123</v>
      </c>
      <c r="B849" s="455">
        <v>907</v>
      </c>
      <c r="C849" s="402" t="s">
        <v>116</v>
      </c>
      <c r="D849" s="402" t="s">
        <v>132</v>
      </c>
      <c r="E849" s="402" t="s">
        <v>612</v>
      </c>
      <c r="F849" s="402" t="s">
        <v>124</v>
      </c>
      <c r="G849" s="318">
        <f t="shared" si="69"/>
        <v>100</v>
      </c>
      <c r="H849" s="522"/>
      <c r="I849" s="334"/>
      <c r="J849" s="321"/>
    </row>
    <row r="850" spans="1:11" s="132" customFormat="1" ht="36.75" customHeight="1" x14ac:dyDescent="0.25">
      <c r="A850" s="364" t="s">
        <v>125</v>
      </c>
      <c r="B850" s="455">
        <v>907</v>
      </c>
      <c r="C850" s="402" t="s">
        <v>116</v>
      </c>
      <c r="D850" s="402" t="s">
        <v>132</v>
      </c>
      <c r="E850" s="402" t="s">
        <v>612</v>
      </c>
      <c r="F850" s="402" t="s">
        <v>126</v>
      </c>
      <c r="G850" s="318">
        <v>100</v>
      </c>
      <c r="H850" s="522"/>
      <c r="I850" s="334"/>
      <c r="J850" s="321"/>
    </row>
    <row r="851" spans="1:11" ht="15.75" x14ac:dyDescent="0.25">
      <c r="A851" s="315" t="s">
        <v>250</v>
      </c>
      <c r="B851" s="454">
        <v>907</v>
      </c>
      <c r="C851" s="414" t="s">
        <v>251</v>
      </c>
      <c r="D851" s="402"/>
      <c r="E851" s="402"/>
      <c r="F851" s="402"/>
      <c r="G851" s="314">
        <f>G852+G899</f>
        <v>76135.790000000008</v>
      </c>
      <c r="H851" s="522"/>
      <c r="I851" s="334"/>
      <c r="J851" s="321"/>
      <c r="K851" s="132"/>
    </row>
    <row r="852" spans="1:11" ht="15.75" x14ac:dyDescent="0.25">
      <c r="A852" s="315" t="s">
        <v>252</v>
      </c>
      <c r="B852" s="454">
        <v>907</v>
      </c>
      <c r="C852" s="414" t="s">
        <v>251</v>
      </c>
      <c r="D852" s="414" t="s">
        <v>116</v>
      </c>
      <c r="E852" s="402"/>
      <c r="F852" s="402"/>
      <c r="G852" s="314">
        <f>G853+G894</f>
        <v>62670.400000000001</v>
      </c>
      <c r="H852" s="522"/>
      <c r="I852" s="334"/>
      <c r="J852" s="321"/>
      <c r="K852" s="132"/>
    </row>
    <row r="853" spans="1:11" ht="31.5" x14ac:dyDescent="0.25">
      <c r="A853" s="315" t="s">
        <v>862</v>
      </c>
      <c r="B853" s="454">
        <v>907</v>
      </c>
      <c r="C853" s="414" t="s">
        <v>251</v>
      </c>
      <c r="D853" s="414" t="s">
        <v>116</v>
      </c>
      <c r="E853" s="414" t="s">
        <v>249</v>
      </c>
      <c r="F853" s="414"/>
      <c r="G853" s="314">
        <f>G854+G858+G871+G878+G882+G886+G890</f>
        <v>62091.3</v>
      </c>
      <c r="H853" s="522"/>
      <c r="I853" s="334"/>
      <c r="J853" s="321"/>
      <c r="K853" s="132"/>
    </row>
    <row r="854" spans="1:11" ht="31.5" x14ac:dyDescent="0.25">
      <c r="A854" s="315" t="s">
        <v>507</v>
      </c>
      <c r="B854" s="454">
        <v>907</v>
      </c>
      <c r="C854" s="414" t="s">
        <v>251</v>
      </c>
      <c r="D854" s="414" t="s">
        <v>116</v>
      </c>
      <c r="E854" s="414" t="s">
        <v>790</v>
      </c>
      <c r="F854" s="414"/>
      <c r="G854" s="314">
        <f t="shared" ref="G854:G856" si="70">G855</f>
        <v>54429</v>
      </c>
      <c r="H854" s="522"/>
      <c r="I854" s="334"/>
      <c r="J854" s="321"/>
      <c r="K854" s="132"/>
    </row>
    <row r="855" spans="1:11" ht="31.5" x14ac:dyDescent="0.25">
      <c r="A855" s="364" t="s">
        <v>253</v>
      </c>
      <c r="B855" s="455">
        <v>907</v>
      </c>
      <c r="C855" s="402" t="s">
        <v>251</v>
      </c>
      <c r="D855" s="402" t="s">
        <v>116</v>
      </c>
      <c r="E855" s="402" t="s">
        <v>791</v>
      </c>
      <c r="F855" s="402"/>
      <c r="G855" s="318">
        <f t="shared" si="70"/>
        <v>54429</v>
      </c>
      <c r="H855" s="522"/>
      <c r="I855" s="334"/>
      <c r="J855" s="321"/>
      <c r="K855" s="132"/>
    </row>
    <row r="856" spans="1:11" ht="36" customHeight="1" x14ac:dyDescent="0.25">
      <c r="A856" s="364" t="s">
        <v>191</v>
      </c>
      <c r="B856" s="455">
        <v>907</v>
      </c>
      <c r="C856" s="402" t="s">
        <v>251</v>
      </c>
      <c r="D856" s="402" t="s">
        <v>116</v>
      </c>
      <c r="E856" s="402" t="s">
        <v>791</v>
      </c>
      <c r="F856" s="402" t="s">
        <v>192</v>
      </c>
      <c r="G856" s="318">
        <f t="shared" si="70"/>
        <v>54429</v>
      </c>
      <c r="H856" s="522"/>
      <c r="I856" s="334"/>
      <c r="J856" s="321"/>
      <c r="K856" s="132"/>
    </row>
    <row r="857" spans="1:11" ht="15.75" x14ac:dyDescent="0.25">
      <c r="A857" s="364" t="s">
        <v>193</v>
      </c>
      <c r="B857" s="455">
        <v>907</v>
      </c>
      <c r="C857" s="402" t="s">
        <v>251</v>
      </c>
      <c r="D857" s="402" t="s">
        <v>116</v>
      </c>
      <c r="E857" s="402" t="s">
        <v>791</v>
      </c>
      <c r="F857" s="402" t="s">
        <v>194</v>
      </c>
      <c r="G857" s="20">
        <f>54429</f>
        <v>54429</v>
      </c>
      <c r="H857" s="520"/>
      <c r="I857" s="334"/>
      <c r="J857" s="321"/>
      <c r="K857" s="132"/>
    </row>
    <row r="858" spans="1:11" s="132" customFormat="1" ht="15.75" x14ac:dyDescent="0.25">
      <c r="A858" s="315" t="s">
        <v>513</v>
      </c>
      <c r="B858" s="454">
        <v>907</v>
      </c>
      <c r="C858" s="414" t="s">
        <v>251</v>
      </c>
      <c r="D858" s="414" t="s">
        <v>116</v>
      </c>
      <c r="E858" s="414" t="s">
        <v>792</v>
      </c>
      <c r="F858" s="414"/>
      <c r="G858" s="30">
        <f>G859+G862+G865+G868</f>
        <v>36</v>
      </c>
      <c r="H858" s="522"/>
      <c r="I858" s="334"/>
      <c r="J858" s="321"/>
    </row>
    <row r="859" spans="1:11" ht="31.7" hidden="1" customHeight="1" x14ac:dyDescent="0.25">
      <c r="A859" s="364" t="s">
        <v>195</v>
      </c>
      <c r="B859" s="455">
        <v>907</v>
      </c>
      <c r="C859" s="402" t="s">
        <v>251</v>
      </c>
      <c r="D859" s="402" t="s">
        <v>116</v>
      </c>
      <c r="E859" s="402" t="s">
        <v>831</v>
      </c>
      <c r="F859" s="402"/>
      <c r="G859" s="318">
        <f>G860</f>
        <v>0</v>
      </c>
      <c r="H859" s="522"/>
      <c r="I859" s="334"/>
      <c r="J859" s="321"/>
      <c r="K859" s="132"/>
    </row>
    <row r="860" spans="1:11" ht="31.7" hidden="1" customHeight="1" x14ac:dyDescent="0.25">
      <c r="A860" s="364" t="s">
        <v>191</v>
      </c>
      <c r="B860" s="455">
        <v>907</v>
      </c>
      <c r="C860" s="402" t="s">
        <v>251</v>
      </c>
      <c r="D860" s="402" t="s">
        <v>116</v>
      </c>
      <c r="E860" s="402" t="s">
        <v>831</v>
      </c>
      <c r="F860" s="402" t="s">
        <v>192</v>
      </c>
      <c r="G860" s="318">
        <f>G861</f>
        <v>0</v>
      </c>
      <c r="H860" s="522"/>
      <c r="I860" s="334"/>
      <c r="J860" s="321"/>
      <c r="K860" s="132"/>
    </row>
    <row r="861" spans="1:11" ht="15.6" hidden="1" customHeight="1" x14ac:dyDescent="0.25">
      <c r="A861" s="364" t="s">
        <v>193</v>
      </c>
      <c r="B861" s="455">
        <v>907</v>
      </c>
      <c r="C861" s="402" t="s">
        <v>251</v>
      </c>
      <c r="D861" s="402" t="s">
        <v>116</v>
      </c>
      <c r="E861" s="402" t="s">
        <v>831</v>
      </c>
      <c r="F861" s="402" t="s">
        <v>194</v>
      </c>
      <c r="G861" s="318"/>
      <c r="H861" s="520"/>
      <c r="I861" s="334"/>
      <c r="J861" s="321"/>
      <c r="K861" s="132"/>
    </row>
    <row r="862" spans="1:11" ht="33" hidden="1" customHeight="1" x14ac:dyDescent="0.25">
      <c r="A862" s="364" t="s">
        <v>196</v>
      </c>
      <c r="B862" s="455">
        <v>907</v>
      </c>
      <c r="C862" s="402" t="s">
        <v>251</v>
      </c>
      <c r="D862" s="402" t="s">
        <v>116</v>
      </c>
      <c r="E862" s="402" t="s">
        <v>832</v>
      </c>
      <c r="F862" s="402"/>
      <c r="G862" s="318">
        <f>G863</f>
        <v>0</v>
      </c>
      <c r="H862" s="522"/>
      <c r="I862" s="334"/>
      <c r="J862" s="321"/>
      <c r="K862" s="132"/>
    </row>
    <row r="863" spans="1:11" ht="37.5" hidden="1" customHeight="1" x14ac:dyDescent="0.25">
      <c r="A863" s="364" t="s">
        <v>191</v>
      </c>
      <c r="B863" s="455">
        <v>907</v>
      </c>
      <c r="C863" s="402" t="s">
        <v>251</v>
      </c>
      <c r="D863" s="402" t="s">
        <v>116</v>
      </c>
      <c r="E863" s="402" t="s">
        <v>832</v>
      </c>
      <c r="F863" s="402" t="s">
        <v>192</v>
      </c>
      <c r="G863" s="318">
        <f>G864</f>
        <v>0</v>
      </c>
      <c r="H863" s="522"/>
      <c r="I863" s="334"/>
      <c r="J863" s="321"/>
      <c r="K863" s="132"/>
    </row>
    <row r="864" spans="1:11" ht="15.75" hidden="1" customHeight="1" x14ac:dyDescent="0.25">
      <c r="A864" s="364" t="s">
        <v>193</v>
      </c>
      <c r="B864" s="455">
        <v>907</v>
      </c>
      <c r="C864" s="402" t="s">
        <v>251</v>
      </c>
      <c r="D864" s="402" t="s">
        <v>116</v>
      </c>
      <c r="E864" s="402" t="s">
        <v>832</v>
      </c>
      <c r="F864" s="402" t="s">
        <v>194</v>
      </c>
      <c r="G864" s="318"/>
      <c r="H864" s="522"/>
      <c r="I864" s="334"/>
      <c r="J864" s="321"/>
      <c r="K864" s="132"/>
    </row>
    <row r="865" spans="1:11" s="132" customFormat="1" ht="15.75" customHeight="1" x14ac:dyDescent="0.25">
      <c r="A865" s="364" t="s">
        <v>407</v>
      </c>
      <c r="B865" s="455">
        <v>907</v>
      </c>
      <c r="C865" s="402" t="s">
        <v>251</v>
      </c>
      <c r="D865" s="402" t="s">
        <v>116</v>
      </c>
      <c r="E865" s="402" t="s">
        <v>793</v>
      </c>
      <c r="F865" s="402"/>
      <c r="G865" s="318">
        <f>G866</f>
        <v>36</v>
      </c>
      <c r="H865" s="522"/>
      <c r="I865" s="334"/>
      <c r="J865" s="321"/>
    </row>
    <row r="866" spans="1:11" s="132" customFormat="1" ht="41.25" customHeight="1" x14ac:dyDescent="0.25">
      <c r="A866" s="364" t="s">
        <v>191</v>
      </c>
      <c r="B866" s="455">
        <v>907</v>
      </c>
      <c r="C866" s="402" t="s">
        <v>251</v>
      </c>
      <c r="D866" s="402" t="s">
        <v>116</v>
      </c>
      <c r="E866" s="402" t="s">
        <v>793</v>
      </c>
      <c r="F866" s="402" t="s">
        <v>192</v>
      </c>
      <c r="G866" s="318">
        <f>G867</f>
        <v>36</v>
      </c>
      <c r="H866" s="522"/>
      <c r="I866" s="334"/>
      <c r="J866" s="321"/>
    </row>
    <row r="867" spans="1:11" s="132" customFormat="1" ht="15.75" customHeight="1" x14ac:dyDescent="0.25">
      <c r="A867" s="364" t="s">
        <v>193</v>
      </c>
      <c r="B867" s="455">
        <v>907</v>
      </c>
      <c r="C867" s="402" t="s">
        <v>251</v>
      </c>
      <c r="D867" s="402" t="s">
        <v>116</v>
      </c>
      <c r="E867" s="402" t="s">
        <v>793</v>
      </c>
      <c r="F867" s="402" t="s">
        <v>194</v>
      </c>
      <c r="G867" s="318">
        <v>36</v>
      </c>
      <c r="H867" s="522"/>
      <c r="I867" s="334"/>
      <c r="J867" s="321"/>
    </row>
    <row r="868" spans="1:11" s="132" customFormat="1" ht="33.75" hidden="1" customHeight="1" x14ac:dyDescent="0.25">
      <c r="A868" s="364" t="s">
        <v>199</v>
      </c>
      <c r="B868" s="455">
        <v>907</v>
      </c>
      <c r="C868" s="402" t="s">
        <v>251</v>
      </c>
      <c r="D868" s="402" t="s">
        <v>116</v>
      </c>
      <c r="E868" s="402" t="s">
        <v>1079</v>
      </c>
      <c r="F868" s="402"/>
      <c r="G868" s="318">
        <f>G870</f>
        <v>0</v>
      </c>
      <c r="H868" s="522"/>
      <c r="I868" s="334"/>
      <c r="J868" s="321"/>
    </row>
    <row r="869" spans="1:11" s="132" customFormat="1" ht="15.75" hidden="1" customHeight="1" x14ac:dyDescent="0.25">
      <c r="A869" s="364" t="s">
        <v>191</v>
      </c>
      <c r="B869" s="455">
        <v>907</v>
      </c>
      <c r="C869" s="402" t="s">
        <v>251</v>
      </c>
      <c r="D869" s="402" t="s">
        <v>116</v>
      </c>
      <c r="E869" s="402" t="s">
        <v>1079</v>
      </c>
      <c r="F869" s="402" t="s">
        <v>192</v>
      </c>
      <c r="G869" s="318">
        <f>G870</f>
        <v>0</v>
      </c>
      <c r="H869" s="522"/>
      <c r="I869" s="334"/>
      <c r="J869" s="321"/>
    </row>
    <row r="870" spans="1:11" s="132" customFormat="1" ht="15.75" hidden="1" customHeight="1" x14ac:dyDescent="0.25">
      <c r="A870" s="364" t="s">
        <v>193</v>
      </c>
      <c r="B870" s="455">
        <v>907</v>
      </c>
      <c r="C870" s="402" t="s">
        <v>251</v>
      </c>
      <c r="D870" s="402" t="s">
        <v>116</v>
      </c>
      <c r="E870" s="402" t="s">
        <v>1079</v>
      </c>
      <c r="F870" s="402" t="s">
        <v>194</v>
      </c>
      <c r="G870" s="318"/>
      <c r="H870" s="522"/>
      <c r="I870" s="334"/>
      <c r="J870" s="321"/>
    </row>
    <row r="871" spans="1:11" s="132" customFormat="1" ht="35.450000000000003" customHeight="1" x14ac:dyDescent="0.25">
      <c r="A871" s="315" t="s">
        <v>514</v>
      </c>
      <c r="B871" s="454">
        <v>907</v>
      </c>
      <c r="C871" s="414" t="s">
        <v>251</v>
      </c>
      <c r="D871" s="414" t="s">
        <v>116</v>
      </c>
      <c r="E871" s="414" t="s">
        <v>794</v>
      </c>
      <c r="F871" s="414"/>
      <c r="G871" s="314">
        <f>G872+G875</f>
        <v>1290</v>
      </c>
      <c r="H871" s="522"/>
      <c r="I871" s="334"/>
      <c r="J871" s="321"/>
    </row>
    <row r="872" spans="1:11" ht="33.75" hidden="1" customHeight="1" x14ac:dyDescent="0.25">
      <c r="A872" s="364" t="s">
        <v>369</v>
      </c>
      <c r="B872" s="455">
        <v>907</v>
      </c>
      <c r="C872" s="402" t="s">
        <v>251</v>
      </c>
      <c r="D872" s="402" t="s">
        <v>116</v>
      </c>
      <c r="E872" s="402" t="s">
        <v>819</v>
      </c>
      <c r="F872" s="402"/>
      <c r="G872" s="318">
        <f>G873</f>
        <v>0</v>
      </c>
      <c r="H872" s="522"/>
      <c r="I872" s="334"/>
      <c r="J872" s="321"/>
      <c r="K872" s="132"/>
    </row>
    <row r="873" spans="1:11" ht="31.5" hidden="1" x14ac:dyDescent="0.25">
      <c r="A873" s="364" t="s">
        <v>191</v>
      </c>
      <c r="B873" s="455">
        <v>907</v>
      </c>
      <c r="C873" s="402" t="s">
        <v>251</v>
      </c>
      <c r="D873" s="402" t="s">
        <v>116</v>
      </c>
      <c r="E873" s="402" t="s">
        <v>819</v>
      </c>
      <c r="F873" s="402" t="s">
        <v>192</v>
      </c>
      <c r="G873" s="318">
        <f>G874</f>
        <v>0</v>
      </c>
      <c r="H873" s="522"/>
      <c r="I873" s="334"/>
      <c r="J873" s="321"/>
      <c r="K873" s="132"/>
    </row>
    <row r="874" spans="1:11" ht="15.75" hidden="1" customHeight="1" x14ac:dyDescent="0.25">
      <c r="A874" s="364" t="s">
        <v>193</v>
      </c>
      <c r="B874" s="455">
        <v>907</v>
      </c>
      <c r="C874" s="402" t="s">
        <v>251</v>
      </c>
      <c r="D874" s="402" t="s">
        <v>116</v>
      </c>
      <c r="E874" s="402" t="s">
        <v>819</v>
      </c>
      <c r="F874" s="402" t="s">
        <v>194</v>
      </c>
      <c r="G874" s="318"/>
      <c r="H874" s="522"/>
      <c r="I874" s="334"/>
      <c r="J874" s="321"/>
      <c r="K874" s="132"/>
    </row>
    <row r="875" spans="1:11" ht="34.5" customHeight="1" x14ac:dyDescent="0.25">
      <c r="A875" s="31" t="s">
        <v>344</v>
      </c>
      <c r="B875" s="455">
        <v>907</v>
      </c>
      <c r="C875" s="402" t="s">
        <v>251</v>
      </c>
      <c r="D875" s="402" t="s">
        <v>116</v>
      </c>
      <c r="E875" s="402" t="s">
        <v>795</v>
      </c>
      <c r="F875" s="402"/>
      <c r="G875" s="318">
        <f>G876</f>
        <v>1290</v>
      </c>
      <c r="H875" s="522"/>
      <c r="I875" s="334"/>
      <c r="J875" s="321"/>
      <c r="K875" s="132"/>
    </row>
    <row r="876" spans="1:11" ht="33" customHeight="1" x14ac:dyDescent="0.25">
      <c r="A876" s="24" t="s">
        <v>191</v>
      </c>
      <c r="B876" s="455">
        <v>907</v>
      </c>
      <c r="C876" s="402" t="s">
        <v>251</v>
      </c>
      <c r="D876" s="402" t="s">
        <v>116</v>
      </c>
      <c r="E876" s="402" t="s">
        <v>795</v>
      </c>
      <c r="F876" s="402" t="s">
        <v>192</v>
      </c>
      <c r="G876" s="318">
        <f>G877</f>
        <v>1290</v>
      </c>
      <c r="H876" s="522"/>
      <c r="I876" s="334"/>
      <c r="J876" s="321"/>
      <c r="K876" s="132"/>
    </row>
    <row r="877" spans="1:11" ht="15.75" customHeight="1" x14ac:dyDescent="0.25">
      <c r="A877" s="24" t="s">
        <v>193</v>
      </c>
      <c r="B877" s="455">
        <v>907</v>
      </c>
      <c r="C877" s="402" t="s">
        <v>251</v>
      </c>
      <c r="D877" s="402" t="s">
        <v>116</v>
      </c>
      <c r="E877" s="402" t="s">
        <v>795</v>
      </c>
      <c r="F877" s="402" t="s">
        <v>194</v>
      </c>
      <c r="G877" s="318">
        <f>1204+86</f>
        <v>1290</v>
      </c>
      <c r="H877" s="522"/>
      <c r="I877" s="334"/>
      <c r="J877" s="321"/>
      <c r="K877" s="132"/>
    </row>
    <row r="878" spans="1:11" s="132" customFormat="1" ht="40.700000000000003" customHeight="1" x14ac:dyDescent="0.25">
      <c r="A878" s="315" t="s">
        <v>471</v>
      </c>
      <c r="B878" s="454">
        <v>907</v>
      </c>
      <c r="C878" s="414" t="s">
        <v>251</v>
      </c>
      <c r="D878" s="414" t="s">
        <v>116</v>
      </c>
      <c r="E878" s="414" t="s">
        <v>796</v>
      </c>
      <c r="F878" s="414"/>
      <c r="G878" s="314">
        <f t="shared" ref="G878:G880" si="71">G879</f>
        <v>883.9</v>
      </c>
      <c r="H878" s="522"/>
      <c r="I878" s="334"/>
      <c r="J878" s="321"/>
    </row>
    <row r="879" spans="1:11" s="132" customFormat="1" ht="78.75" x14ac:dyDescent="0.25">
      <c r="A879" s="24" t="s">
        <v>245</v>
      </c>
      <c r="B879" s="455">
        <v>907</v>
      </c>
      <c r="C879" s="402" t="s">
        <v>251</v>
      </c>
      <c r="D879" s="402" t="s">
        <v>116</v>
      </c>
      <c r="E879" s="402" t="s">
        <v>896</v>
      </c>
      <c r="F879" s="402"/>
      <c r="G879" s="318">
        <f t="shared" si="71"/>
        <v>883.9</v>
      </c>
      <c r="H879" s="522"/>
      <c r="I879" s="334"/>
      <c r="J879" s="321"/>
    </row>
    <row r="880" spans="1:11" s="132" customFormat="1" ht="31.5" x14ac:dyDescent="0.25">
      <c r="A880" s="364" t="s">
        <v>191</v>
      </c>
      <c r="B880" s="455">
        <v>907</v>
      </c>
      <c r="C880" s="402" t="s">
        <v>251</v>
      </c>
      <c r="D880" s="402" t="s">
        <v>116</v>
      </c>
      <c r="E880" s="402" t="s">
        <v>896</v>
      </c>
      <c r="F880" s="402" t="s">
        <v>192</v>
      </c>
      <c r="G880" s="318">
        <f t="shared" si="71"/>
        <v>883.9</v>
      </c>
      <c r="H880" s="522"/>
      <c r="I880" s="334"/>
      <c r="J880" s="321"/>
    </row>
    <row r="881" spans="1:12" s="132" customFormat="1" ht="15.75" x14ac:dyDescent="0.25">
      <c r="A881" s="364" t="s">
        <v>193</v>
      </c>
      <c r="B881" s="455">
        <v>907</v>
      </c>
      <c r="C881" s="402" t="s">
        <v>251</v>
      </c>
      <c r="D881" s="402" t="s">
        <v>116</v>
      </c>
      <c r="E881" s="402" t="s">
        <v>896</v>
      </c>
      <c r="F881" s="402" t="s">
        <v>194</v>
      </c>
      <c r="G881" s="318">
        <v>883.9</v>
      </c>
      <c r="H881" s="522"/>
      <c r="I881" s="334"/>
      <c r="J881" s="321"/>
    </row>
    <row r="882" spans="1:12" s="132" customFormat="1" ht="47.25" customHeight="1" x14ac:dyDescent="0.25">
      <c r="A882" s="315" t="s">
        <v>1060</v>
      </c>
      <c r="B882" s="454">
        <v>907</v>
      </c>
      <c r="C882" s="414" t="s">
        <v>251</v>
      </c>
      <c r="D882" s="414" t="s">
        <v>116</v>
      </c>
      <c r="E882" s="414" t="s">
        <v>1058</v>
      </c>
      <c r="F882" s="414"/>
      <c r="G882" s="314">
        <f t="shared" ref="G882:G883" si="72">G883</f>
        <v>5022.3</v>
      </c>
      <c r="H882" s="522"/>
      <c r="I882" s="334"/>
      <c r="J882" s="321"/>
    </row>
    <row r="883" spans="1:12" s="132" customFormat="1" ht="31.5" x14ac:dyDescent="0.25">
      <c r="A883" s="24" t="s">
        <v>1061</v>
      </c>
      <c r="B883" s="455">
        <v>907</v>
      </c>
      <c r="C883" s="402" t="s">
        <v>251</v>
      </c>
      <c r="D883" s="402" t="s">
        <v>116</v>
      </c>
      <c r="E883" s="402" t="s">
        <v>1059</v>
      </c>
      <c r="F883" s="402"/>
      <c r="G883" s="318">
        <f t="shared" si="72"/>
        <v>5022.3</v>
      </c>
      <c r="H883" s="522"/>
      <c r="I883" s="334"/>
      <c r="J883" s="321"/>
    </row>
    <row r="884" spans="1:12" s="132" customFormat="1" ht="31.5" x14ac:dyDescent="0.25">
      <c r="A884" s="364" t="s">
        <v>191</v>
      </c>
      <c r="B884" s="455">
        <v>907</v>
      </c>
      <c r="C884" s="402" t="s">
        <v>251</v>
      </c>
      <c r="D884" s="402" t="s">
        <v>116</v>
      </c>
      <c r="E884" s="402" t="s">
        <v>1059</v>
      </c>
      <c r="F884" s="402" t="s">
        <v>192</v>
      </c>
      <c r="G884" s="318">
        <f>G885</f>
        <v>5022.3</v>
      </c>
      <c r="H884" s="525"/>
      <c r="I884" s="334"/>
      <c r="J884" s="321"/>
    </row>
    <row r="885" spans="1:12" s="132" customFormat="1" ht="15.75" x14ac:dyDescent="0.25">
      <c r="A885" s="364" t="s">
        <v>193</v>
      </c>
      <c r="B885" s="455">
        <v>907</v>
      </c>
      <c r="C885" s="402" t="s">
        <v>251</v>
      </c>
      <c r="D885" s="402" t="s">
        <v>116</v>
      </c>
      <c r="E885" s="402" t="s">
        <v>1059</v>
      </c>
      <c r="F885" s="402" t="s">
        <v>194</v>
      </c>
      <c r="G885" s="318">
        <f>3515.6+1506.7</f>
        <v>5022.3</v>
      </c>
      <c r="H885" s="520" t="s">
        <v>1203</v>
      </c>
      <c r="I885" s="334"/>
      <c r="J885" s="321"/>
    </row>
    <row r="886" spans="1:12" s="357" customFormat="1" ht="31.5" x14ac:dyDescent="0.25">
      <c r="A886" s="359" t="s">
        <v>1122</v>
      </c>
      <c r="B886" s="454">
        <v>907</v>
      </c>
      <c r="C886" s="414" t="s">
        <v>251</v>
      </c>
      <c r="D886" s="414" t="s">
        <v>116</v>
      </c>
      <c r="E886" s="414" t="s">
        <v>1123</v>
      </c>
      <c r="F886" s="414"/>
      <c r="G886" s="314">
        <f>G887</f>
        <v>430.1</v>
      </c>
      <c r="H886" s="530"/>
      <c r="I886" s="334"/>
      <c r="J886" s="321"/>
    </row>
    <row r="887" spans="1:12" s="357" customFormat="1" ht="31.5" x14ac:dyDescent="0.25">
      <c r="A887" s="22" t="s">
        <v>1125</v>
      </c>
      <c r="B887" s="455">
        <v>907</v>
      </c>
      <c r="C887" s="402" t="s">
        <v>251</v>
      </c>
      <c r="D887" s="402" t="s">
        <v>116</v>
      </c>
      <c r="E887" s="402" t="s">
        <v>1124</v>
      </c>
      <c r="F887" s="402"/>
      <c r="G887" s="318">
        <f>G888</f>
        <v>430.1</v>
      </c>
      <c r="H887" s="530"/>
      <c r="I887" s="334"/>
      <c r="J887" s="321"/>
    </row>
    <row r="888" spans="1:12" s="357" customFormat="1" ht="31.5" x14ac:dyDescent="0.25">
      <c r="A888" s="364" t="s">
        <v>191</v>
      </c>
      <c r="B888" s="455">
        <v>907</v>
      </c>
      <c r="C888" s="402" t="s">
        <v>251</v>
      </c>
      <c r="D888" s="402" t="s">
        <v>116</v>
      </c>
      <c r="E888" s="402" t="s">
        <v>1124</v>
      </c>
      <c r="F888" s="402" t="s">
        <v>192</v>
      </c>
      <c r="G888" s="318">
        <f>G889</f>
        <v>430.1</v>
      </c>
      <c r="H888" s="530"/>
      <c r="I888" s="334"/>
      <c r="J888" s="321"/>
    </row>
    <row r="889" spans="1:12" s="357" customFormat="1" ht="15.75" x14ac:dyDescent="0.25">
      <c r="A889" s="364" t="s">
        <v>193</v>
      </c>
      <c r="B889" s="455">
        <v>907</v>
      </c>
      <c r="C889" s="402" t="s">
        <v>251</v>
      </c>
      <c r="D889" s="402" t="s">
        <v>116</v>
      </c>
      <c r="E889" s="402" t="s">
        <v>1124</v>
      </c>
      <c r="F889" s="402" t="s">
        <v>194</v>
      </c>
      <c r="G889" s="318">
        <f>400+17.1+13</f>
        <v>430.1</v>
      </c>
      <c r="H889" s="530" t="s">
        <v>1200</v>
      </c>
      <c r="I889" s="334"/>
      <c r="J889" s="321"/>
    </row>
    <row r="890" spans="1:12" s="132" customFormat="1" ht="47.25" hidden="1" x14ac:dyDescent="0.25">
      <c r="A890" s="315" t="s">
        <v>837</v>
      </c>
      <c r="B890" s="454">
        <v>907</v>
      </c>
      <c r="C890" s="414" t="s">
        <v>251</v>
      </c>
      <c r="D890" s="414" t="s">
        <v>116</v>
      </c>
      <c r="E890" s="414" t="s">
        <v>797</v>
      </c>
      <c r="F890" s="414"/>
      <c r="G890" s="314">
        <f t="shared" ref="G890:G892" si="73">G891</f>
        <v>0</v>
      </c>
      <c r="H890" s="522"/>
      <c r="I890" s="334"/>
      <c r="J890" s="321"/>
    </row>
    <row r="891" spans="1:12" s="134" customFormat="1" ht="47.25" hidden="1" x14ac:dyDescent="0.25">
      <c r="A891" s="364" t="s">
        <v>733</v>
      </c>
      <c r="B891" s="455">
        <v>907</v>
      </c>
      <c r="C891" s="402" t="s">
        <v>251</v>
      </c>
      <c r="D891" s="402" t="s">
        <v>116</v>
      </c>
      <c r="E891" s="402" t="s">
        <v>833</v>
      </c>
      <c r="F891" s="402"/>
      <c r="G891" s="318">
        <f t="shared" si="73"/>
        <v>0</v>
      </c>
      <c r="H891" s="522"/>
      <c r="I891" s="337"/>
      <c r="J891" s="78"/>
    </row>
    <row r="892" spans="1:12" s="134" customFormat="1" ht="31.5" hidden="1" x14ac:dyDescent="0.25">
      <c r="A892" s="364" t="s">
        <v>191</v>
      </c>
      <c r="B892" s="455">
        <v>907</v>
      </c>
      <c r="C892" s="402" t="s">
        <v>251</v>
      </c>
      <c r="D892" s="402" t="s">
        <v>116</v>
      </c>
      <c r="E892" s="402" t="s">
        <v>833</v>
      </c>
      <c r="F892" s="402" t="s">
        <v>192</v>
      </c>
      <c r="G892" s="318">
        <f t="shared" si="73"/>
        <v>0</v>
      </c>
      <c r="H892" s="522"/>
      <c r="I892" s="337"/>
      <c r="J892" s="78"/>
    </row>
    <row r="893" spans="1:12" s="134" customFormat="1" ht="15.75" hidden="1" x14ac:dyDescent="0.25">
      <c r="A893" s="364" t="s">
        <v>193</v>
      </c>
      <c r="B893" s="455">
        <v>907</v>
      </c>
      <c r="C893" s="402" t="s">
        <v>251</v>
      </c>
      <c r="D893" s="402" t="s">
        <v>116</v>
      </c>
      <c r="E893" s="402" t="s">
        <v>833</v>
      </c>
      <c r="F893" s="402" t="s">
        <v>194</v>
      </c>
      <c r="G893" s="318"/>
      <c r="H893" s="522"/>
      <c r="I893" s="337"/>
      <c r="J893" s="78"/>
      <c r="L893" s="78"/>
    </row>
    <row r="894" spans="1:12" ht="47.25" x14ac:dyDescent="0.25">
      <c r="A894" s="359" t="s">
        <v>844</v>
      </c>
      <c r="B894" s="454">
        <v>907</v>
      </c>
      <c r="C894" s="414" t="s">
        <v>251</v>
      </c>
      <c r="D894" s="414" t="s">
        <v>116</v>
      </c>
      <c r="E894" s="414" t="s">
        <v>339</v>
      </c>
      <c r="F894" s="464"/>
      <c r="G894" s="314">
        <f t="shared" ref="G894:G897" si="74">G895</f>
        <v>579.1</v>
      </c>
      <c r="H894" s="522"/>
      <c r="I894" s="334"/>
      <c r="J894" s="321"/>
      <c r="K894" s="132"/>
    </row>
    <row r="895" spans="1:12" s="132" customFormat="1" ht="47.25" x14ac:dyDescent="0.25">
      <c r="A895" s="359" t="s">
        <v>463</v>
      </c>
      <c r="B895" s="454">
        <v>907</v>
      </c>
      <c r="C895" s="414" t="s">
        <v>251</v>
      </c>
      <c r="D895" s="414" t="s">
        <v>116</v>
      </c>
      <c r="E895" s="414" t="s">
        <v>461</v>
      </c>
      <c r="F895" s="464"/>
      <c r="G895" s="314">
        <f t="shared" si="74"/>
        <v>579.1</v>
      </c>
      <c r="H895" s="522"/>
      <c r="I895" s="334"/>
      <c r="J895" s="321"/>
    </row>
    <row r="896" spans="1:12" ht="39.200000000000003" customHeight="1" x14ac:dyDescent="0.25">
      <c r="A896" s="70" t="s">
        <v>359</v>
      </c>
      <c r="B896" s="455">
        <v>907</v>
      </c>
      <c r="C896" s="402" t="s">
        <v>251</v>
      </c>
      <c r="D896" s="402" t="s">
        <v>116</v>
      </c>
      <c r="E896" s="402" t="s">
        <v>506</v>
      </c>
      <c r="F896" s="467"/>
      <c r="G896" s="318">
        <f t="shared" si="74"/>
        <v>579.1</v>
      </c>
      <c r="H896" s="522"/>
      <c r="I896" s="334"/>
      <c r="J896" s="321"/>
      <c r="K896" s="132"/>
    </row>
    <row r="897" spans="1:11" ht="31.5" x14ac:dyDescent="0.25">
      <c r="A897" s="22" t="s">
        <v>191</v>
      </c>
      <c r="B897" s="455">
        <v>907</v>
      </c>
      <c r="C897" s="402" t="s">
        <v>251</v>
      </c>
      <c r="D897" s="402" t="s">
        <v>116</v>
      </c>
      <c r="E897" s="402" t="s">
        <v>506</v>
      </c>
      <c r="F897" s="467" t="s">
        <v>192</v>
      </c>
      <c r="G897" s="318">
        <f t="shared" si="74"/>
        <v>579.1</v>
      </c>
      <c r="H897" s="522"/>
      <c r="I897" s="334"/>
      <c r="J897" s="321"/>
      <c r="K897" s="132"/>
    </row>
    <row r="898" spans="1:11" ht="15.75" x14ac:dyDescent="0.25">
      <c r="A898" s="111" t="s">
        <v>193</v>
      </c>
      <c r="B898" s="455">
        <v>907</v>
      </c>
      <c r="C898" s="402" t="s">
        <v>251</v>
      </c>
      <c r="D898" s="402" t="s">
        <v>116</v>
      </c>
      <c r="E898" s="402" t="s">
        <v>506</v>
      </c>
      <c r="F898" s="467" t="s">
        <v>194</v>
      </c>
      <c r="G898" s="318">
        <v>579.1</v>
      </c>
      <c r="H898" s="522"/>
      <c r="I898" s="334"/>
      <c r="J898" s="321"/>
      <c r="K898" s="132"/>
    </row>
    <row r="899" spans="1:11" ht="19.5" customHeight="1" x14ac:dyDescent="0.25">
      <c r="A899" s="315" t="s">
        <v>254</v>
      </c>
      <c r="B899" s="454">
        <v>907</v>
      </c>
      <c r="C899" s="414" t="s">
        <v>251</v>
      </c>
      <c r="D899" s="414" t="s">
        <v>168</v>
      </c>
      <c r="E899" s="414"/>
      <c r="F899" s="414"/>
      <c r="G899" s="314">
        <f>G900+G915+G927</f>
        <v>13465.39</v>
      </c>
      <c r="H899" s="522"/>
      <c r="I899" s="334"/>
      <c r="J899" s="321"/>
      <c r="K899" s="132"/>
    </row>
    <row r="900" spans="1:11" ht="31.5" x14ac:dyDescent="0.25">
      <c r="A900" s="315" t="s">
        <v>488</v>
      </c>
      <c r="B900" s="454">
        <v>907</v>
      </c>
      <c r="C900" s="414" t="s">
        <v>251</v>
      </c>
      <c r="D900" s="414" t="s">
        <v>168</v>
      </c>
      <c r="E900" s="414" t="s">
        <v>434</v>
      </c>
      <c r="F900" s="414"/>
      <c r="G900" s="314">
        <f>G901</f>
        <v>10765.39</v>
      </c>
      <c r="H900" s="522"/>
      <c r="I900" s="334"/>
      <c r="J900" s="321"/>
      <c r="K900" s="132"/>
    </row>
    <row r="901" spans="1:11" ht="15.75" x14ac:dyDescent="0.25">
      <c r="A901" s="315" t="s">
        <v>489</v>
      </c>
      <c r="B901" s="454">
        <v>907</v>
      </c>
      <c r="C901" s="414" t="s">
        <v>251</v>
      </c>
      <c r="D901" s="414" t="s">
        <v>168</v>
      </c>
      <c r="E901" s="414" t="s">
        <v>435</v>
      </c>
      <c r="F901" s="414"/>
      <c r="G901" s="314">
        <f>G902+G912+G905</f>
        <v>10765.39</v>
      </c>
      <c r="H901" s="522"/>
      <c r="I901" s="334"/>
      <c r="J901" s="321"/>
      <c r="K901" s="132"/>
    </row>
    <row r="902" spans="1:11" ht="28.15" customHeight="1" x14ac:dyDescent="0.25">
      <c r="A902" s="364" t="s">
        <v>468</v>
      </c>
      <c r="B902" s="455">
        <v>907</v>
      </c>
      <c r="C902" s="402" t="s">
        <v>251</v>
      </c>
      <c r="D902" s="402" t="s">
        <v>168</v>
      </c>
      <c r="E902" s="402" t="s">
        <v>436</v>
      </c>
      <c r="F902" s="402"/>
      <c r="G902" s="318">
        <f>G903</f>
        <v>4977.99</v>
      </c>
      <c r="H902" s="522"/>
      <c r="I902" s="334"/>
      <c r="J902" s="321"/>
      <c r="K902" s="132"/>
    </row>
    <row r="903" spans="1:11" ht="64.5" customHeight="1" x14ac:dyDescent="0.25">
      <c r="A903" s="364" t="s">
        <v>119</v>
      </c>
      <c r="B903" s="455">
        <v>907</v>
      </c>
      <c r="C903" s="402" t="s">
        <v>251</v>
      </c>
      <c r="D903" s="402" t="s">
        <v>168</v>
      </c>
      <c r="E903" s="402" t="s">
        <v>436</v>
      </c>
      <c r="F903" s="402" t="s">
        <v>120</v>
      </c>
      <c r="G903" s="318">
        <f>G904</f>
        <v>4977.99</v>
      </c>
      <c r="H903" s="522"/>
      <c r="I903" s="334"/>
      <c r="J903" s="321"/>
      <c r="K903" s="132"/>
    </row>
    <row r="904" spans="1:11" ht="31.5" x14ac:dyDescent="0.25">
      <c r="A904" s="364" t="s">
        <v>121</v>
      </c>
      <c r="B904" s="455">
        <v>907</v>
      </c>
      <c r="C904" s="402" t="s">
        <v>251</v>
      </c>
      <c r="D904" s="402" t="s">
        <v>168</v>
      </c>
      <c r="E904" s="402" t="s">
        <v>436</v>
      </c>
      <c r="F904" s="402" t="s">
        <v>122</v>
      </c>
      <c r="G904" s="20">
        <f>4917.99+60</f>
        <v>4977.99</v>
      </c>
      <c r="H904" s="522" t="s">
        <v>1231</v>
      </c>
      <c r="I904" s="334" t="s">
        <v>1270</v>
      </c>
      <c r="J904" s="321"/>
      <c r="K904" s="132"/>
    </row>
    <row r="905" spans="1:11" s="363" customFormat="1" ht="31.5" x14ac:dyDescent="0.25">
      <c r="A905" s="364" t="s">
        <v>417</v>
      </c>
      <c r="B905" s="455">
        <v>907</v>
      </c>
      <c r="C905" s="402" t="s">
        <v>251</v>
      </c>
      <c r="D905" s="402" t="s">
        <v>168</v>
      </c>
      <c r="E905" s="402" t="s">
        <v>437</v>
      </c>
      <c r="F905" s="402"/>
      <c r="G905" s="20">
        <f>G906+G908+G910</f>
        <v>5142.3999999999996</v>
      </c>
      <c r="H905" s="522"/>
      <c r="I905" s="334"/>
      <c r="J905" s="321"/>
    </row>
    <row r="906" spans="1:11" s="363" customFormat="1" ht="63" x14ac:dyDescent="0.25">
      <c r="A906" s="364" t="s">
        <v>119</v>
      </c>
      <c r="B906" s="455">
        <v>907</v>
      </c>
      <c r="C906" s="402" t="s">
        <v>251</v>
      </c>
      <c r="D906" s="402" t="s">
        <v>168</v>
      </c>
      <c r="E906" s="402" t="s">
        <v>437</v>
      </c>
      <c r="F906" s="402" t="s">
        <v>120</v>
      </c>
      <c r="G906" s="20">
        <f>G907</f>
        <v>4746.5</v>
      </c>
      <c r="H906" s="522"/>
      <c r="I906" s="334"/>
      <c r="J906" s="321"/>
    </row>
    <row r="907" spans="1:11" s="363" customFormat="1" ht="31.5" x14ac:dyDescent="0.25">
      <c r="A907" s="364" t="s">
        <v>121</v>
      </c>
      <c r="B907" s="455">
        <v>907</v>
      </c>
      <c r="C907" s="402" t="s">
        <v>251</v>
      </c>
      <c r="D907" s="402" t="s">
        <v>168</v>
      </c>
      <c r="E907" s="402" t="s">
        <v>437</v>
      </c>
      <c r="F907" s="402" t="s">
        <v>122</v>
      </c>
      <c r="G907" s="20">
        <f>4700.5+46</f>
        <v>4746.5</v>
      </c>
      <c r="H907" s="522" t="s">
        <v>1271</v>
      </c>
      <c r="I907" s="334" t="s">
        <v>1272</v>
      </c>
      <c r="J907" s="321"/>
    </row>
    <row r="908" spans="1:11" s="363" customFormat="1" ht="31.5" x14ac:dyDescent="0.25">
      <c r="A908" s="364" t="s">
        <v>123</v>
      </c>
      <c r="B908" s="455">
        <v>907</v>
      </c>
      <c r="C908" s="402" t="s">
        <v>251</v>
      </c>
      <c r="D908" s="402" t="s">
        <v>168</v>
      </c>
      <c r="E908" s="402" t="s">
        <v>437</v>
      </c>
      <c r="F908" s="402" t="s">
        <v>124</v>
      </c>
      <c r="G908" s="20">
        <f>G909</f>
        <v>344.9</v>
      </c>
      <c r="H908" s="522"/>
      <c r="I908" s="334"/>
      <c r="J908" s="321"/>
    </row>
    <row r="909" spans="1:11" s="363" customFormat="1" ht="31.5" x14ac:dyDescent="0.25">
      <c r="A909" s="364" t="s">
        <v>125</v>
      </c>
      <c r="B909" s="455">
        <v>907</v>
      </c>
      <c r="C909" s="402" t="s">
        <v>251</v>
      </c>
      <c r="D909" s="402" t="s">
        <v>168</v>
      </c>
      <c r="E909" s="402" t="s">
        <v>437</v>
      </c>
      <c r="F909" s="402" t="s">
        <v>126</v>
      </c>
      <c r="G909" s="20">
        <f>275.3+69.6</f>
        <v>344.9</v>
      </c>
      <c r="H909" s="522" t="s">
        <v>1273</v>
      </c>
      <c r="I909" s="334" t="s">
        <v>1274</v>
      </c>
      <c r="J909" s="321"/>
    </row>
    <row r="910" spans="1:11" s="363" customFormat="1" ht="15.75" x14ac:dyDescent="0.25">
      <c r="A910" s="364" t="s">
        <v>127</v>
      </c>
      <c r="B910" s="455">
        <v>907</v>
      </c>
      <c r="C910" s="402" t="s">
        <v>251</v>
      </c>
      <c r="D910" s="402" t="s">
        <v>168</v>
      </c>
      <c r="E910" s="402" t="s">
        <v>437</v>
      </c>
      <c r="F910" s="402" t="s">
        <v>134</v>
      </c>
      <c r="G910" s="20">
        <f>G911</f>
        <v>51</v>
      </c>
      <c r="H910" s="522"/>
      <c r="I910" s="334"/>
      <c r="J910" s="321"/>
    </row>
    <row r="911" spans="1:11" s="363" customFormat="1" ht="15.75" x14ac:dyDescent="0.25">
      <c r="A911" s="364" t="s">
        <v>280</v>
      </c>
      <c r="B911" s="455">
        <v>907</v>
      </c>
      <c r="C911" s="402" t="s">
        <v>251</v>
      </c>
      <c r="D911" s="402" t="s">
        <v>168</v>
      </c>
      <c r="E911" s="402" t="s">
        <v>437</v>
      </c>
      <c r="F911" s="402" t="s">
        <v>130</v>
      </c>
      <c r="G911" s="20">
        <v>51</v>
      </c>
      <c r="H911" s="522"/>
      <c r="I911" s="334"/>
      <c r="J911" s="321"/>
    </row>
    <row r="912" spans="1:11" s="132" customFormat="1" ht="36.75" customHeight="1" x14ac:dyDescent="0.25">
      <c r="A912" s="364" t="s">
        <v>416</v>
      </c>
      <c r="B912" s="455">
        <v>907</v>
      </c>
      <c r="C912" s="402" t="s">
        <v>251</v>
      </c>
      <c r="D912" s="402" t="s">
        <v>168</v>
      </c>
      <c r="E912" s="402" t="s">
        <v>438</v>
      </c>
      <c r="F912" s="402"/>
      <c r="G912" s="318">
        <f>G913</f>
        <v>645</v>
      </c>
      <c r="H912" s="522"/>
      <c r="I912" s="334"/>
      <c r="J912" s="321"/>
    </row>
    <row r="913" spans="1:11" s="132" customFormat="1" ht="47.25" customHeight="1" x14ac:dyDescent="0.25">
      <c r="A913" s="364" t="s">
        <v>119</v>
      </c>
      <c r="B913" s="455">
        <v>907</v>
      </c>
      <c r="C913" s="402" t="s">
        <v>251</v>
      </c>
      <c r="D913" s="402" t="s">
        <v>168</v>
      </c>
      <c r="E913" s="402" t="s">
        <v>438</v>
      </c>
      <c r="F913" s="402" t="s">
        <v>120</v>
      </c>
      <c r="G913" s="318">
        <f>G914</f>
        <v>645</v>
      </c>
      <c r="H913" s="522"/>
      <c r="I913" s="334"/>
      <c r="J913" s="321"/>
    </row>
    <row r="914" spans="1:11" s="132" customFormat="1" ht="34.5" customHeight="1" x14ac:dyDescent="0.25">
      <c r="A914" s="364" t="s">
        <v>121</v>
      </c>
      <c r="B914" s="455">
        <v>907</v>
      </c>
      <c r="C914" s="402" t="s">
        <v>251</v>
      </c>
      <c r="D914" s="402" t="s">
        <v>168</v>
      </c>
      <c r="E914" s="402" t="s">
        <v>438</v>
      </c>
      <c r="F914" s="402" t="s">
        <v>122</v>
      </c>
      <c r="G914" s="318">
        <f>258+387</f>
        <v>645</v>
      </c>
      <c r="H914" s="522"/>
      <c r="I914" s="334"/>
      <c r="J914" s="321"/>
    </row>
    <row r="915" spans="1:11" ht="15.75" hidden="1" x14ac:dyDescent="0.25">
      <c r="A915" s="315" t="s">
        <v>133</v>
      </c>
      <c r="B915" s="454">
        <v>907</v>
      </c>
      <c r="C915" s="414" t="s">
        <v>251</v>
      </c>
      <c r="D915" s="414" t="s">
        <v>168</v>
      </c>
      <c r="E915" s="414" t="s">
        <v>442</v>
      </c>
      <c r="F915" s="414"/>
      <c r="G915" s="314">
        <f>G916</f>
        <v>0</v>
      </c>
      <c r="H915" s="522"/>
      <c r="I915" s="334"/>
      <c r="J915" s="321"/>
      <c r="K915" s="132"/>
    </row>
    <row r="916" spans="1:11" s="132" customFormat="1" ht="31.5" hidden="1" x14ac:dyDescent="0.25">
      <c r="A916" s="315" t="s">
        <v>500</v>
      </c>
      <c r="B916" s="454">
        <v>907</v>
      </c>
      <c r="C916" s="414" t="s">
        <v>251</v>
      </c>
      <c r="D916" s="414" t="s">
        <v>168</v>
      </c>
      <c r="E916" s="414" t="s">
        <v>485</v>
      </c>
      <c r="F916" s="414"/>
      <c r="G916" s="314">
        <f>G917+G924</f>
        <v>0</v>
      </c>
      <c r="H916" s="522"/>
      <c r="I916" s="334"/>
      <c r="J916" s="321"/>
    </row>
    <row r="917" spans="1:11" ht="31.5" hidden="1" x14ac:dyDescent="0.25">
      <c r="A917" s="364" t="s">
        <v>474</v>
      </c>
      <c r="B917" s="455">
        <v>907</v>
      </c>
      <c r="C917" s="402" t="s">
        <v>251</v>
      </c>
      <c r="D917" s="402" t="s">
        <v>168</v>
      </c>
      <c r="E917" s="402" t="s">
        <v>486</v>
      </c>
      <c r="F917" s="402"/>
      <c r="G917" s="318">
        <f>G918+G920+G922</f>
        <v>0</v>
      </c>
      <c r="H917" s="522"/>
      <c r="I917" s="334"/>
      <c r="J917" s="321"/>
      <c r="K917" s="132"/>
    </row>
    <row r="918" spans="1:11" ht="72.75" hidden="1" customHeight="1" x14ac:dyDescent="0.25">
      <c r="A918" s="364" t="s">
        <v>119</v>
      </c>
      <c r="B918" s="455">
        <v>907</v>
      </c>
      <c r="C918" s="402" t="s">
        <v>251</v>
      </c>
      <c r="D918" s="402" t="s">
        <v>168</v>
      </c>
      <c r="E918" s="402" t="s">
        <v>486</v>
      </c>
      <c r="F918" s="402" t="s">
        <v>120</v>
      </c>
      <c r="G918" s="318">
        <f>G919</f>
        <v>0</v>
      </c>
      <c r="H918" s="522"/>
      <c r="I918" s="334"/>
      <c r="J918" s="321"/>
      <c r="K918" s="132"/>
    </row>
    <row r="919" spans="1:11" ht="25.5" hidden="1" customHeight="1" x14ac:dyDescent="0.25">
      <c r="A919" s="364" t="s">
        <v>212</v>
      </c>
      <c r="B919" s="455">
        <v>907</v>
      </c>
      <c r="C919" s="402" t="s">
        <v>251</v>
      </c>
      <c r="D919" s="402" t="s">
        <v>168</v>
      </c>
      <c r="E919" s="402" t="s">
        <v>486</v>
      </c>
      <c r="F919" s="402" t="s">
        <v>156</v>
      </c>
      <c r="G919" s="20"/>
      <c r="H919" s="522"/>
      <c r="I919" s="334"/>
      <c r="J919" s="321"/>
      <c r="K919" s="132"/>
    </row>
    <row r="920" spans="1:11" ht="31.5" hidden="1" x14ac:dyDescent="0.25">
      <c r="A920" s="364" t="s">
        <v>123</v>
      </c>
      <c r="B920" s="455">
        <v>907</v>
      </c>
      <c r="C920" s="402" t="s">
        <v>251</v>
      </c>
      <c r="D920" s="402" t="s">
        <v>168</v>
      </c>
      <c r="E920" s="402" t="s">
        <v>486</v>
      </c>
      <c r="F920" s="402" t="s">
        <v>124</v>
      </c>
      <c r="G920" s="318">
        <f>G921</f>
        <v>0</v>
      </c>
      <c r="H920" s="522"/>
      <c r="I920" s="334"/>
      <c r="J920" s="321"/>
      <c r="K920" s="132"/>
    </row>
    <row r="921" spans="1:11" ht="31.5" hidden="1" x14ac:dyDescent="0.25">
      <c r="A921" s="364" t="s">
        <v>125</v>
      </c>
      <c r="B921" s="455">
        <v>907</v>
      </c>
      <c r="C921" s="402" t="s">
        <v>251</v>
      </c>
      <c r="D921" s="402" t="s">
        <v>168</v>
      </c>
      <c r="E921" s="402" t="s">
        <v>486</v>
      </c>
      <c r="F921" s="402" t="s">
        <v>126</v>
      </c>
      <c r="G921" s="20"/>
      <c r="H921" s="522"/>
      <c r="I921" s="334"/>
      <c r="J921" s="321"/>
      <c r="K921" s="132"/>
    </row>
    <row r="922" spans="1:11" ht="15.75" hidden="1" x14ac:dyDescent="0.25">
      <c r="A922" s="364" t="s">
        <v>127</v>
      </c>
      <c r="B922" s="455">
        <v>907</v>
      </c>
      <c r="C922" s="402" t="s">
        <v>251</v>
      </c>
      <c r="D922" s="402" t="s">
        <v>168</v>
      </c>
      <c r="E922" s="402" t="s">
        <v>486</v>
      </c>
      <c r="F922" s="402" t="s">
        <v>134</v>
      </c>
      <c r="G922" s="318">
        <f>G923</f>
        <v>0</v>
      </c>
      <c r="H922" s="522"/>
      <c r="I922" s="334"/>
      <c r="J922" s="321"/>
      <c r="K922" s="132"/>
    </row>
    <row r="923" spans="1:11" ht="15.75" hidden="1" x14ac:dyDescent="0.25">
      <c r="A923" s="364" t="s">
        <v>280</v>
      </c>
      <c r="B923" s="455">
        <v>907</v>
      </c>
      <c r="C923" s="402" t="s">
        <v>251</v>
      </c>
      <c r="D923" s="402" t="s">
        <v>168</v>
      </c>
      <c r="E923" s="402" t="s">
        <v>486</v>
      </c>
      <c r="F923" s="402" t="s">
        <v>130</v>
      </c>
      <c r="G923" s="318"/>
      <c r="H923" s="522"/>
      <c r="I923" s="334"/>
      <c r="J923" s="321"/>
      <c r="K923" s="132"/>
    </row>
    <row r="924" spans="1:11" s="132" customFormat="1" ht="31.5" hidden="1" x14ac:dyDescent="0.25">
      <c r="A924" s="364" t="s">
        <v>416</v>
      </c>
      <c r="B924" s="455">
        <v>907</v>
      </c>
      <c r="C924" s="402" t="s">
        <v>251</v>
      </c>
      <c r="D924" s="402" t="s">
        <v>168</v>
      </c>
      <c r="E924" s="402" t="s">
        <v>487</v>
      </c>
      <c r="F924" s="402"/>
      <c r="G924" s="318">
        <f>G925</f>
        <v>0</v>
      </c>
      <c r="H924" s="522"/>
      <c r="I924" s="334"/>
      <c r="J924" s="321"/>
    </row>
    <row r="925" spans="1:11" s="132" customFormat="1" ht="63" hidden="1" x14ac:dyDescent="0.25">
      <c r="A925" s="364" t="s">
        <v>119</v>
      </c>
      <c r="B925" s="455">
        <v>907</v>
      </c>
      <c r="C925" s="402" t="s">
        <v>251</v>
      </c>
      <c r="D925" s="402" t="s">
        <v>168</v>
      </c>
      <c r="E925" s="402" t="s">
        <v>487</v>
      </c>
      <c r="F925" s="402" t="s">
        <v>120</v>
      </c>
      <c r="G925" s="318">
        <f>G926</f>
        <v>0</v>
      </c>
      <c r="H925" s="522"/>
      <c r="I925" s="334"/>
      <c r="J925" s="321"/>
    </row>
    <row r="926" spans="1:11" s="132" customFormat="1" ht="15.75" hidden="1" x14ac:dyDescent="0.25">
      <c r="A926" s="364" t="s">
        <v>212</v>
      </c>
      <c r="B926" s="455">
        <v>907</v>
      </c>
      <c r="C926" s="402" t="s">
        <v>251</v>
      </c>
      <c r="D926" s="402" t="s">
        <v>168</v>
      </c>
      <c r="E926" s="402" t="s">
        <v>487</v>
      </c>
      <c r="F926" s="402" t="s">
        <v>156</v>
      </c>
      <c r="G926" s="318"/>
      <c r="H926" s="522"/>
      <c r="I926" s="334"/>
      <c r="J926" s="321"/>
    </row>
    <row r="927" spans="1:11" s="132" customFormat="1" ht="31.5" x14ac:dyDescent="0.25">
      <c r="A927" s="359" t="s">
        <v>862</v>
      </c>
      <c r="B927" s="454">
        <v>907</v>
      </c>
      <c r="C927" s="414" t="s">
        <v>251</v>
      </c>
      <c r="D927" s="414" t="s">
        <v>168</v>
      </c>
      <c r="E927" s="407" t="s">
        <v>249</v>
      </c>
      <c r="F927" s="414"/>
      <c r="G927" s="314">
        <f>G928</f>
        <v>2700</v>
      </c>
      <c r="H927" s="522"/>
      <c r="I927" s="334"/>
      <c r="J927" s="321"/>
    </row>
    <row r="928" spans="1:11" s="132" customFormat="1" ht="31.5" x14ac:dyDescent="0.25">
      <c r="A928" s="37" t="s">
        <v>516</v>
      </c>
      <c r="B928" s="454">
        <v>907</v>
      </c>
      <c r="C928" s="414" t="s">
        <v>251</v>
      </c>
      <c r="D928" s="414" t="s">
        <v>168</v>
      </c>
      <c r="E928" s="407" t="s">
        <v>798</v>
      </c>
      <c r="F928" s="414"/>
      <c r="G928" s="314">
        <f>G929</f>
        <v>2700</v>
      </c>
      <c r="H928" s="522"/>
      <c r="I928" s="334"/>
      <c r="J928" s="321"/>
    </row>
    <row r="929" spans="1:11" s="132" customFormat="1" ht="15.75" x14ac:dyDescent="0.25">
      <c r="A929" s="22" t="s">
        <v>517</v>
      </c>
      <c r="B929" s="455">
        <v>907</v>
      </c>
      <c r="C929" s="402" t="s">
        <v>251</v>
      </c>
      <c r="D929" s="402" t="s">
        <v>168</v>
      </c>
      <c r="E929" s="403" t="s">
        <v>799</v>
      </c>
      <c r="F929" s="402"/>
      <c r="G929" s="318">
        <f>G930+G932</f>
        <v>2700</v>
      </c>
      <c r="H929" s="522"/>
      <c r="I929" s="334"/>
      <c r="J929" s="321"/>
    </row>
    <row r="930" spans="1:11" s="132" customFormat="1" ht="63" x14ac:dyDescent="0.25">
      <c r="A930" s="364" t="s">
        <v>119</v>
      </c>
      <c r="B930" s="455">
        <v>907</v>
      </c>
      <c r="C930" s="402" t="s">
        <v>251</v>
      </c>
      <c r="D930" s="402" t="s">
        <v>168</v>
      </c>
      <c r="E930" s="403" t="s">
        <v>799</v>
      </c>
      <c r="F930" s="402" t="s">
        <v>120</v>
      </c>
      <c r="G930" s="318">
        <f>G931</f>
        <v>2200</v>
      </c>
      <c r="H930" s="522"/>
      <c r="I930" s="334"/>
      <c r="J930" s="321"/>
    </row>
    <row r="931" spans="1:11" s="132" customFormat="1" ht="15.75" x14ac:dyDescent="0.25">
      <c r="A931" s="364" t="s">
        <v>212</v>
      </c>
      <c r="B931" s="455">
        <v>907</v>
      </c>
      <c r="C931" s="402" t="s">
        <v>251</v>
      </c>
      <c r="D931" s="402" t="s">
        <v>168</v>
      </c>
      <c r="E931" s="403" t="s">
        <v>799</v>
      </c>
      <c r="F931" s="402" t="s">
        <v>156</v>
      </c>
      <c r="G931" s="318">
        <f>2286-86</f>
        <v>2200</v>
      </c>
      <c r="H931" s="522"/>
      <c r="I931" s="334"/>
      <c r="J931" s="321"/>
    </row>
    <row r="932" spans="1:11" s="132" customFormat="1" ht="31.5" x14ac:dyDescent="0.25">
      <c r="A932" s="22" t="s">
        <v>123</v>
      </c>
      <c r="B932" s="455">
        <v>907</v>
      </c>
      <c r="C932" s="402" t="s">
        <v>251</v>
      </c>
      <c r="D932" s="402" t="s">
        <v>168</v>
      </c>
      <c r="E932" s="403" t="s">
        <v>799</v>
      </c>
      <c r="F932" s="402" t="s">
        <v>124</v>
      </c>
      <c r="G932" s="318">
        <f>G933</f>
        <v>500</v>
      </c>
      <c r="H932" s="522"/>
      <c r="I932" s="334"/>
      <c r="J932" s="321"/>
    </row>
    <row r="933" spans="1:11" s="132" customFormat="1" ht="31.5" x14ac:dyDescent="0.25">
      <c r="A933" s="22" t="s">
        <v>125</v>
      </c>
      <c r="B933" s="455">
        <v>907</v>
      </c>
      <c r="C933" s="402" t="s">
        <v>251</v>
      </c>
      <c r="D933" s="402" t="s">
        <v>168</v>
      </c>
      <c r="E933" s="403" t="s">
        <v>799</v>
      </c>
      <c r="F933" s="402" t="s">
        <v>126</v>
      </c>
      <c r="G933" s="318">
        <f>414+86</f>
        <v>500</v>
      </c>
      <c r="H933" s="522"/>
      <c r="I933" s="334"/>
      <c r="J933" s="321"/>
    </row>
    <row r="934" spans="1:11" ht="31.5" x14ac:dyDescent="0.25">
      <c r="A934" s="312" t="s">
        <v>255</v>
      </c>
      <c r="B934" s="454">
        <v>908</v>
      </c>
      <c r="C934" s="402"/>
      <c r="D934" s="402"/>
      <c r="E934" s="402"/>
      <c r="F934" s="402"/>
      <c r="G934" s="314">
        <f>G958+G974+G995+G1186+G935</f>
        <v>137893.85</v>
      </c>
      <c r="H934" s="522"/>
      <c r="I934" s="334"/>
      <c r="J934" s="321"/>
      <c r="K934" s="132"/>
    </row>
    <row r="935" spans="1:11" ht="15.75" x14ac:dyDescent="0.25">
      <c r="A935" s="26" t="s">
        <v>115</v>
      </c>
      <c r="B935" s="454">
        <v>908</v>
      </c>
      <c r="C935" s="414" t="s">
        <v>116</v>
      </c>
      <c r="D935" s="402"/>
      <c r="E935" s="402"/>
      <c r="F935" s="402"/>
      <c r="G935" s="314">
        <f t="shared" ref="G935:G936" si="75">G936</f>
        <v>45447.439999999995</v>
      </c>
      <c r="H935" s="522"/>
      <c r="I935" s="334"/>
      <c r="J935" s="321"/>
      <c r="K935" s="132"/>
    </row>
    <row r="936" spans="1:11" ht="15.75" x14ac:dyDescent="0.25">
      <c r="A936" s="26" t="s">
        <v>131</v>
      </c>
      <c r="B936" s="454">
        <v>908</v>
      </c>
      <c r="C936" s="414" t="s">
        <v>116</v>
      </c>
      <c r="D936" s="414" t="s">
        <v>132</v>
      </c>
      <c r="E936" s="402"/>
      <c r="F936" s="402"/>
      <c r="G936" s="314">
        <f t="shared" si="75"/>
        <v>45447.439999999995</v>
      </c>
      <c r="H936" s="522"/>
      <c r="I936" s="334"/>
      <c r="J936" s="321"/>
      <c r="K936" s="132"/>
    </row>
    <row r="937" spans="1:11" ht="21.2" customHeight="1" x14ac:dyDescent="0.25">
      <c r="A937" s="315" t="s">
        <v>133</v>
      </c>
      <c r="B937" s="454">
        <v>908</v>
      </c>
      <c r="C937" s="414" t="s">
        <v>116</v>
      </c>
      <c r="D937" s="414" t="s">
        <v>132</v>
      </c>
      <c r="E937" s="414" t="s">
        <v>442</v>
      </c>
      <c r="F937" s="414"/>
      <c r="G937" s="30">
        <f>G938+G949</f>
        <v>45447.439999999995</v>
      </c>
      <c r="H937" s="522"/>
      <c r="I937" s="334"/>
      <c r="J937" s="321"/>
      <c r="K937" s="132"/>
    </row>
    <row r="938" spans="1:11" ht="15.75" x14ac:dyDescent="0.25">
      <c r="A938" s="315" t="s">
        <v>519</v>
      </c>
      <c r="B938" s="454">
        <v>908</v>
      </c>
      <c r="C938" s="414" t="s">
        <v>116</v>
      </c>
      <c r="D938" s="414" t="s">
        <v>132</v>
      </c>
      <c r="E938" s="414" t="s">
        <v>518</v>
      </c>
      <c r="F938" s="414"/>
      <c r="G938" s="30">
        <f>G942+G939</f>
        <v>45447.439999999995</v>
      </c>
      <c r="H938" s="522"/>
      <c r="I938" s="334"/>
      <c r="J938" s="321"/>
      <c r="K938" s="132"/>
    </row>
    <row r="939" spans="1:11" s="132" customFormat="1" ht="31.5" x14ac:dyDescent="0.25">
      <c r="A939" s="364" t="s">
        <v>416</v>
      </c>
      <c r="B939" s="455">
        <v>908</v>
      </c>
      <c r="C939" s="402" t="s">
        <v>116</v>
      </c>
      <c r="D939" s="402" t="s">
        <v>132</v>
      </c>
      <c r="E939" s="402" t="s">
        <v>521</v>
      </c>
      <c r="F939" s="402"/>
      <c r="G939" s="318">
        <f>G940</f>
        <v>1118</v>
      </c>
      <c r="H939" s="522"/>
      <c r="I939" s="334"/>
      <c r="J939" s="321"/>
    </row>
    <row r="940" spans="1:11" s="132" customFormat="1" ht="63" x14ac:dyDescent="0.25">
      <c r="A940" s="364" t="s">
        <v>119</v>
      </c>
      <c r="B940" s="455">
        <v>908</v>
      </c>
      <c r="C940" s="402" t="s">
        <v>116</v>
      </c>
      <c r="D940" s="402" t="s">
        <v>132</v>
      </c>
      <c r="E940" s="402" t="s">
        <v>521</v>
      </c>
      <c r="F940" s="402" t="s">
        <v>120</v>
      </c>
      <c r="G940" s="318">
        <f>G941</f>
        <v>1118</v>
      </c>
      <c r="H940" s="522"/>
      <c r="I940" s="334"/>
      <c r="J940" s="321"/>
    </row>
    <row r="941" spans="1:11" s="132" customFormat="1" ht="31.5" x14ac:dyDescent="0.25">
      <c r="A941" s="364" t="s">
        <v>121</v>
      </c>
      <c r="B941" s="455">
        <v>908</v>
      </c>
      <c r="C941" s="402" t="s">
        <v>116</v>
      </c>
      <c r="D941" s="402" t="s">
        <v>132</v>
      </c>
      <c r="E941" s="402" t="s">
        <v>521</v>
      </c>
      <c r="F941" s="402" t="s">
        <v>156</v>
      </c>
      <c r="G941" s="318">
        <v>1118</v>
      </c>
      <c r="H941" s="522"/>
      <c r="I941" s="334"/>
      <c r="J941" s="321"/>
    </row>
    <row r="942" spans="1:11" s="132" customFormat="1" ht="15.75" x14ac:dyDescent="0.25">
      <c r="A942" s="364" t="s">
        <v>379</v>
      </c>
      <c r="B942" s="455">
        <v>908</v>
      </c>
      <c r="C942" s="402" t="s">
        <v>116</v>
      </c>
      <c r="D942" s="402" t="s">
        <v>132</v>
      </c>
      <c r="E942" s="402" t="s">
        <v>520</v>
      </c>
      <c r="F942" s="402"/>
      <c r="G942" s="20">
        <f>G943+G945+G947</f>
        <v>44329.439999999995</v>
      </c>
      <c r="H942" s="522"/>
      <c r="I942" s="334"/>
      <c r="J942" s="321"/>
    </row>
    <row r="943" spans="1:11" ht="74.25" customHeight="1" x14ac:dyDescent="0.25">
      <c r="A943" s="364" t="s">
        <v>119</v>
      </c>
      <c r="B943" s="455">
        <v>908</v>
      </c>
      <c r="C943" s="402" t="s">
        <v>116</v>
      </c>
      <c r="D943" s="402" t="s">
        <v>132</v>
      </c>
      <c r="E943" s="402" t="s">
        <v>520</v>
      </c>
      <c r="F943" s="402" t="s">
        <v>120</v>
      </c>
      <c r="G943" s="20">
        <f>G944</f>
        <v>34371.339999999997</v>
      </c>
      <c r="H943" s="522"/>
      <c r="I943" s="334"/>
      <c r="J943" s="321"/>
      <c r="K943" s="132"/>
    </row>
    <row r="944" spans="1:11" ht="15.75" x14ac:dyDescent="0.25">
      <c r="A944" s="32" t="s">
        <v>212</v>
      </c>
      <c r="B944" s="455">
        <v>908</v>
      </c>
      <c r="C944" s="402" t="s">
        <v>116</v>
      </c>
      <c r="D944" s="402" t="s">
        <v>132</v>
      </c>
      <c r="E944" s="402" t="s">
        <v>520</v>
      </c>
      <c r="F944" s="402" t="s">
        <v>156</v>
      </c>
      <c r="G944" s="20">
        <f>34371.34</f>
        <v>34371.339999999997</v>
      </c>
      <c r="H944" s="522"/>
      <c r="I944" s="334"/>
      <c r="J944" s="334"/>
      <c r="K944" s="132"/>
    </row>
    <row r="945" spans="1:11" ht="31.5" x14ac:dyDescent="0.25">
      <c r="A945" s="364" t="s">
        <v>123</v>
      </c>
      <c r="B945" s="455">
        <v>908</v>
      </c>
      <c r="C945" s="402" t="s">
        <v>116</v>
      </c>
      <c r="D945" s="402" t="s">
        <v>132</v>
      </c>
      <c r="E945" s="402" t="s">
        <v>520</v>
      </c>
      <c r="F945" s="402" t="s">
        <v>124</v>
      </c>
      <c r="G945" s="20">
        <f>G946</f>
        <v>9537.0999999999985</v>
      </c>
      <c r="H945" s="522"/>
      <c r="I945" s="334"/>
      <c r="J945" s="321"/>
      <c r="K945" s="132"/>
    </row>
    <row r="946" spans="1:11" ht="31.5" x14ac:dyDescent="0.25">
      <c r="A946" s="364" t="s">
        <v>125</v>
      </c>
      <c r="B946" s="455">
        <v>908</v>
      </c>
      <c r="C946" s="402" t="s">
        <v>116</v>
      </c>
      <c r="D946" s="402" t="s">
        <v>132</v>
      </c>
      <c r="E946" s="402" t="s">
        <v>520</v>
      </c>
      <c r="F946" s="402" t="s">
        <v>126</v>
      </c>
      <c r="G946" s="20">
        <f>9244.3-207.2+500</f>
        <v>9537.0999999999985</v>
      </c>
      <c r="H946" s="520" t="s">
        <v>343</v>
      </c>
      <c r="I946" s="543" t="s">
        <v>1275</v>
      </c>
      <c r="J946" s="321"/>
      <c r="K946" s="339"/>
    </row>
    <row r="947" spans="1:11" ht="15.75" x14ac:dyDescent="0.25">
      <c r="A947" s="364" t="s">
        <v>127</v>
      </c>
      <c r="B947" s="455">
        <v>908</v>
      </c>
      <c r="C947" s="402" t="s">
        <v>116</v>
      </c>
      <c r="D947" s="402" t="s">
        <v>132</v>
      </c>
      <c r="E947" s="402" t="s">
        <v>520</v>
      </c>
      <c r="F947" s="402" t="s">
        <v>134</v>
      </c>
      <c r="G947" s="20">
        <f>G948</f>
        <v>421</v>
      </c>
      <c r="H947" s="522"/>
      <c r="I947" s="342"/>
      <c r="J947" s="321"/>
      <c r="K947" s="300"/>
    </row>
    <row r="948" spans="1:11" ht="15.75" x14ac:dyDescent="0.25">
      <c r="A948" s="364" t="s">
        <v>338</v>
      </c>
      <c r="B948" s="455">
        <v>908</v>
      </c>
      <c r="C948" s="402" t="s">
        <v>116</v>
      </c>
      <c r="D948" s="402" t="s">
        <v>132</v>
      </c>
      <c r="E948" s="402" t="s">
        <v>520</v>
      </c>
      <c r="F948" s="402" t="s">
        <v>130</v>
      </c>
      <c r="G948" s="20">
        <v>421</v>
      </c>
      <c r="H948" s="522"/>
      <c r="I948" s="342"/>
      <c r="J948" s="321"/>
      <c r="K948" s="300"/>
    </row>
    <row r="949" spans="1:11" s="363" customFormat="1" ht="31.5" hidden="1" x14ac:dyDescent="0.25">
      <c r="A949" s="315" t="s">
        <v>493</v>
      </c>
      <c r="B949" s="454">
        <v>908</v>
      </c>
      <c r="C949" s="414" t="s">
        <v>116</v>
      </c>
      <c r="D949" s="414" t="s">
        <v>132</v>
      </c>
      <c r="E949" s="414" t="s">
        <v>443</v>
      </c>
      <c r="F949" s="414"/>
      <c r="G949" s="314">
        <f>G950+G955</f>
        <v>0</v>
      </c>
      <c r="H949" s="522"/>
      <c r="I949" s="342"/>
      <c r="J949" s="321"/>
      <c r="K949" s="300"/>
    </row>
    <row r="950" spans="1:11" s="363" customFormat="1" ht="31.5" hidden="1" x14ac:dyDescent="0.25">
      <c r="A950" s="364" t="s">
        <v>499</v>
      </c>
      <c r="B950" s="455">
        <v>908</v>
      </c>
      <c r="C950" s="402" t="s">
        <v>116</v>
      </c>
      <c r="D950" s="402" t="s">
        <v>132</v>
      </c>
      <c r="E950" s="402" t="s">
        <v>444</v>
      </c>
      <c r="F950" s="402"/>
      <c r="G950" s="318">
        <f>G951+G953</f>
        <v>0</v>
      </c>
      <c r="H950" s="522"/>
      <c r="I950" s="342"/>
      <c r="J950" s="321"/>
      <c r="K950" s="300"/>
    </row>
    <row r="951" spans="1:11" s="363" customFormat="1" ht="63" hidden="1" x14ac:dyDescent="0.25">
      <c r="A951" s="364" t="s">
        <v>119</v>
      </c>
      <c r="B951" s="455">
        <v>908</v>
      </c>
      <c r="C951" s="402" t="s">
        <v>116</v>
      </c>
      <c r="D951" s="402" t="s">
        <v>132</v>
      </c>
      <c r="E951" s="402" t="s">
        <v>444</v>
      </c>
      <c r="F951" s="402" t="s">
        <v>120</v>
      </c>
      <c r="G951" s="318">
        <f>G952</f>
        <v>0</v>
      </c>
      <c r="H951" s="522"/>
      <c r="I951" s="342"/>
      <c r="J951" s="321"/>
      <c r="K951" s="300"/>
    </row>
    <row r="952" spans="1:11" s="363" customFormat="1" ht="15.75" hidden="1" x14ac:dyDescent="0.25">
      <c r="A952" s="32" t="s">
        <v>212</v>
      </c>
      <c r="B952" s="455">
        <v>908</v>
      </c>
      <c r="C952" s="402" t="s">
        <v>116</v>
      </c>
      <c r="D952" s="402" t="s">
        <v>132</v>
      </c>
      <c r="E952" s="402" t="s">
        <v>444</v>
      </c>
      <c r="F952" s="402" t="s">
        <v>156</v>
      </c>
      <c r="G952" s="20">
        <f>4548.4-4548.4</f>
        <v>0</v>
      </c>
      <c r="H952" s="522"/>
      <c r="I952" s="342"/>
      <c r="J952" s="321"/>
      <c r="K952" s="300"/>
    </row>
    <row r="953" spans="1:11" s="363" customFormat="1" ht="31.5" hidden="1" x14ac:dyDescent="0.25">
      <c r="A953" s="364" t="s">
        <v>153</v>
      </c>
      <c r="B953" s="455">
        <v>908</v>
      </c>
      <c r="C953" s="402" t="s">
        <v>116</v>
      </c>
      <c r="D953" s="402" t="s">
        <v>132</v>
      </c>
      <c r="E953" s="402" t="s">
        <v>444</v>
      </c>
      <c r="F953" s="402" t="s">
        <v>124</v>
      </c>
      <c r="G953" s="318">
        <f>G954</f>
        <v>0</v>
      </c>
      <c r="H953" s="522"/>
      <c r="I953" s="342"/>
      <c r="J953" s="321"/>
      <c r="K953" s="300"/>
    </row>
    <row r="954" spans="1:11" s="363" customFormat="1" ht="31.5" hidden="1" x14ac:dyDescent="0.25">
      <c r="A954" s="364" t="s">
        <v>125</v>
      </c>
      <c r="B954" s="455">
        <v>908</v>
      </c>
      <c r="C954" s="402" t="s">
        <v>116</v>
      </c>
      <c r="D954" s="402" t="s">
        <v>132</v>
      </c>
      <c r="E954" s="402" t="s">
        <v>444</v>
      </c>
      <c r="F954" s="402" t="s">
        <v>126</v>
      </c>
      <c r="G954" s="20">
        <f>1349.3-1349.3</f>
        <v>0</v>
      </c>
      <c r="H954" s="522"/>
      <c r="I954" s="342"/>
      <c r="J954" s="321"/>
      <c r="K954" s="300"/>
    </row>
    <row r="955" spans="1:11" s="363" customFormat="1" ht="31.5" hidden="1" x14ac:dyDescent="0.25">
      <c r="A955" s="364" t="s">
        <v>416</v>
      </c>
      <c r="B955" s="455">
        <v>908</v>
      </c>
      <c r="C955" s="402" t="s">
        <v>116</v>
      </c>
      <c r="D955" s="402" t="s">
        <v>132</v>
      </c>
      <c r="E955" s="402" t="s">
        <v>445</v>
      </c>
      <c r="F955" s="402"/>
      <c r="G955" s="318">
        <f>G956</f>
        <v>0</v>
      </c>
      <c r="H955" s="522"/>
      <c r="I955" s="342"/>
      <c r="J955" s="321"/>
      <c r="K955" s="300"/>
    </row>
    <row r="956" spans="1:11" s="363" customFormat="1" ht="63" hidden="1" x14ac:dyDescent="0.25">
      <c r="A956" s="364" t="s">
        <v>119</v>
      </c>
      <c r="B956" s="455">
        <v>908</v>
      </c>
      <c r="C956" s="402" t="s">
        <v>116</v>
      </c>
      <c r="D956" s="402" t="s">
        <v>132</v>
      </c>
      <c r="E956" s="402" t="s">
        <v>445</v>
      </c>
      <c r="F956" s="402" t="s">
        <v>120</v>
      </c>
      <c r="G956" s="318">
        <f>G957</f>
        <v>0</v>
      </c>
      <c r="H956" s="522"/>
      <c r="I956" s="342"/>
      <c r="J956" s="321"/>
      <c r="K956" s="300"/>
    </row>
    <row r="957" spans="1:11" s="363" customFormat="1" ht="15.75" hidden="1" x14ac:dyDescent="0.25">
      <c r="A957" s="32" t="s">
        <v>212</v>
      </c>
      <c r="B957" s="455">
        <v>908</v>
      </c>
      <c r="C957" s="402" t="s">
        <v>116</v>
      </c>
      <c r="D957" s="402" t="s">
        <v>132</v>
      </c>
      <c r="E957" s="402" t="s">
        <v>445</v>
      </c>
      <c r="F957" s="402" t="s">
        <v>156</v>
      </c>
      <c r="G957" s="318">
        <f>129-129</f>
        <v>0</v>
      </c>
      <c r="H957" s="522"/>
      <c r="I957" s="342"/>
      <c r="J957" s="321"/>
      <c r="K957" s="300"/>
    </row>
    <row r="958" spans="1:11" ht="31.5" x14ac:dyDescent="0.25">
      <c r="A958" s="315" t="s">
        <v>163</v>
      </c>
      <c r="B958" s="454">
        <v>908</v>
      </c>
      <c r="C958" s="414" t="s">
        <v>159</v>
      </c>
      <c r="D958" s="414"/>
      <c r="E958" s="414"/>
      <c r="F958" s="414"/>
      <c r="G958" s="314">
        <f t="shared" ref="G958:G963" si="76">G959</f>
        <v>107</v>
      </c>
      <c r="H958" s="522"/>
      <c r="I958" s="342"/>
      <c r="J958" s="321"/>
      <c r="K958" s="301"/>
    </row>
    <row r="959" spans="1:11" ht="47.85" customHeight="1" x14ac:dyDescent="0.25">
      <c r="A959" s="315" t="s">
        <v>848</v>
      </c>
      <c r="B959" s="454">
        <v>908</v>
      </c>
      <c r="C959" s="414" t="s">
        <v>159</v>
      </c>
      <c r="D959" s="414" t="s">
        <v>174</v>
      </c>
      <c r="E959" s="414"/>
      <c r="F959" s="414"/>
      <c r="G959" s="314">
        <f>G960+G965</f>
        <v>107</v>
      </c>
      <c r="H959" s="522"/>
      <c r="I959" s="334"/>
      <c r="J959" s="321"/>
      <c r="K959" s="132"/>
    </row>
    <row r="960" spans="1:11" ht="21.75" customHeight="1" x14ac:dyDescent="0.25">
      <c r="A960" s="315" t="s">
        <v>133</v>
      </c>
      <c r="B960" s="454">
        <v>908</v>
      </c>
      <c r="C960" s="414" t="s">
        <v>159</v>
      </c>
      <c r="D960" s="414" t="s">
        <v>174</v>
      </c>
      <c r="E960" s="414" t="s">
        <v>442</v>
      </c>
      <c r="F960" s="414"/>
      <c r="G960" s="314">
        <f t="shared" si="76"/>
        <v>107</v>
      </c>
      <c r="H960" s="522"/>
      <c r="I960" s="334"/>
      <c r="J960" s="321"/>
      <c r="K960" s="132"/>
    </row>
    <row r="961" spans="1:11" ht="31.5" x14ac:dyDescent="0.25">
      <c r="A961" s="315" t="s">
        <v>446</v>
      </c>
      <c r="B961" s="454">
        <v>908</v>
      </c>
      <c r="C961" s="414" t="s">
        <v>159</v>
      </c>
      <c r="D961" s="414" t="s">
        <v>174</v>
      </c>
      <c r="E961" s="414" t="s">
        <v>441</v>
      </c>
      <c r="F961" s="414"/>
      <c r="G961" s="314">
        <f t="shared" si="76"/>
        <v>107</v>
      </c>
      <c r="H961" s="522"/>
      <c r="I961" s="334"/>
      <c r="J961" s="321"/>
      <c r="K961" s="132"/>
    </row>
    <row r="962" spans="1:11" ht="15.75" x14ac:dyDescent="0.25">
      <c r="A962" s="364" t="s">
        <v>165</v>
      </c>
      <c r="B962" s="455">
        <v>908</v>
      </c>
      <c r="C962" s="402" t="s">
        <v>159</v>
      </c>
      <c r="D962" s="402" t="s">
        <v>174</v>
      </c>
      <c r="E962" s="402" t="s">
        <v>452</v>
      </c>
      <c r="F962" s="402"/>
      <c r="G962" s="318">
        <f t="shared" si="76"/>
        <v>107</v>
      </c>
      <c r="H962" s="522"/>
      <c r="I962" s="334"/>
      <c r="J962" s="321"/>
      <c r="K962" s="132"/>
    </row>
    <row r="963" spans="1:11" ht="31.5" x14ac:dyDescent="0.25">
      <c r="A963" s="364" t="s">
        <v>123</v>
      </c>
      <c r="B963" s="455">
        <v>908</v>
      </c>
      <c r="C963" s="402" t="s">
        <v>159</v>
      </c>
      <c r="D963" s="402" t="s">
        <v>174</v>
      </c>
      <c r="E963" s="402" t="s">
        <v>452</v>
      </c>
      <c r="F963" s="402" t="s">
        <v>124</v>
      </c>
      <c r="G963" s="318">
        <f t="shared" si="76"/>
        <v>107</v>
      </c>
      <c r="H963" s="522"/>
      <c r="I963" s="334"/>
      <c r="J963" s="321"/>
      <c r="K963" s="132"/>
    </row>
    <row r="964" spans="1:11" ht="31.5" x14ac:dyDescent="0.25">
      <c r="A964" s="364" t="s">
        <v>125</v>
      </c>
      <c r="B964" s="455">
        <v>908</v>
      </c>
      <c r="C964" s="402" t="s">
        <v>159</v>
      </c>
      <c r="D964" s="402" t="s">
        <v>174</v>
      </c>
      <c r="E964" s="402" t="s">
        <v>452</v>
      </c>
      <c r="F964" s="402" t="s">
        <v>126</v>
      </c>
      <c r="G964" s="318">
        <v>107</v>
      </c>
      <c r="H964" s="522"/>
      <c r="I964" s="334"/>
      <c r="J964" s="321"/>
      <c r="K964" s="132"/>
    </row>
    <row r="965" spans="1:11" s="363" customFormat="1" ht="31.5" hidden="1" x14ac:dyDescent="0.25">
      <c r="A965" s="315" t="s">
        <v>494</v>
      </c>
      <c r="B965" s="454">
        <v>908</v>
      </c>
      <c r="C965" s="414" t="s">
        <v>159</v>
      </c>
      <c r="D965" s="414" t="s">
        <v>174</v>
      </c>
      <c r="E965" s="414" t="s">
        <v>448</v>
      </c>
      <c r="F965" s="414"/>
      <c r="G965" s="314">
        <f>G966+G971</f>
        <v>0</v>
      </c>
      <c r="H965" s="522"/>
      <c r="I965" s="334"/>
      <c r="J965" s="321"/>
    </row>
    <row r="966" spans="1:11" s="363" customFormat="1" ht="31.5" hidden="1" x14ac:dyDescent="0.25">
      <c r="A966" s="364" t="s">
        <v>498</v>
      </c>
      <c r="B966" s="455">
        <v>908</v>
      </c>
      <c r="C966" s="402" t="s">
        <v>159</v>
      </c>
      <c r="D966" s="402" t="s">
        <v>174</v>
      </c>
      <c r="E966" s="402" t="s">
        <v>449</v>
      </c>
      <c r="F966" s="402"/>
      <c r="G966" s="318">
        <f>G967+G969</f>
        <v>0</v>
      </c>
      <c r="H966" s="522"/>
      <c r="I966" s="334"/>
      <c r="J966" s="321"/>
    </row>
    <row r="967" spans="1:11" s="363" customFormat="1" ht="63" hidden="1" x14ac:dyDescent="0.25">
      <c r="A967" s="364" t="s">
        <v>119</v>
      </c>
      <c r="B967" s="455">
        <v>908</v>
      </c>
      <c r="C967" s="402" t="s">
        <v>159</v>
      </c>
      <c r="D967" s="402" t="s">
        <v>174</v>
      </c>
      <c r="E967" s="402" t="s">
        <v>449</v>
      </c>
      <c r="F967" s="402" t="s">
        <v>120</v>
      </c>
      <c r="G967" s="318">
        <f>G968</f>
        <v>0</v>
      </c>
      <c r="H967" s="522"/>
      <c r="I967" s="334"/>
      <c r="J967" s="321"/>
    </row>
    <row r="968" spans="1:11" s="363" customFormat="1" ht="15.75" hidden="1" x14ac:dyDescent="0.25">
      <c r="A968" s="364" t="s">
        <v>155</v>
      </c>
      <c r="B968" s="455">
        <v>908</v>
      </c>
      <c r="C968" s="402" t="s">
        <v>159</v>
      </c>
      <c r="D968" s="402" t="s">
        <v>174</v>
      </c>
      <c r="E968" s="402" t="s">
        <v>449</v>
      </c>
      <c r="F968" s="402" t="s">
        <v>156</v>
      </c>
      <c r="G968" s="20">
        <f>5884-5884</f>
        <v>0</v>
      </c>
      <c r="H968" s="522"/>
      <c r="I968" s="334"/>
      <c r="J968" s="321"/>
    </row>
    <row r="969" spans="1:11" s="363" customFormat="1" ht="31.5" hidden="1" x14ac:dyDescent="0.25">
      <c r="A969" s="364" t="s">
        <v>153</v>
      </c>
      <c r="B969" s="455">
        <v>908</v>
      </c>
      <c r="C969" s="402" t="s">
        <v>159</v>
      </c>
      <c r="D969" s="402" t="s">
        <v>174</v>
      </c>
      <c r="E969" s="402" t="s">
        <v>449</v>
      </c>
      <c r="F969" s="402" t="s">
        <v>124</v>
      </c>
      <c r="G969" s="318">
        <f>G970</f>
        <v>0</v>
      </c>
      <c r="H969" s="522"/>
      <c r="I969" s="334"/>
      <c r="J969" s="321"/>
    </row>
    <row r="970" spans="1:11" s="363" customFormat="1" ht="31.5" hidden="1" x14ac:dyDescent="0.25">
      <c r="A970" s="364" t="s">
        <v>125</v>
      </c>
      <c r="B970" s="455">
        <v>908</v>
      </c>
      <c r="C970" s="402" t="s">
        <v>159</v>
      </c>
      <c r="D970" s="402" t="s">
        <v>174</v>
      </c>
      <c r="E970" s="402" t="s">
        <v>449</v>
      </c>
      <c r="F970" s="402" t="s">
        <v>126</v>
      </c>
      <c r="G970" s="20">
        <f>163-163</f>
        <v>0</v>
      </c>
      <c r="H970" s="522"/>
      <c r="I970" s="334"/>
      <c r="J970" s="321"/>
    </row>
    <row r="971" spans="1:11" s="363" customFormat="1" ht="31.5" hidden="1" x14ac:dyDescent="0.25">
      <c r="A971" s="364" t="s">
        <v>416</v>
      </c>
      <c r="B971" s="455">
        <v>908</v>
      </c>
      <c r="C971" s="402" t="s">
        <v>159</v>
      </c>
      <c r="D971" s="402" t="s">
        <v>174</v>
      </c>
      <c r="E971" s="402" t="s">
        <v>450</v>
      </c>
      <c r="F971" s="402"/>
      <c r="G971" s="318">
        <f>G972</f>
        <v>0</v>
      </c>
      <c r="H971" s="522"/>
      <c r="I971" s="334"/>
      <c r="J971" s="321"/>
    </row>
    <row r="972" spans="1:11" s="363" customFormat="1" ht="63" hidden="1" x14ac:dyDescent="0.25">
      <c r="A972" s="364" t="s">
        <v>119</v>
      </c>
      <c r="B972" s="455">
        <v>908</v>
      </c>
      <c r="C972" s="402" t="s">
        <v>159</v>
      </c>
      <c r="D972" s="402" t="s">
        <v>174</v>
      </c>
      <c r="E972" s="402" t="s">
        <v>450</v>
      </c>
      <c r="F972" s="402" t="s">
        <v>120</v>
      </c>
      <c r="G972" s="318">
        <f>G973</f>
        <v>0</v>
      </c>
      <c r="H972" s="522"/>
      <c r="I972" s="334"/>
      <c r="J972" s="321"/>
    </row>
    <row r="973" spans="1:11" s="363" customFormat="1" ht="15.75" hidden="1" x14ac:dyDescent="0.25">
      <c r="A973" s="364" t="s">
        <v>155</v>
      </c>
      <c r="B973" s="455">
        <v>908</v>
      </c>
      <c r="C973" s="402" t="s">
        <v>159</v>
      </c>
      <c r="D973" s="402" t="s">
        <v>174</v>
      </c>
      <c r="E973" s="402" t="s">
        <v>450</v>
      </c>
      <c r="F973" s="402" t="s">
        <v>156</v>
      </c>
      <c r="G973" s="318">
        <f>258-258</f>
        <v>0</v>
      </c>
      <c r="H973" s="522"/>
      <c r="I973" s="334"/>
      <c r="J973" s="321"/>
    </row>
    <row r="974" spans="1:11" ht="15.75" x14ac:dyDescent="0.25">
      <c r="A974" s="315" t="s">
        <v>166</v>
      </c>
      <c r="B974" s="454">
        <v>908</v>
      </c>
      <c r="C974" s="414" t="s">
        <v>139</v>
      </c>
      <c r="D974" s="414"/>
      <c r="E974" s="414"/>
      <c r="F974" s="414"/>
      <c r="G974" s="314">
        <f>G975+G981</f>
        <v>6329.6</v>
      </c>
      <c r="H974" s="522"/>
      <c r="I974" s="334"/>
      <c r="J974" s="321"/>
      <c r="K974" s="132"/>
    </row>
    <row r="975" spans="1:11" ht="15.75" x14ac:dyDescent="0.25">
      <c r="A975" s="315" t="s">
        <v>256</v>
      </c>
      <c r="B975" s="454">
        <v>908</v>
      </c>
      <c r="C975" s="414" t="s">
        <v>139</v>
      </c>
      <c r="D975" s="414" t="s">
        <v>203</v>
      </c>
      <c r="E975" s="414"/>
      <c r="F975" s="414"/>
      <c r="G975" s="314">
        <f t="shared" ref="G975:G979" si="77">G976</f>
        <v>3258</v>
      </c>
      <c r="H975" s="522"/>
      <c r="I975" s="334"/>
      <c r="J975" s="321"/>
      <c r="K975" s="132"/>
    </row>
    <row r="976" spans="1:11" ht="15.75" x14ac:dyDescent="0.25">
      <c r="A976" s="315" t="s">
        <v>133</v>
      </c>
      <c r="B976" s="454">
        <v>908</v>
      </c>
      <c r="C976" s="414" t="s">
        <v>139</v>
      </c>
      <c r="D976" s="414" t="s">
        <v>203</v>
      </c>
      <c r="E976" s="414" t="s">
        <v>442</v>
      </c>
      <c r="F976" s="414"/>
      <c r="G976" s="314">
        <f t="shared" si="77"/>
        <v>3258</v>
      </c>
      <c r="H976" s="522"/>
      <c r="I976" s="334"/>
      <c r="J976" s="321"/>
      <c r="K976" s="132"/>
    </row>
    <row r="977" spans="1:11" ht="31.5" x14ac:dyDescent="0.25">
      <c r="A977" s="315" t="s">
        <v>446</v>
      </c>
      <c r="B977" s="454">
        <v>908</v>
      </c>
      <c r="C977" s="414" t="s">
        <v>139</v>
      </c>
      <c r="D977" s="414" t="s">
        <v>203</v>
      </c>
      <c r="E977" s="414" t="s">
        <v>441</v>
      </c>
      <c r="F977" s="414"/>
      <c r="G977" s="314">
        <f t="shared" si="77"/>
        <v>3258</v>
      </c>
      <c r="H977" s="522"/>
      <c r="I977" s="334"/>
      <c r="J977" s="321"/>
      <c r="K977" s="132"/>
    </row>
    <row r="978" spans="1:11" ht="18" customHeight="1" x14ac:dyDescent="0.25">
      <c r="A978" s="364" t="s">
        <v>257</v>
      </c>
      <c r="B978" s="455">
        <v>908</v>
      </c>
      <c r="C978" s="402" t="s">
        <v>139</v>
      </c>
      <c r="D978" s="402" t="s">
        <v>203</v>
      </c>
      <c r="E978" s="402" t="s">
        <v>522</v>
      </c>
      <c r="F978" s="402"/>
      <c r="G978" s="318">
        <f t="shared" si="77"/>
        <v>3258</v>
      </c>
      <c r="H978" s="522"/>
      <c r="I978" s="334"/>
      <c r="J978" s="321"/>
      <c r="K978" s="132"/>
    </row>
    <row r="979" spans="1:11" ht="31.5" x14ac:dyDescent="0.25">
      <c r="A979" s="364" t="s">
        <v>123</v>
      </c>
      <c r="B979" s="455">
        <v>908</v>
      </c>
      <c r="C979" s="402" t="s">
        <v>139</v>
      </c>
      <c r="D979" s="402" t="s">
        <v>203</v>
      </c>
      <c r="E979" s="402" t="s">
        <v>522</v>
      </c>
      <c r="F979" s="402" t="s">
        <v>124</v>
      </c>
      <c r="G979" s="318">
        <f t="shared" si="77"/>
        <v>3258</v>
      </c>
      <c r="H979" s="522"/>
      <c r="I979" s="334"/>
      <c r="J979" s="321"/>
      <c r="K979" s="132"/>
    </row>
    <row r="980" spans="1:11" ht="31.5" x14ac:dyDescent="0.25">
      <c r="A980" s="364" t="s">
        <v>125</v>
      </c>
      <c r="B980" s="455">
        <v>908</v>
      </c>
      <c r="C980" s="402" t="s">
        <v>139</v>
      </c>
      <c r="D980" s="402" t="s">
        <v>203</v>
      </c>
      <c r="E980" s="402" t="s">
        <v>522</v>
      </c>
      <c r="F980" s="402" t="s">
        <v>126</v>
      </c>
      <c r="G980" s="318">
        <v>3258</v>
      </c>
      <c r="H980" s="522"/>
      <c r="I980" s="334"/>
      <c r="J980" s="321"/>
      <c r="K980" s="132"/>
    </row>
    <row r="981" spans="1:11" ht="15.75" x14ac:dyDescent="0.25">
      <c r="A981" s="315" t="s">
        <v>258</v>
      </c>
      <c r="B981" s="454">
        <v>908</v>
      </c>
      <c r="C981" s="414" t="s">
        <v>139</v>
      </c>
      <c r="D981" s="414" t="s">
        <v>161</v>
      </c>
      <c r="E981" s="402"/>
      <c r="F981" s="414"/>
      <c r="G981" s="314">
        <f>G982</f>
        <v>3071.6000000000004</v>
      </c>
      <c r="H981" s="522"/>
      <c r="I981" s="334"/>
      <c r="J981" s="321"/>
      <c r="K981" s="132"/>
    </row>
    <row r="982" spans="1:11" ht="36.75" customHeight="1" x14ac:dyDescent="0.25">
      <c r="A982" s="26" t="s">
        <v>863</v>
      </c>
      <c r="B982" s="454">
        <v>908</v>
      </c>
      <c r="C982" s="414" t="s">
        <v>139</v>
      </c>
      <c r="D982" s="414" t="s">
        <v>161</v>
      </c>
      <c r="E982" s="414" t="s">
        <v>259</v>
      </c>
      <c r="F982" s="414"/>
      <c r="G982" s="314">
        <f>G988+G983</f>
        <v>3071.6000000000004</v>
      </c>
      <c r="H982" s="522"/>
      <c r="I982" s="334"/>
      <c r="J982" s="321"/>
      <c r="K982" s="132"/>
    </row>
    <row r="983" spans="1:11" s="132" customFormat="1" ht="31.5" hidden="1" x14ac:dyDescent="0.25">
      <c r="A983" s="26" t="s">
        <v>562</v>
      </c>
      <c r="B983" s="454">
        <v>908</v>
      </c>
      <c r="C983" s="414" t="s">
        <v>139</v>
      </c>
      <c r="D983" s="414" t="s">
        <v>161</v>
      </c>
      <c r="E983" s="407" t="s">
        <v>523</v>
      </c>
      <c r="F983" s="414"/>
      <c r="G983" s="314">
        <f t="shared" ref="G983:G985" si="78">G984</f>
        <v>0</v>
      </c>
      <c r="H983" s="522"/>
      <c r="I983" s="334"/>
      <c r="J983" s="321"/>
    </row>
    <row r="984" spans="1:11" s="132" customFormat="1" ht="15.75" hidden="1" x14ac:dyDescent="0.25">
      <c r="A984" s="22" t="s">
        <v>564</v>
      </c>
      <c r="B984" s="455">
        <v>908</v>
      </c>
      <c r="C984" s="402" t="s">
        <v>139</v>
      </c>
      <c r="D984" s="402" t="s">
        <v>161</v>
      </c>
      <c r="E984" s="403" t="s">
        <v>563</v>
      </c>
      <c r="F984" s="402"/>
      <c r="G984" s="318">
        <f t="shared" si="78"/>
        <v>0</v>
      </c>
      <c r="H984" s="522"/>
      <c r="I984" s="334"/>
      <c r="J984" s="321"/>
    </row>
    <row r="985" spans="1:11" s="132" customFormat="1" ht="31.5" hidden="1" x14ac:dyDescent="0.25">
      <c r="A985" s="364" t="s">
        <v>123</v>
      </c>
      <c r="B985" s="455">
        <v>908</v>
      </c>
      <c r="C985" s="402" t="s">
        <v>139</v>
      </c>
      <c r="D985" s="402" t="s">
        <v>161</v>
      </c>
      <c r="E985" s="403" t="s">
        <v>563</v>
      </c>
      <c r="F985" s="402" t="s">
        <v>124</v>
      </c>
      <c r="G985" s="318">
        <f t="shared" si="78"/>
        <v>0</v>
      </c>
      <c r="H985" s="522"/>
      <c r="I985" s="334"/>
      <c r="J985" s="321"/>
    </row>
    <row r="986" spans="1:11" s="132" customFormat="1" ht="31.5" hidden="1" x14ac:dyDescent="0.25">
      <c r="A986" s="364" t="s">
        <v>125</v>
      </c>
      <c r="B986" s="455">
        <v>908</v>
      </c>
      <c r="C986" s="402" t="s">
        <v>139</v>
      </c>
      <c r="D986" s="402" t="s">
        <v>161</v>
      </c>
      <c r="E986" s="403" t="s">
        <v>563</v>
      </c>
      <c r="F986" s="402" t="s">
        <v>126</v>
      </c>
      <c r="G986" s="318">
        <v>0</v>
      </c>
      <c r="H986" s="522"/>
      <c r="I986" s="334"/>
      <c r="J986" s="321"/>
    </row>
    <row r="987" spans="1:11" s="132" customFormat="1" ht="31.5" x14ac:dyDescent="0.25">
      <c r="A987" s="26" t="s">
        <v>618</v>
      </c>
      <c r="B987" s="454">
        <v>908</v>
      </c>
      <c r="C987" s="414" t="s">
        <v>139</v>
      </c>
      <c r="D987" s="414" t="s">
        <v>161</v>
      </c>
      <c r="E987" s="414" t="s">
        <v>524</v>
      </c>
      <c r="F987" s="414"/>
      <c r="G987" s="314">
        <f>G988</f>
        <v>3071.6000000000004</v>
      </c>
      <c r="H987" s="522"/>
      <c r="I987" s="334"/>
      <c r="J987" s="321"/>
    </row>
    <row r="988" spans="1:11" ht="15.75" x14ac:dyDescent="0.25">
      <c r="A988" s="22" t="s">
        <v>260</v>
      </c>
      <c r="B988" s="455">
        <v>908</v>
      </c>
      <c r="C988" s="402" t="s">
        <v>139</v>
      </c>
      <c r="D988" s="402" t="s">
        <v>161</v>
      </c>
      <c r="E988" s="403" t="s">
        <v>565</v>
      </c>
      <c r="F988" s="402"/>
      <c r="G988" s="318">
        <f>G991+G993+G989</f>
        <v>3071.6000000000004</v>
      </c>
      <c r="H988" s="522"/>
      <c r="I988" s="334"/>
      <c r="J988" s="321"/>
      <c r="K988" s="132"/>
    </row>
    <row r="989" spans="1:11" s="132" customFormat="1" ht="63" x14ac:dyDescent="0.25">
      <c r="A989" s="364" t="s">
        <v>119</v>
      </c>
      <c r="B989" s="455">
        <v>908</v>
      </c>
      <c r="C989" s="402" t="s">
        <v>139</v>
      </c>
      <c r="D989" s="402" t="s">
        <v>161</v>
      </c>
      <c r="E989" s="403" t="s">
        <v>565</v>
      </c>
      <c r="F989" s="402" t="s">
        <v>120</v>
      </c>
      <c r="G989" s="318">
        <f>G990</f>
        <v>1907.4</v>
      </c>
      <c r="H989" s="522"/>
      <c r="I989" s="334"/>
      <c r="J989" s="321"/>
    </row>
    <row r="990" spans="1:11" s="132" customFormat="1" ht="15.75" x14ac:dyDescent="0.25">
      <c r="A990" s="364" t="s">
        <v>212</v>
      </c>
      <c r="B990" s="455">
        <v>908</v>
      </c>
      <c r="C990" s="402" t="s">
        <v>139</v>
      </c>
      <c r="D990" s="402" t="s">
        <v>161</v>
      </c>
      <c r="E990" s="403" t="s">
        <v>565</v>
      </c>
      <c r="F990" s="402" t="s">
        <v>156</v>
      </c>
      <c r="G990" s="318">
        <f>1907.4</f>
        <v>1907.4</v>
      </c>
      <c r="H990" s="522"/>
      <c r="I990" s="334"/>
      <c r="J990" s="321"/>
    </row>
    <row r="991" spans="1:11" ht="31.5" x14ac:dyDescent="0.25">
      <c r="A991" s="364" t="s">
        <v>123</v>
      </c>
      <c r="B991" s="455">
        <v>908</v>
      </c>
      <c r="C991" s="402" t="s">
        <v>139</v>
      </c>
      <c r="D991" s="402" t="s">
        <v>161</v>
      </c>
      <c r="E991" s="403" t="s">
        <v>565</v>
      </c>
      <c r="F991" s="402" t="s">
        <v>124</v>
      </c>
      <c r="G991" s="318">
        <f>G992</f>
        <v>1164.2</v>
      </c>
      <c r="H991" s="522"/>
      <c r="I991" s="334"/>
      <c r="J991" s="321"/>
      <c r="K991" s="132"/>
    </row>
    <row r="992" spans="1:11" ht="31.5" x14ac:dyDescent="0.25">
      <c r="A992" s="364" t="s">
        <v>125</v>
      </c>
      <c r="B992" s="455">
        <v>908</v>
      </c>
      <c r="C992" s="402" t="s">
        <v>139</v>
      </c>
      <c r="D992" s="402" t="s">
        <v>161</v>
      </c>
      <c r="E992" s="403" t="s">
        <v>565</v>
      </c>
      <c r="F992" s="402" t="s">
        <v>126</v>
      </c>
      <c r="G992" s="318">
        <f>957+207.2</f>
        <v>1164.2</v>
      </c>
      <c r="H992" s="522"/>
      <c r="I992" s="334"/>
      <c r="J992" s="321"/>
      <c r="K992" s="132"/>
    </row>
    <row r="993" spans="1:11" ht="15.75" hidden="1" x14ac:dyDescent="0.25">
      <c r="A993" s="364" t="s">
        <v>127</v>
      </c>
      <c r="B993" s="455">
        <v>908</v>
      </c>
      <c r="C993" s="402" t="s">
        <v>139</v>
      </c>
      <c r="D993" s="402" t="s">
        <v>161</v>
      </c>
      <c r="E993" s="403" t="s">
        <v>565</v>
      </c>
      <c r="F993" s="402" t="s">
        <v>134</v>
      </c>
      <c r="G993" s="318">
        <f>G994</f>
        <v>0</v>
      </c>
      <c r="H993" s="522"/>
      <c r="I993" s="334"/>
      <c r="J993" s="321"/>
      <c r="K993" s="132"/>
    </row>
    <row r="994" spans="1:11" ht="15.75" hidden="1" x14ac:dyDescent="0.25">
      <c r="A994" s="364" t="s">
        <v>280</v>
      </c>
      <c r="B994" s="455">
        <v>908</v>
      </c>
      <c r="C994" s="402" t="s">
        <v>139</v>
      </c>
      <c r="D994" s="402" t="s">
        <v>161</v>
      </c>
      <c r="E994" s="403" t="s">
        <v>565</v>
      </c>
      <c r="F994" s="402" t="s">
        <v>130</v>
      </c>
      <c r="G994" s="318">
        <v>0</v>
      </c>
      <c r="H994" s="522"/>
      <c r="I994" s="334"/>
      <c r="J994" s="321"/>
      <c r="K994" s="132"/>
    </row>
    <row r="995" spans="1:11" ht="15.75" x14ac:dyDescent="0.25">
      <c r="A995" s="315" t="s">
        <v>231</v>
      </c>
      <c r="B995" s="454">
        <v>908</v>
      </c>
      <c r="C995" s="414" t="s">
        <v>168</v>
      </c>
      <c r="D995" s="414"/>
      <c r="E995" s="414"/>
      <c r="F995" s="414"/>
      <c r="G995" s="314">
        <f>G996+G1013+G1078+G1140</f>
        <v>85924.700000000012</v>
      </c>
      <c r="H995" s="522"/>
      <c r="I995" s="334"/>
      <c r="J995" s="321"/>
      <c r="K995" s="132"/>
    </row>
    <row r="996" spans="1:11" ht="15.75" x14ac:dyDescent="0.25">
      <c r="A996" s="315" t="s">
        <v>232</v>
      </c>
      <c r="B996" s="454">
        <v>908</v>
      </c>
      <c r="C996" s="414" t="s">
        <v>168</v>
      </c>
      <c r="D996" s="414" t="s">
        <v>116</v>
      </c>
      <c r="E996" s="414"/>
      <c r="F996" s="414"/>
      <c r="G996" s="314">
        <f>G997</f>
        <v>13449.07</v>
      </c>
      <c r="H996" s="522"/>
      <c r="I996" s="334"/>
      <c r="J996" s="321"/>
      <c r="K996" s="132"/>
    </row>
    <row r="997" spans="1:11" ht="15.75" x14ac:dyDescent="0.25">
      <c r="A997" s="315" t="s">
        <v>133</v>
      </c>
      <c r="B997" s="454">
        <v>908</v>
      </c>
      <c r="C997" s="414" t="s">
        <v>168</v>
      </c>
      <c r="D997" s="414" t="s">
        <v>116</v>
      </c>
      <c r="E997" s="414" t="s">
        <v>442</v>
      </c>
      <c r="F997" s="414"/>
      <c r="G997" s="314">
        <f>G998</f>
        <v>13449.07</v>
      </c>
      <c r="H997" s="522"/>
      <c r="I997" s="334"/>
      <c r="J997" s="321"/>
      <c r="K997" s="132"/>
    </row>
    <row r="998" spans="1:11" ht="31.5" x14ac:dyDescent="0.25">
      <c r="A998" s="315" t="s">
        <v>446</v>
      </c>
      <c r="B998" s="454">
        <v>908</v>
      </c>
      <c r="C998" s="414" t="s">
        <v>168</v>
      </c>
      <c r="D998" s="414" t="s">
        <v>116</v>
      </c>
      <c r="E998" s="414" t="s">
        <v>441</v>
      </c>
      <c r="F998" s="414"/>
      <c r="G998" s="314">
        <f>G1007+G1004+G999+G1010</f>
        <v>13449.07</v>
      </c>
      <c r="H998" s="522"/>
      <c r="I998" s="334"/>
      <c r="J998" s="321"/>
      <c r="K998" s="132"/>
    </row>
    <row r="999" spans="1:11" ht="15.75" hidden="1" x14ac:dyDescent="0.25">
      <c r="A999" s="364" t="s">
        <v>261</v>
      </c>
      <c r="B999" s="455">
        <v>908</v>
      </c>
      <c r="C999" s="402" t="s">
        <v>353</v>
      </c>
      <c r="D999" s="402" t="s">
        <v>116</v>
      </c>
      <c r="E999" s="402" t="s">
        <v>525</v>
      </c>
      <c r="F999" s="414"/>
      <c r="G999" s="318">
        <f>G1002+G1000</f>
        <v>0</v>
      </c>
      <c r="H999" s="522"/>
      <c r="I999" s="334"/>
      <c r="J999" s="321"/>
      <c r="K999" s="132"/>
    </row>
    <row r="1000" spans="1:11" s="132" customFormat="1" ht="31.5" hidden="1" x14ac:dyDescent="0.25">
      <c r="A1000" s="364" t="s">
        <v>123</v>
      </c>
      <c r="B1000" s="455">
        <v>908</v>
      </c>
      <c r="C1000" s="402" t="s">
        <v>168</v>
      </c>
      <c r="D1000" s="402" t="s">
        <v>116</v>
      </c>
      <c r="E1000" s="402" t="s">
        <v>525</v>
      </c>
      <c r="F1000" s="402" t="s">
        <v>124</v>
      </c>
      <c r="G1000" s="318">
        <f>G1001</f>
        <v>0</v>
      </c>
      <c r="H1000" s="522"/>
      <c r="I1000" s="334"/>
      <c r="J1000" s="321"/>
    </row>
    <row r="1001" spans="1:11" s="132" customFormat="1" ht="31.5" hidden="1" x14ac:dyDescent="0.25">
      <c r="A1001" s="364" t="s">
        <v>125</v>
      </c>
      <c r="B1001" s="455">
        <v>908</v>
      </c>
      <c r="C1001" s="402" t="s">
        <v>168</v>
      </c>
      <c r="D1001" s="402" t="s">
        <v>116</v>
      </c>
      <c r="E1001" s="402" t="s">
        <v>525</v>
      </c>
      <c r="F1001" s="402" t="s">
        <v>126</v>
      </c>
      <c r="G1001" s="318"/>
      <c r="H1001" s="522"/>
      <c r="I1001" s="334"/>
      <c r="J1001" s="321"/>
    </row>
    <row r="1002" spans="1:11" ht="15.75" hidden="1" x14ac:dyDescent="0.25">
      <c r="A1002" s="364" t="s">
        <v>127</v>
      </c>
      <c r="B1002" s="455">
        <v>908</v>
      </c>
      <c r="C1002" s="402" t="s">
        <v>168</v>
      </c>
      <c r="D1002" s="402" t="s">
        <v>116</v>
      </c>
      <c r="E1002" s="402" t="s">
        <v>525</v>
      </c>
      <c r="F1002" s="402" t="s">
        <v>134</v>
      </c>
      <c r="G1002" s="318">
        <f>G1003</f>
        <v>0</v>
      </c>
      <c r="H1002" s="522"/>
      <c r="I1002" s="334"/>
      <c r="J1002" s="321"/>
      <c r="K1002" s="132"/>
    </row>
    <row r="1003" spans="1:11" ht="48.75" hidden="1" customHeight="1" x14ac:dyDescent="0.25">
      <c r="A1003" s="364" t="s">
        <v>148</v>
      </c>
      <c r="B1003" s="455">
        <v>908</v>
      </c>
      <c r="C1003" s="402" t="s">
        <v>168</v>
      </c>
      <c r="D1003" s="402" t="s">
        <v>116</v>
      </c>
      <c r="E1003" s="402" t="s">
        <v>525</v>
      </c>
      <c r="F1003" s="402" t="s">
        <v>142</v>
      </c>
      <c r="G1003" s="318"/>
      <c r="H1003" s="522"/>
      <c r="I1003" s="334"/>
      <c r="J1003" s="321"/>
      <c r="K1003" s="132"/>
    </row>
    <row r="1004" spans="1:11" ht="31.5" x14ac:dyDescent="0.25">
      <c r="A1004" s="22" t="s">
        <v>233</v>
      </c>
      <c r="B1004" s="455">
        <v>908</v>
      </c>
      <c r="C1004" s="402" t="s">
        <v>168</v>
      </c>
      <c r="D1004" s="402" t="s">
        <v>116</v>
      </c>
      <c r="E1004" s="402" t="s">
        <v>526</v>
      </c>
      <c r="F1004" s="414"/>
      <c r="G1004" s="318">
        <f>G1005</f>
        <v>4920.3999999999996</v>
      </c>
      <c r="H1004" s="522"/>
      <c r="I1004" s="334"/>
      <c r="J1004" s="321"/>
      <c r="K1004" s="132"/>
    </row>
    <row r="1005" spans="1:11" ht="31.5" x14ac:dyDescent="0.25">
      <c r="A1005" s="364" t="s">
        <v>123</v>
      </c>
      <c r="B1005" s="455">
        <v>908</v>
      </c>
      <c r="C1005" s="402" t="s">
        <v>168</v>
      </c>
      <c r="D1005" s="402" t="s">
        <v>116</v>
      </c>
      <c r="E1005" s="402" t="s">
        <v>526</v>
      </c>
      <c r="F1005" s="402" t="s">
        <v>124</v>
      </c>
      <c r="G1005" s="318">
        <f>G1006</f>
        <v>4920.3999999999996</v>
      </c>
      <c r="H1005" s="522"/>
      <c r="I1005" s="334"/>
      <c r="J1005" s="321"/>
      <c r="K1005" s="132"/>
    </row>
    <row r="1006" spans="1:11" ht="33" customHeight="1" x14ac:dyDescent="0.25">
      <c r="A1006" s="364" t="s">
        <v>125</v>
      </c>
      <c r="B1006" s="455">
        <v>908</v>
      </c>
      <c r="C1006" s="402" t="s">
        <v>168</v>
      </c>
      <c r="D1006" s="402" t="s">
        <v>116</v>
      </c>
      <c r="E1006" s="402" t="s">
        <v>526</v>
      </c>
      <c r="F1006" s="402" t="s">
        <v>126</v>
      </c>
      <c r="G1006" s="20">
        <v>4920.3999999999996</v>
      </c>
      <c r="H1006" s="522"/>
      <c r="I1006" s="334"/>
      <c r="J1006" s="321"/>
      <c r="K1006" s="132"/>
    </row>
    <row r="1007" spans="1:11" ht="31.5" x14ac:dyDescent="0.25">
      <c r="A1007" s="22" t="s">
        <v>503</v>
      </c>
      <c r="B1007" s="455">
        <v>908</v>
      </c>
      <c r="C1007" s="402" t="s">
        <v>168</v>
      </c>
      <c r="D1007" s="402" t="s">
        <v>116</v>
      </c>
      <c r="E1007" s="402" t="s">
        <v>527</v>
      </c>
      <c r="F1007" s="414"/>
      <c r="G1007" s="318">
        <f>G1008</f>
        <v>1140</v>
      </c>
      <c r="H1007" s="522"/>
      <c r="I1007" s="334"/>
      <c r="J1007" s="321"/>
      <c r="K1007" s="132"/>
    </row>
    <row r="1008" spans="1:11" ht="31.5" x14ac:dyDescent="0.25">
      <c r="A1008" s="364" t="s">
        <v>123</v>
      </c>
      <c r="B1008" s="455">
        <v>908</v>
      </c>
      <c r="C1008" s="402" t="s">
        <v>168</v>
      </c>
      <c r="D1008" s="402" t="s">
        <v>116</v>
      </c>
      <c r="E1008" s="402" t="s">
        <v>527</v>
      </c>
      <c r="F1008" s="402" t="s">
        <v>124</v>
      </c>
      <c r="G1008" s="318">
        <f>G1009</f>
        <v>1140</v>
      </c>
      <c r="H1008" s="522"/>
      <c r="I1008" s="334"/>
      <c r="J1008" s="321"/>
      <c r="K1008" s="132"/>
    </row>
    <row r="1009" spans="1:11" ht="33" customHeight="1" x14ac:dyDescent="0.25">
      <c r="A1009" s="364" t="s">
        <v>125</v>
      </c>
      <c r="B1009" s="455">
        <v>908</v>
      </c>
      <c r="C1009" s="402" t="s">
        <v>168</v>
      </c>
      <c r="D1009" s="402" t="s">
        <v>116</v>
      </c>
      <c r="E1009" s="402" t="s">
        <v>527</v>
      </c>
      <c r="F1009" s="402" t="s">
        <v>126</v>
      </c>
      <c r="G1009" s="318">
        <v>1140</v>
      </c>
      <c r="H1009" s="522"/>
      <c r="I1009" s="334"/>
      <c r="J1009" s="321"/>
      <c r="K1009" s="345"/>
    </row>
    <row r="1010" spans="1:11" s="132" customFormat="1" ht="33" customHeight="1" x14ac:dyDescent="0.25">
      <c r="A1010" s="364" t="s">
        <v>1006</v>
      </c>
      <c r="B1010" s="455">
        <v>908</v>
      </c>
      <c r="C1010" s="402" t="s">
        <v>168</v>
      </c>
      <c r="D1010" s="402" t="s">
        <v>116</v>
      </c>
      <c r="E1010" s="402" t="s">
        <v>1007</v>
      </c>
      <c r="F1010" s="402"/>
      <c r="G1010" s="318">
        <f>G1011</f>
        <v>7388.67</v>
      </c>
      <c r="H1010" s="522"/>
      <c r="I1010" s="334"/>
      <c r="J1010" s="321"/>
    </row>
    <row r="1011" spans="1:11" s="132" customFormat="1" ht="33" customHeight="1" x14ac:dyDescent="0.25">
      <c r="A1011" s="364" t="s">
        <v>123</v>
      </c>
      <c r="B1011" s="455">
        <v>908</v>
      </c>
      <c r="C1011" s="402" t="s">
        <v>168</v>
      </c>
      <c r="D1011" s="402" t="s">
        <v>116</v>
      </c>
      <c r="E1011" s="402" t="s">
        <v>1007</v>
      </c>
      <c r="F1011" s="402" t="s">
        <v>124</v>
      </c>
      <c r="G1011" s="318">
        <f>G1012</f>
        <v>7388.67</v>
      </c>
      <c r="H1011" s="522"/>
      <c r="I1011" s="334"/>
      <c r="J1011" s="321"/>
    </row>
    <row r="1012" spans="1:11" s="132" customFormat="1" ht="33" customHeight="1" x14ac:dyDescent="0.25">
      <c r="A1012" s="364" t="s">
        <v>125</v>
      </c>
      <c r="B1012" s="455">
        <v>908</v>
      </c>
      <c r="C1012" s="402" t="s">
        <v>168</v>
      </c>
      <c r="D1012" s="402" t="s">
        <v>116</v>
      </c>
      <c r="E1012" s="402" t="s">
        <v>1007</v>
      </c>
      <c r="F1012" s="402" t="s">
        <v>126</v>
      </c>
      <c r="G1012" s="318">
        <f>6871.46205+517.20795</f>
        <v>7388.67</v>
      </c>
      <c r="H1012" s="520" t="s">
        <v>1202</v>
      </c>
      <c r="I1012" s="334"/>
      <c r="J1012" s="334"/>
    </row>
    <row r="1013" spans="1:11" ht="15.75" x14ac:dyDescent="0.25">
      <c r="A1013" s="315" t="s">
        <v>262</v>
      </c>
      <c r="B1013" s="454">
        <v>908</v>
      </c>
      <c r="C1013" s="414" t="s">
        <v>168</v>
      </c>
      <c r="D1013" s="414" t="s">
        <v>158</v>
      </c>
      <c r="E1013" s="414"/>
      <c r="F1013" s="414"/>
      <c r="G1013" s="314">
        <f>G1014+G1044+G1073</f>
        <v>7587.0200000000013</v>
      </c>
      <c r="H1013" s="522"/>
      <c r="I1013" s="334"/>
      <c r="J1013" s="321"/>
      <c r="K1013" s="132"/>
    </row>
    <row r="1014" spans="1:11" s="132" customFormat="1" ht="15.75" x14ac:dyDescent="0.25">
      <c r="A1014" s="315" t="s">
        <v>133</v>
      </c>
      <c r="B1014" s="454">
        <v>908</v>
      </c>
      <c r="C1014" s="414" t="s">
        <v>168</v>
      </c>
      <c r="D1014" s="414" t="s">
        <v>158</v>
      </c>
      <c r="E1014" s="414" t="s">
        <v>442</v>
      </c>
      <c r="F1014" s="414"/>
      <c r="G1014" s="314">
        <f>G1015+G1027</f>
        <v>6683.0200000000013</v>
      </c>
      <c r="H1014" s="522"/>
      <c r="I1014" s="334"/>
      <c r="J1014" s="321"/>
    </row>
    <row r="1015" spans="1:11" s="132" customFormat="1" ht="31.5" x14ac:dyDescent="0.25">
      <c r="A1015" s="315" t="s">
        <v>446</v>
      </c>
      <c r="B1015" s="454">
        <v>908</v>
      </c>
      <c r="C1015" s="414" t="s">
        <v>168</v>
      </c>
      <c r="D1015" s="414" t="s">
        <v>158</v>
      </c>
      <c r="E1015" s="414" t="s">
        <v>441</v>
      </c>
      <c r="F1015" s="414"/>
      <c r="G1015" s="314">
        <f>G1016+G1022</f>
        <v>6683.0200000000013</v>
      </c>
      <c r="H1015" s="522"/>
      <c r="I1015" s="334"/>
      <c r="J1015" s="321"/>
    </row>
    <row r="1016" spans="1:11" s="132" customFormat="1" ht="15.75" hidden="1" x14ac:dyDescent="0.25">
      <c r="A1016" s="27" t="s">
        <v>271</v>
      </c>
      <c r="B1016" s="455">
        <v>908</v>
      </c>
      <c r="C1016" s="402" t="s">
        <v>168</v>
      </c>
      <c r="D1016" s="402" t="s">
        <v>158</v>
      </c>
      <c r="E1016" s="402" t="s">
        <v>544</v>
      </c>
      <c r="F1016" s="402"/>
      <c r="G1016" s="318">
        <f>G1017+G1019</f>
        <v>0</v>
      </c>
      <c r="H1016" s="522"/>
      <c r="I1016" s="334"/>
      <c r="J1016" s="321"/>
    </row>
    <row r="1017" spans="1:11" s="132" customFormat="1" ht="31.5" hidden="1" x14ac:dyDescent="0.25">
      <c r="A1017" s="364" t="s">
        <v>123</v>
      </c>
      <c r="B1017" s="455">
        <v>908</v>
      </c>
      <c r="C1017" s="402" t="s">
        <v>168</v>
      </c>
      <c r="D1017" s="402" t="s">
        <v>158</v>
      </c>
      <c r="E1017" s="402" t="s">
        <v>544</v>
      </c>
      <c r="F1017" s="402" t="s">
        <v>124</v>
      </c>
      <c r="G1017" s="318">
        <f>G1018</f>
        <v>0</v>
      </c>
      <c r="H1017" s="522"/>
      <c r="I1017" s="334"/>
      <c r="J1017" s="321"/>
    </row>
    <row r="1018" spans="1:11" s="132" customFormat="1" ht="31.5" hidden="1" x14ac:dyDescent="0.25">
      <c r="A1018" s="364" t="s">
        <v>125</v>
      </c>
      <c r="B1018" s="455">
        <v>908</v>
      </c>
      <c r="C1018" s="402" t="s">
        <v>168</v>
      </c>
      <c r="D1018" s="402" t="s">
        <v>158</v>
      </c>
      <c r="E1018" s="402" t="s">
        <v>544</v>
      </c>
      <c r="F1018" s="402" t="s">
        <v>126</v>
      </c>
      <c r="G1018" s="566"/>
      <c r="H1018" s="520"/>
      <c r="I1018" s="334"/>
      <c r="J1018" s="342"/>
    </row>
    <row r="1019" spans="1:11" s="132" customFormat="1" ht="15.75" hidden="1" x14ac:dyDescent="0.25">
      <c r="A1019" s="364" t="s">
        <v>127</v>
      </c>
      <c r="B1019" s="455">
        <v>908</v>
      </c>
      <c r="C1019" s="402" t="s">
        <v>168</v>
      </c>
      <c r="D1019" s="402" t="s">
        <v>158</v>
      </c>
      <c r="E1019" s="402" t="s">
        <v>544</v>
      </c>
      <c r="F1019" s="402" t="s">
        <v>134</v>
      </c>
      <c r="G1019" s="566">
        <f>G1020+G1021</f>
        <v>0</v>
      </c>
      <c r="H1019" s="522"/>
      <c r="I1019" s="334"/>
      <c r="J1019" s="321"/>
    </row>
    <row r="1020" spans="1:11" s="132" customFormat="1" ht="47.25" hidden="1" x14ac:dyDescent="0.25">
      <c r="A1020" s="364" t="s">
        <v>148</v>
      </c>
      <c r="B1020" s="455">
        <v>908</v>
      </c>
      <c r="C1020" s="402" t="s">
        <v>168</v>
      </c>
      <c r="D1020" s="402" t="s">
        <v>158</v>
      </c>
      <c r="E1020" s="402" t="s">
        <v>544</v>
      </c>
      <c r="F1020" s="402" t="s">
        <v>142</v>
      </c>
      <c r="G1020" s="566">
        <v>0</v>
      </c>
      <c r="H1020" s="522"/>
      <c r="I1020" s="334"/>
      <c r="J1020" s="321"/>
    </row>
    <row r="1021" spans="1:11" s="132" customFormat="1" ht="15.75" hidden="1" x14ac:dyDescent="0.25">
      <c r="A1021" s="364" t="s">
        <v>135</v>
      </c>
      <c r="B1021" s="455">
        <v>908</v>
      </c>
      <c r="C1021" s="402" t="s">
        <v>168</v>
      </c>
      <c r="D1021" s="402" t="s">
        <v>158</v>
      </c>
      <c r="E1021" s="402" t="s">
        <v>544</v>
      </c>
      <c r="F1021" s="402" t="s">
        <v>136</v>
      </c>
      <c r="G1021" s="566">
        <v>0</v>
      </c>
      <c r="H1021" s="522"/>
      <c r="I1021" s="334"/>
      <c r="J1021" s="321"/>
    </row>
    <row r="1022" spans="1:11" s="132" customFormat="1" ht="31.5" x14ac:dyDescent="0.25">
      <c r="A1022" s="22" t="s">
        <v>503</v>
      </c>
      <c r="B1022" s="455">
        <v>908</v>
      </c>
      <c r="C1022" s="402" t="s">
        <v>168</v>
      </c>
      <c r="D1022" s="402" t="s">
        <v>158</v>
      </c>
      <c r="E1022" s="402" t="s">
        <v>527</v>
      </c>
      <c r="F1022" s="402"/>
      <c r="G1022" s="318">
        <f>G1025+G1023</f>
        <v>6683.0200000000013</v>
      </c>
      <c r="H1022" s="522"/>
      <c r="I1022" s="334"/>
      <c r="J1022" s="321"/>
    </row>
    <row r="1023" spans="1:11" s="132" customFormat="1" ht="31.5" x14ac:dyDescent="0.25">
      <c r="A1023" s="364" t="s">
        <v>123</v>
      </c>
      <c r="B1023" s="455">
        <v>908</v>
      </c>
      <c r="C1023" s="402" t="s">
        <v>168</v>
      </c>
      <c r="D1023" s="402" t="s">
        <v>158</v>
      </c>
      <c r="E1023" s="402" t="s">
        <v>527</v>
      </c>
      <c r="F1023" s="402" t="s">
        <v>124</v>
      </c>
      <c r="G1023" s="318">
        <f>G1024</f>
        <v>6683.0200000000013</v>
      </c>
      <c r="H1023" s="522"/>
      <c r="I1023" s="334"/>
      <c r="J1023" s="321"/>
    </row>
    <row r="1024" spans="1:11" s="132" customFormat="1" ht="31.5" x14ac:dyDescent="0.25">
      <c r="A1024" s="364" t="s">
        <v>125</v>
      </c>
      <c r="B1024" s="455">
        <v>908</v>
      </c>
      <c r="C1024" s="402" t="s">
        <v>168</v>
      </c>
      <c r="D1024" s="402" t="s">
        <v>158</v>
      </c>
      <c r="E1024" s="402" t="s">
        <v>527</v>
      </c>
      <c r="F1024" s="402" t="s">
        <v>126</v>
      </c>
      <c r="G1024" s="318">
        <f>6774.62+2692.6-1951.3-304.9+1599-431.6+56.2-700-328.2-500-223.4</f>
        <v>6683.0200000000013</v>
      </c>
      <c r="H1024" s="522"/>
      <c r="I1024" s="334"/>
      <c r="J1024" s="321"/>
    </row>
    <row r="1025" spans="1:14" s="132" customFormat="1" ht="20.25" hidden="1" customHeight="1" x14ac:dyDescent="0.25">
      <c r="A1025" s="364" t="s">
        <v>127</v>
      </c>
      <c r="B1025" s="455">
        <v>908</v>
      </c>
      <c r="C1025" s="402" t="s">
        <v>168</v>
      </c>
      <c r="D1025" s="402" t="s">
        <v>158</v>
      </c>
      <c r="E1025" s="402" t="s">
        <v>527</v>
      </c>
      <c r="F1025" s="402" t="s">
        <v>134</v>
      </c>
      <c r="G1025" s="318">
        <f>G1026</f>
        <v>0</v>
      </c>
      <c r="H1025" s="522"/>
      <c r="I1025" s="334"/>
      <c r="J1025" s="321"/>
    </row>
    <row r="1026" spans="1:14" ht="20.25" hidden="1" customHeight="1" x14ac:dyDescent="0.25">
      <c r="A1026" s="364" t="s">
        <v>135</v>
      </c>
      <c r="B1026" s="455">
        <v>908</v>
      </c>
      <c r="C1026" s="402" t="s">
        <v>168</v>
      </c>
      <c r="D1026" s="402" t="s">
        <v>158</v>
      </c>
      <c r="E1026" s="402" t="s">
        <v>527</v>
      </c>
      <c r="F1026" s="402" t="s">
        <v>136</v>
      </c>
      <c r="G1026" s="318">
        <v>0</v>
      </c>
      <c r="H1026" s="522"/>
      <c r="I1026" s="334"/>
      <c r="J1026" s="321"/>
      <c r="K1026" s="132"/>
    </row>
    <row r="1027" spans="1:14" s="132" customFormat="1" ht="48.75" hidden="1" customHeight="1" x14ac:dyDescent="0.25">
      <c r="A1027" s="315" t="s">
        <v>576</v>
      </c>
      <c r="B1027" s="454">
        <v>908</v>
      </c>
      <c r="C1027" s="414" t="s">
        <v>168</v>
      </c>
      <c r="D1027" s="414" t="s">
        <v>158</v>
      </c>
      <c r="E1027" s="414" t="s">
        <v>545</v>
      </c>
      <c r="F1027" s="414"/>
      <c r="G1027" s="314">
        <f>G1028+G1036+G1033+G1041</f>
        <v>0</v>
      </c>
      <c r="H1027" s="522"/>
      <c r="I1027" s="334"/>
      <c r="J1027" s="321"/>
    </row>
    <row r="1028" spans="1:14" s="132" customFormat="1" ht="35.450000000000003" hidden="1" customHeight="1" x14ac:dyDescent="0.25">
      <c r="A1028" s="364" t="s">
        <v>404</v>
      </c>
      <c r="B1028" s="455">
        <v>908</v>
      </c>
      <c r="C1028" s="402" t="s">
        <v>168</v>
      </c>
      <c r="D1028" s="402" t="s">
        <v>158</v>
      </c>
      <c r="E1028" s="402" t="s">
        <v>546</v>
      </c>
      <c r="F1028" s="402"/>
      <c r="G1028" s="318">
        <f>G1029+G1031</f>
        <v>0</v>
      </c>
      <c r="H1028" s="522"/>
      <c r="I1028" s="334"/>
      <c r="J1028" s="321"/>
      <c r="K1028" s="321"/>
      <c r="L1028" s="71"/>
      <c r="M1028" s="71"/>
      <c r="N1028" s="75"/>
    </row>
    <row r="1029" spans="1:14" s="132" customFormat="1" ht="34.5" hidden="1" customHeight="1" x14ac:dyDescent="0.25">
      <c r="A1029" s="364" t="s">
        <v>123</v>
      </c>
      <c r="B1029" s="455">
        <v>908</v>
      </c>
      <c r="C1029" s="402" t="s">
        <v>168</v>
      </c>
      <c r="D1029" s="402" t="s">
        <v>158</v>
      </c>
      <c r="E1029" s="402" t="s">
        <v>546</v>
      </c>
      <c r="F1029" s="402" t="s">
        <v>124</v>
      </c>
      <c r="G1029" s="318">
        <f>G1030</f>
        <v>0</v>
      </c>
      <c r="H1029" s="522"/>
      <c r="I1029" s="334"/>
      <c r="J1029" s="321"/>
      <c r="K1029" s="321"/>
      <c r="L1029" s="71"/>
      <c r="M1029" s="71"/>
      <c r="N1029" s="75"/>
    </row>
    <row r="1030" spans="1:14" s="132" customFormat="1" ht="33" hidden="1" customHeight="1" x14ac:dyDescent="0.25">
      <c r="A1030" s="364" t="s">
        <v>125</v>
      </c>
      <c r="B1030" s="455">
        <v>908</v>
      </c>
      <c r="C1030" s="402" t="s">
        <v>168</v>
      </c>
      <c r="D1030" s="402" t="s">
        <v>158</v>
      </c>
      <c r="E1030" s="402" t="s">
        <v>546</v>
      </c>
      <c r="F1030" s="402" t="s">
        <v>126</v>
      </c>
      <c r="G1030" s="318"/>
      <c r="H1030" s="522"/>
      <c r="I1030" s="334"/>
      <c r="J1030" s="321"/>
      <c r="K1030" s="321"/>
      <c r="L1030" s="71"/>
      <c r="M1030" s="71"/>
      <c r="N1030" s="75"/>
    </row>
    <row r="1031" spans="1:14" s="132" customFormat="1" ht="20.25" hidden="1" customHeight="1" x14ac:dyDescent="0.25">
      <c r="A1031" s="364" t="s">
        <v>127</v>
      </c>
      <c r="B1031" s="455">
        <v>908</v>
      </c>
      <c r="C1031" s="402" t="s">
        <v>168</v>
      </c>
      <c r="D1031" s="402" t="s">
        <v>158</v>
      </c>
      <c r="E1031" s="402" t="s">
        <v>546</v>
      </c>
      <c r="F1031" s="402" t="s">
        <v>414</v>
      </c>
      <c r="G1031" s="318">
        <f>G1032</f>
        <v>0</v>
      </c>
      <c r="H1031" s="522"/>
      <c r="I1031" s="334"/>
      <c r="J1031" s="75"/>
      <c r="K1031" s="321"/>
      <c r="L1031" s="71"/>
      <c r="M1031" s="71"/>
      <c r="N1031" s="71"/>
    </row>
    <row r="1032" spans="1:14" s="132" customFormat="1" ht="20.25" hidden="1" customHeight="1" x14ac:dyDescent="0.25">
      <c r="A1032" s="364" t="s">
        <v>280</v>
      </c>
      <c r="B1032" s="455">
        <v>908</v>
      </c>
      <c r="C1032" s="402" t="s">
        <v>168</v>
      </c>
      <c r="D1032" s="402" t="s">
        <v>158</v>
      </c>
      <c r="E1032" s="402" t="s">
        <v>546</v>
      </c>
      <c r="F1032" s="402" t="s">
        <v>624</v>
      </c>
      <c r="G1032" s="318">
        <v>0</v>
      </c>
      <c r="H1032" s="522"/>
      <c r="I1032" s="334"/>
      <c r="J1032" s="75"/>
      <c r="K1032" s="321"/>
      <c r="L1032" s="71"/>
      <c r="M1032" s="71"/>
      <c r="N1032" s="71"/>
    </row>
    <row r="1033" spans="1:14" s="132" customFormat="1" ht="47.25" hidden="1" customHeight="1" x14ac:dyDescent="0.25">
      <c r="A1033" s="364" t="s">
        <v>371</v>
      </c>
      <c r="B1033" s="455">
        <v>908</v>
      </c>
      <c r="C1033" s="402" t="s">
        <v>168</v>
      </c>
      <c r="D1033" s="402" t="s">
        <v>158</v>
      </c>
      <c r="E1033" s="402" t="s">
        <v>547</v>
      </c>
      <c r="F1033" s="402"/>
      <c r="G1033" s="318">
        <f>G1034</f>
        <v>0</v>
      </c>
      <c r="H1033" s="522"/>
      <c r="I1033" s="334"/>
      <c r="J1033" s="75"/>
      <c r="K1033" s="321"/>
      <c r="L1033" s="71"/>
      <c r="M1033" s="71"/>
      <c r="N1033" s="71"/>
    </row>
    <row r="1034" spans="1:14" s="132" customFormat="1" ht="33.75" hidden="1" customHeight="1" x14ac:dyDescent="0.25">
      <c r="A1034" s="364" t="s">
        <v>123</v>
      </c>
      <c r="B1034" s="455">
        <v>908</v>
      </c>
      <c r="C1034" s="402" t="s">
        <v>168</v>
      </c>
      <c r="D1034" s="402" t="s">
        <v>158</v>
      </c>
      <c r="E1034" s="402" t="s">
        <v>547</v>
      </c>
      <c r="F1034" s="402" t="s">
        <v>124</v>
      </c>
      <c r="G1034" s="318">
        <f>G1035</f>
        <v>0</v>
      </c>
      <c r="H1034" s="522"/>
      <c r="I1034" s="334"/>
      <c r="J1034" s="75"/>
      <c r="K1034" s="321"/>
      <c r="L1034" s="71"/>
      <c r="M1034" s="71"/>
      <c r="N1034" s="71"/>
    </row>
    <row r="1035" spans="1:14" s="132" customFormat="1" ht="32.25" hidden="1" customHeight="1" x14ac:dyDescent="0.25">
      <c r="A1035" s="364" t="s">
        <v>125</v>
      </c>
      <c r="B1035" s="455">
        <v>908</v>
      </c>
      <c r="C1035" s="402" t="s">
        <v>168</v>
      </c>
      <c r="D1035" s="402" t="s">
        <v>158</v>
      </c>
      <c r="E1035" s="402" t="s">
        <v>547</v>
      </c>
      <c r="F1035" s="402" t="s">
        <v>126</v>
      </c>
      <c r="G1035" s="318">
        <v>0</v>
      </c>
      <c r="H1035" s="522"/>
      <c r="I1035" s="334"/>
      <c r="J1035" s="75"/>
      <c r="K1035" s="321"/>
      <c r="L1035" s="71"/>
      <c r="M1035" s="71"/>
      <c r="N1035" s="71"/>
    </row>
    <row r="1036" spans="1:14" s="132" customFormat="1" ht="47.25" hidden="1" customHeight="1" x14ac:dyDescent="0.25">
      <c r="A1036" s="69" t="s">
        <v>410</v>
      </c>
      <c r="B1036" s="455">
        <v>908</v>
      </c>
      <c r="C1036" s="402" t="s">
        <v>168</v>
      </c>
      <c r="D1036" s="402" t="s">
        <v>158</v>
      </c>
      <c r="E1036" s="402" t="s">
        <v>548</v>
      </c>
      <c r="F1036" s="402"/>
      <c r="G1036" s="318">
        <f>G1037+G1039</f>
        <v>0</v>
      </c>
      <c r="H1036" s="522"/>
      <c r="I1036" s="334"/>
      <c r="J1036" s="75"/>
      <c r="K1036" s="321"/>
      <c r="L1036" s="71"/>
      <c r="M1036" s="71"/>
      <c r="N1036" s="71"/>
    </row>
    <row r="1037" spans="1:14" s="132" customFormat="1" ht="34.5" hidden="1" customHeight="1" x14ac:dyDescent="0.25">
      <c r="A1037" s="364" t="s">
        <v>415</v>
      </c>
      <c r="B1037" s="455">
        <v>908</v>
      </c>
      <c r="C1037" s="402" t="s">
        <v>168</v>
      </c>
      <c r="D1037" s="402" t="s">
        <v>158</v>
      </c>
      <c r="E1037" s="402" t="s">
        <v>548</v>
      </c>
      <c r="F1037" s="402" t="s">
        <v>414</v>
      </c>
      <c r="G1037" s="318">
        <f>G1038</f>
        <v>0</v>
      </c>
      <c r="H1037" s="522"/>
      <c r="I1037" s="334"/>
      <c r="J1037" s="75"/>
      <c r="K1037" s="321"/>
      <c r="L1037" s="71"/>
      <c r="M1037" s="71"/>
      <c r="N1037" s="71"/>
    </row>
    <row r="1038" spans="1:14" s="132" customFormat="1" ht="47.25" hidden="1" customHeight="1" x14ac:dyDescent="0.25">
      <c r="A1038" s="364" t="s">
        <v>609</v>
      </c>
      <c r="B1038" s="455">
        <v>908</v>
      </c>
      <c r="C1038" s="402" t="s">
        <v>168</v>
      </c>
      <c r="D1038" s="402" t="s">
        <v>158</v>
      </c>
      <c r="E1038" s="402" t="s">
        <v>548</v>
      </c>
      <c r="F1038" s="402" t="s">
        <v>624</v>
      </c>
      <c r="G1038" s="318">
        <v>0</v>
      </c>
      <c r="H1038" s="522"/>
      <c r="I1038" s="334"/>
      <c r="J1038" s="75"/>
      <c r="K1038" s="321"/>
      <c r="L1038" s="71"/>
      <c r="M1038" s="71"/>
      <c r="N1038" s="71"/>
    </row>
    <row r="1039" spans="1:14" s="132" customFormat="1" ht="17.45" hidden="1" customHeight="1" x14ac:dyDescent="0.25">
      <c r="A1039" s="364" t="s">
        <v>127</v>
      </c>
      <c r="B1039" s="455">
        <v>908</v>
      </c>
      <c r="C1039" s="402" t="s">
        <v>168</v>
      </c>
      <c r="D1039" s="402" t="s">
        <v>158</v>
      </c>
      <c r="E1039" s="402" t="s">
        <v>548</v>
      </c>
      <c r="F1039" s="402" t="s">
        <v>134</v>
      </c>
      <c r="G1039" s="318">
        <f>G1040</f>
        <v>0</v>
      </c>
      <c r="H1039" s="522"/>
      <c r="I1039" s="334"/>
      <c r="J1039" s="75"/>
      <c r="K1039" s="321"/>
      <c r="L1039" s="71"/>
      <c r="M1039" s="71"/>
      <c r="N1039" s="71"/>
    </row>
    <row r="1040" spans="1:14" s="132" customFormat="1" ht="18.75" hidden="1" customHeight="1" x14ac:dyDescent="0.25">
      <c r="A1040" s="364" t="s">
        <v>338</v>
      </c>
      <c r="B1040" s="455">
        <v>908</v>
      </c>
      <c r="C1040" s="402" t="s">
        <v>168</v>
      </c>
      <c r="D1040" s="402" t="s">
        <v>158</v>
      </c>
      <c r="E1040" s="402" t="s">
        <v>548</v>
      </c>
      <c r="F1040" s="402" t="s">
        <v>130</v>
      </c>
      <c r="G1040" s="318">
        <v>0</v>
      </c>
      <c r="H1040" s="522"/>
      <c r="I1040" s="334"/>
      <c r="J1040" s="75"/>
      <c r="K1040" s="321"/>
      <c r="L1040" s="71"/>
      <c r="M1040" s="71"/>
      <c r="N1040" s="71"/>
    </row>
    <row r="1041" spans="1:14" s="132" customFormat="1" ht="38.25" hidden="1" customHeight="1" x14ac:dyDescent="0.25">
      <c r="A1041" s="364" t="s">
        <v>625</v>
      </c>
      <c r="B1041" s="455">
        <v>908</v>
      </c>
      <c r="C1041" s="402" t="s">
        <v>168</v>
      </c>
      <c r="D1041" s="402" t="s">
        <v>158</v>
      </c>
      <c r="E1041" s="402" t="s">
        <v>626</v>
      </c>
      <c r="F1041" s="402"/>
      <c r="G1041" s="318">
        <f>G1042</f>
        <v>0</v>
      </c>
      <c r="H1041" s="522"/>
      <c r="I1041" s="334"/>
      <c r="J1041" s="75"/>
      <c r="K1041" s="321"/>
      <c r="L1041" s="71"/>
      <c r="M1041" s="71"/>
      <c r="N1041" s="71"/>
    </row>
    <row r="1042" spans="1:14" s="132" customFormat="1" ht="32.25" hidden="1" customHeight="1" x14ac:dyDescent="0.25">
      <c r="A1042" s="364" t="s">
        <v>123</v>
      </c>
      <c r="B1042" s="455">
        <v>908</v>
      </c>
      <c r="C1042" s="402" t="s">
        <v>168</v>
      </c>
      <c r="D1042" s="402" t="s">
        <v>158</v>
      </c>
      <c r="E1042" s="402" t="s">
        <v>626</v>
      </c>
      <c r="F1042" s="402" t="s">
        <v>124</v>
      </c>
      <c r="G1042" s="318">
        <f>G1043</f>
        <v>0</v>
      </c>
      <c r="H1042" s="522"/>
      <c r="I1042" s="334"/>
      <c r="J1042" s="75"/>
      <c r="K1042" s="321"/>
      <c r="L1042" s="71"/>
      <c r="M1042" s="71"/>
      <c r="N1042" s="71"/>
    </row>
    <row r="1043" spans="1:14" s="132" customFormat="1" ht="35.450000000000003" hidden="1" customHeight="1" x14ac:dyDescent="0.25">
      <c r="A1043" s="364" t="s">
        <v>125</v>
      </c>
      <c r="B1043" s="455">
        <v>908</v>
      </c>
      <c r="C1043" s="402" t="s">
        <v>168</v>
      </c>
      <c r="D1043" s="402" t="s">
        <v>158</v>
      </c>
      <c r="E1043" s="402" t="s">
        <v>626</v>
      </c>
      <c r="F1043" s="402" t="s">
        <v>126</v>
      </c>
      <c r="G1043" s="318">
        <v>0</v>
      </c>
      <c r="H1043" s="522"/>
      <c r="I1043" s="334"/>
      <c r="J1043" s="75"/>
      <c r="K1043" s="321"/>
      <c r="L1043" s="71"/>
      <c r="M1043" s="71"/>
      <c r="N1043" s="71"/>
    </row>
    <row r="1044" spans="1:14" s="132" customFormat="1" ht="47.25" customHeight="1" x14ac:dyDescent="0.25">
      <c r="A1044" s="315" t="s">
        <v>975</v>
      </c>
      <c r="B1044" s="454">
        <v>908</v>
      </c>
      <c r="C1044" s="414" t="s">
        <v>168</v>
      </c>
      <c r="D1044" s="414" t="s">
        <v>158</v>
      </c>
      <c r="E1044" s="414" t="s">
        <v>263</v>
      </c>
      <c r="F1044" s="414"/>
      <c r="G1044" s="314">
        <f>G1045+G1049+G1053+G1057+G1069+G1065</f>
        <v>700</v>
      </c>
      <c r="H1044" s="522"/>
      <c r="I1044" s="334"/>
      <c r="J1044" s="75"/>
      <c r="K1044" s="321"/>
      <c r="L1044" s="71"/>
      <c r="M1044" s="71"/>
      <c r="N1044" s="75"/>
    </row>
    <row r="1045" spans="1:14" s="132" customFormat="1" ht="30.75" customHeight="1" x14ac:dyDescent="0.25">
      <c r="A1045" s="315" t="s">
        <v>528</v>
      </c>
      <c r="B1045" s="454">
        <v>908</v>
      </c>
      <c r="C1045" s="414" t="s">
        <v>168</v>
      </c>
      <c r="D1045" s="414" t="s">
        <v>158</v>
      </c>
      <c r="E1045" s="414" t="s">
        <v>530</v>
      </c>
      <c r="F1045" s="414"/>
      <c r="G1045" s="314">
        <f t="shared" ref="G1045:G1047" si="79">G1046</f>
        <v>700</v>
      </c>
      <c r="H1045" s="522"/>
      <c r="I1045" s="334"/>
      <c r="J1045" s="75"/>
      <c r="K1045" s="321"/>
      <c r="L1045" s="71"/>
      <c r="M1045" s="71"/>
      <c r="N1045" s="71"/>
    </row>
    <row r="1046" spans="1:14" ht="15.75" x14ac:dyDescent="0.25">
      <c r="A1046" s="31" t="s">
        <v>529</v>
      </c>
      <c r="B1046" s="455">
        <v>908</v>
      </c>
      <c r="C1046" s="403" t="s">
        <v>168</v>
      </c>
      <c r="D1046" s="403" t="s">
        <v>158</v>
      </c>
      <c r="E1046" s="402" t="s">
        <v>531</v>
      </c>
      <c r="F1046" s="403"/>
      <c r="G1046" s="318">
        <f t="shared" si="79"/>
        <v>700</v>
      </c>
      <c r="H1046" s="522"/>
      <c r="I1046" s="334"/>
      <c r="J1046" s="75"/>
      <c r="K1046" s="321"/>
      <c r="L1046" s="71"/>
      <c r="M1046" s="71"/>
      <c r="N1046" s="71"/>
    </row>
    <row r="1047" spans="1:14" ht="31.5" x14ac:dyDescent="0.25">
      <c r="A1047" s="24" t="s">
        <v>123</v>
      </c>
      <c r="B1047" s="455">
        <v>908</v>
      </c>
      <c r="C1047" s="403" t="s">
        <v>168</v>
      </c>
      <c r="D1047" s="403" t="s">
        <v>158</v>
      </c>
      <c r="E1047" s="402" t="s">
        <v>531</v>
      </c>
      <c r="F1047" s="403" t="s">
        <v>124</v>
      </c>
      <c r="G1047" s="318">
        <f t="shared" si="79"/>
        <v>700</v>
      </c>
      <c r="H1047" s="522"/>
      <c r="I1047" s="334"/>
      <c r="J1047" s="75"/>
      <c r="K1047" s="321"/>
      <c r="L1047" s="71"/>
      <c r="M1047" s="71"/>
      <c r="N1047" s="71"/>
    </row>
    <row r="1048" spans="1:14" ht="31.5" x14ac:dyDescent="0.25">
      <c r="A1048" s="24" t="s">
        <v>125</v>
      </c>
      <c r="B1048" s="455">
        <v>908</v>
      </c>
      <c r="C1048" s="403" t="s">
        <v>168</v>
      </c>
      <c r="D1048" s="403" t="s">
        <v>158</v>
      </c>
      <c r="E1048" s="402" t="s">
        <v>531</v>
      </c>
      <c r="F1048" s="403" t="s">
        <v>126</v>
      </c>
      <c r="G1048" s="318">
        <v>700</v>
      </c>
      <c r="H1048" s="522"/>
      <c r="I1048" s="334"/>
      <c r="J1048" s="75"/>
      <c r="K1048" s="321"/>
      <c r="L1048" s="71"/>
      <c r="M1048" s="71"/>
      <c r="N1048" s="71"/>
    </row>
    <row r="1049" spans="1:14" s="132" customFormat="1" ht="15.75" hidden="1" x14ac:dyDescent="0.25">
      <c r="A1049" s="26" t="s">
        <v>532</v>
      </c>
      <c r="B1049" s="454">
        <v>908</v>
      </c>
      <c r="C1049" s="407" t="s">
        <v>168</v>
      </c>
      <c r="D1049" s="407" t="s">
        <v>158</v>
      </c>
      <c r="E1049" s="414" t="s">
        <v>533</v>
      </c>
      <c r="F1049" s="407"/>
      <c r="G1049" s="314">
        <f t="shared" ref="G1049:G1051" si="80">G1050</f>
        <v>0</v>
      </c>
      <c r="H1049" s="522"/>
      <c r="I1049" s="334"/>
      <c r="J1049" s="75"/>
      <c r="K1049" s="321"/>
      <c r="L1049" s="71"/>
      <c r="M1049" s="71"/>
      <c r="N1049" s="75"/>
    </row>
    <row r="1050" spans="1:14" ht="15.75" hidden="1" x14ac:dyDescent="0.25">
      <c r="A1050" s="31" t="s">
        <v>265</v>
      </c>
      <c r="B1050" s="455">
        <v>908</v>
      </c>
      <c r="C1050" s="403" t="s">
        <v>168</v>
      </c>
      <c r="D1050" s="403" t="s">
        <v>158</v>
      </c>
      <c r="E1050" s="402" t="s">
        <v>536</v>
      </c>
      <c r="F1050" s="403"/>
      <c r="G1050" s="318">
        <f t="shared" si="80"/>
        <v>0</v>
      </c>
      <c r="H1050" s="522"/>
      <c r="I1050" s="334"/>
      <c r="J1050" s="75"/>
      <c r="K1050" s="321"/>
      <c r="L1050" s="71"/>
      <c r="M1050" s="71"/>
      <c r="N1050" s="75"/>
    </row>
    <row r="1051" spans="1:14" ht="31.5" hidden="1" x14ac:dyDescent="0.25">
      <c r="A1051" s="24" t="s">
        <v>123</v>
      </c>
      <c r="B1051" s="455">
        <v>908</v>
      </c>
      <c r="C1051" s="403" t="s">
        <v>168</v>
      </c>
      <c r="D1051" s="403" t="s">
        <v>158</v>
      </c>
      <c r="E1051" s="402" t="s">
        <v>536</v>
      </c>
      <c r="F1051" s="403" t="s">
        <v>124</v>
      </c>
      <c r="G1051" s="318">
        <f t="shared" si="80"/>
        <v>0</v>
      </c>
      <c r="H1051" s="522"/>
      <c r="I1051" s="334"/>
      <c r="J1051" s="75"/>
      <c r="K1051" s="321"/>
      <c r="L1051" s="71"/>
      <c r="M1051" s="71"/>
      <c r="N1051" s="71"/>
    </row>
    <row r="1052" spans="1:14" ht="31.5" hidden="1" x14ac:dyDescent="0.25">
      <c r="A1052" s="24" t="s">
        <v>125</v>
      </c>
      <c r="B1052" s="455">
        <v>908</v>
      </c>
      <c r="C1052" s="403" t="s">
        <v>168</v>
      </c>
      <c r="D1052" s="403" t="s">
        <v>158</v>
      </c>
      <c r="E1052" s="402" t="s">
        <v>536</v>
      </c>
      <c r="F1052" s="403" t="s">
        <v>126</v>
      </c>
      <c r="G1052" s="311"/>
      <c r="H1052" s="522"/>
      <c r="I1052" s="334"/>
      <c r="J1052" s="75"/>
      <c r="K1052" s="321"/>
      <c r="L1052" s="71"/>
      <c r="M1052" s="71"/>
      <c r="N1052" s="71"/>
    </row>
    <row r="1053" spans="1:14" s="132" customFormat="1" ht="16.5" hidden="1" customHeight="1" x14ac:dyDescent="0.25">
      <c r="A1053" s="37" t="s">
        <v>534</v>
      </c>
      <c r="B1053" s="454">
        <v>908</v>
      </c>
      <c r="C1053" s="407" t="s">
        <v>168</v>
      </c>
      <c r="D1053" s="407" t="s">
        <v>158</v>
      </c>
      <c r="E1053" s="414" t="s">
        <v>535</v>
      </c>
      <c r="F1053" s="407"/>
      <c r="G1053" s="310">
        <f t="shared" ref="G1053:G1055" si="81">G1054</f>
        <v>0</v>
      </c>
      <c r="H1053" s="522"/>
      <c r="I1053" s="334"/>
      <c r="J1053" s="75"/>
      <c r="K1053" s="321"/>
      <c r="L1053" s="71"/>
      <c r="M1053" s="71"/>
      <c r="N1053" s="71"/>
    </row>
    <row r="1054" spans="1:14" ht="15.75" hidden="1" x14ac:dyDescent="0.25">
      <c r="A1054" s="31" t="s">
        <v>266</v>
      </c>
      <c r="B1054" s="455">
        <v>908</v>
      </c>
      <c r="C1054" s="403" t="s">
        <v>168</v>
      </c>
      <c r="D1054" s="403" t="s">
        <v>158</v>
      </c>
      <c r="E1054" s="402" t="s">
        <v>537</v>
      </c>
      <c r="F1054" s="403"/>
      <c r="G1054" s="318">
        <f t="shared" si="81"/>
        <v>0</v>
      </c>
      <c r="H1054" s="522"/>
      <c r="I1054" s="334"/>
      <c r="J1054" s="75"/>
      <c r="K1054" s="321"/>
      <c r="L1054" s="71"/>
      <c r="M1054" s="71"/>
      <c r="N1054" s="71"/>
    </row>
    <row r="1055" spans="1:14" ht="31.5" hidden="1" x14ac:dyDescent="0.25">
      <c r="A1055" s="24" t="s">
        <v>123</v>
      </c>
      <c r="B1055" s="455">
        <v>908</v>
      </c>
      <c r="C1055" s="403" t="s">
        <v>168</v>
      </c>
      <c r="D1055" s="403" t="s">
        <v>158</v>
      </c>
      <c r="E1055" s="402" t="s">
        <v>537</v>
      </c>
      <c r="F1055" s="403" t="s">
        <v>124</v>
      </c>
      <c r="G1055" s="318">
        <f t="shared" si="81"/>
        <v>0</v>
      </c>
      <c r="H1055" s="522"/>
      <c r="I1055" s="334"/>
      <c r="J1055" s="75"/>
      <c r="K1055" s="321"/>
      <c r="L1055" s="71"/>
      <c r="M1055" s="71"/>
      <c r="N1055" s="71"/>
    </row>
    <row r="1056" spans="1:14" ht="31.5" hidden="1" x14ac:dyDescent="0.25">
      <c r="A1056" s="24" t="s">
        <v>125</v>
      </c>
      <c r="B1056" s="455">
        <v>908</v>
      </c>
      <c r="C1056" s="403" t="s">
        <v>168</v>
      </c>
      <c r="D1056" s="403" t="s">
        <v>158</v>
      </c>
      <c r="E1056" s="402" t="s">
        <v>537</v>
      </c>
      <c r="F1056" s="403" t="s">
        <v>126</v>
      </c>
      <c r="G1056" s="311"/>
      <c r="H1056" s="522"/>
      <c r="I1056" s="334"/>
      <c r="J1056" s="75"/>
      <c r="K1056" s="321"/>
      <c r="L1056" s="71"/>
      <c r="M1056" s="71"/>
      <c r="N1056" s="71"/>
    </row>
    <row r="1057" spans="1:14" s="132" customFormat="1" ht="31.5" hidden="1" x14ac:dyDescent="0.25">
      <c r="A1057" s="37" t="s">
        <v>538</v>
      </c>
      <c r="B1057" s="454">
        <v>908</v>
      </c>
      <c r="C1057" s="407" t="s">
        <v>168</v>
      </c>
      <c r="D1057" s="407" t="s">
        <v>158</v>
      </c>
      <c r="E1057" s="414" t="s">
        <v>539</v>
      </c>
      <c r="F1057" s="407"/>
      <c r="G1057" s="310">
        <f t="shared" ref="G1057:G1059" si="82">G1058</f>
        <v>0</v>
      </c>
      <c r="H1057" s="522"/>
      <c r="I1057" s="334"/>
      <c r="J1057" s="75"/>
      <c r="K1057" s="321"/>
      <c r="L1057" s="71"/>
      <c r="M1057" s="71"/>
      <c r="N1057" s="71"/>
    </row>
    <row r="1058" spans="1:14" ht="15.75" hidden="1" x14ac:dyDescent="0.25">
      <c r="A1058" s="31" t="s">
        <v>267</v>
      </c>
      <c r="B1058" s="455">
        <v>908</v>
      </c>
      <c r="C1058" s="403" t="s">
        <v>168</v>
      </c>
      <c r="D1058" s="403" t="s">
        <v>158</v>
      </c>
      <c r="E1058" s="402" t="s">
        <v>540</v>
      </c>
      <c r="F1058" s="403"/>
      <c r="G1058" s="318">
        <f t="shared" si="82"/>
        <v>0</v>
      </c>
      <c r="H1058" s="522"/>
      <c r="I1058" s="334"/>
      <c r="J1058" s="75"/>
      <c r="K1058" s="321"/>
      <c r="L1058" s="71"/>
      <c r="M1058" s="71"/>
      <c r="N1058" s="71"/>
    </row>
    <row r="1059" spans="1:14" ht="31.5" hidden="1" x14ac:dyDescent="0.25">
      <c r="A1059" s="24" t="s">
        <v>123</v>
      </c>
      <c r="B1059" s="455">
        <v>908</v>
      </c>
      <c r="C1059" s="403" t="s">
        <v>168</v>
      </c>
      <c r="D1059" s="403" t="s">
        <v>158</v>
      </c>
      <c r="E1059" s="402" t="s">
        <v>540</v>
      </c>
      <c r="F1059" s="403" t="s">
        <v>124</v>
      </c>
      <c r="G1059" s="318">
        <f t="shared" si="82"/>
        <v>0</v>
      </c>
      <c r="H1059" s="522"/>
      <c r="I1059" s="334"/>
      <c r="J1059" s="75"/>
      <c r="K1059" s="321"/>
      <c r="L1059" s="71"/>
      <c r="M1059" s="71"/>
      <c r="N1059" s="71"/>
    </row>
    <row r="1060" spans="1:14" ht="31.5" hidden="1" x14ac:dyDescent="0.25">
      <c r="A1060" s="24" t="s">
        <v>125</v>
      </c>
      <c r="B1060" s="455">
        <v>908</v>
      </c>
      <c r="C1060" s="403" t="s">
        <v>168</v>
      </c>
      <c r="D1060" s="403" t="s">
        <v>158</v>
      </c>
      <c r="E1060" s="402" t="s">
        <v>540</v>
      </c>
      <c r="F1060" s="403" t="s">
        <v>126</v>
      </c>
      <c r="G1060" s="311"/>
      <c r="H1060" s="522"/>
      <c r="I1060" s="334"/>
      <c r="J1060" s="75"/>
      <c r="K1060" s="321"/>
      <c r="L1060" s="71"/>
      <c r="M1060" s="71"/>
      <c r="N1060" s="71"/>
    </row>
    <row r="1061" spans="1:14" s="132" customFormat="1" ht="31.7" hidden="1" customHeight="1" x14ac:dyDescent="0.25">
      <c r="A1061" s="26" t="s">
        <v>577</v>
      </c>
      <c r="B1061" s="454">
        <v>908</v>
      </c>
      <c r="C1061" s="407" t="s">
        <v>168</v>
      </c>
      <c r="D1061" s="407" t="s">
        <v>158</v>
      </c>
      <c r="E1061" s="414" t="s">
        <v>578</v>
      </c>
      <c r="F1061" s="407"/>
      <c r="G1061" s="310">
        <f t="shared" ref="G1061:G1063" si="83">G1062</f>
        <v>0</v>
      </c>
      <c r="H1061" s="522"/>
      <c r="I1061" s="334"/>
      <c r="J1061" s="75"/>
      <c r="K1061" s="321"/>
      <c r="L1061" s="71"/>
      <c r="M1061" s="71"/>
      <c r="N1061" s="71"/>
    </row>
    <row r="1062" spans="1:14" ht="15.75" hidden="1" x14ac:dyDescent="0.25">
      <c r="A1062" s="31" t="s">
        <v>268</v>
      </c>
      <c r="B1062" s="455">
        <v>908</v>
      </c>
      <c r="C1062" s="403" t="s">
        <v>168</v>
      </c>
      <c r="D1062" s="403" t="s">
        <v>158</v>
      </c>
      <c r="E1062" s="402" t="s">
        <v>581</v>
      </c>
      <c r="F1062" s="403"/>
      <c r="G1062" s="318">
        <f t="shared" si="83"/>
        <v>0</v>
      </c>
      <c r="H1062" s="522"/>
      <c r="I1062" s="334"/>
      <c r="J1062" s="75"/>
      <c r="K1062" s="321"/>
      <c r="L1062" s="71"/>
      <c r="M1062" s="71"/>
      <c r="N1062" s="71"/>
    </row>
    <row r="1063" spans="1:14" ht="31.5" hidden="1" x14ac:dyDescent="0.25">
      <c r="A1063" s="24" t="s">
        <v>123</v>
      </c>
      <c r="B1063" s="455">
        <v>908</v>
      </c>
      <c r="C1063" s="403" t="s">
        <v>168</v>
      </c>
      <c r="D1063" s="403" t="s">
        <v>158</v>
      </c>
      <c r="E1063" s="402" t="s">
        <v>581</v>
      </c>
      <c r="F1063" s="403" t="s">
        <v>124</v>
      </c>
      <c r="G1063" s="318">
        <f t="shared" si="83"/>
        <v>0</v>
      </c>
      <c r="H1063" s="522"/>
      <c r="I1063" s="334"/>
      <c r="J1063" s="75"/>
      <c r="K1063" s="321"/>
      <c r="L1063" s="71"/>
      <c r="M1063" s="71"/>
      <c r="N1063" s="71"/>
    </row>
    <row r="1064" spans="1:14" ht="31.5" hidden="1" x14ac:dyDescent="0.25">
      <c r="A1064" s="24" t="s">
        <v>125</v>
      </c>
      <c r="B1064" s="455">
        <v>908</v>
      </c>
      <c r="C1064" s="403" t="s">
        <v>168</v>
      </c>
      <c r="D1064" s="403" t="s">
        <v>158</v>
      </c>
      <c r="E1064" s="402" t="s">
        <v>581</v>
      </c>
      <c r="F1064" s="403" t="s">
        <v>126</v>
      </c>
      <c r="G1064" s="318">
        <v>0</v>
      </c>
      <c r="H1064" s="522"/>
      <c r="I1064" s="334"/>
      <c r="J1064" s="75"/>
      <c r="K1064" s="321"/>
      <c r="L1064" s="71"/>
      <c r="M1064" s="71"/>
      <c r="N1064" s="71"/>
    </row>
    <row r="1065" spans="1:14" s="132" customFormat="1" ht="31.5" hidden="1" x14ac:dyDescent="0.25">
      <c r="A1065" s="146" t="s">
        <v>579</v>
      </c>
      <c r="B1065" s="454">
        <v>908</v>
      </c>
      <c r="C1065" s="407" t="s">
        <v>168</v>
      </c>
      <c r="D1065" s="407" t="s">
        <v>158</v>
      </c>
      <c r="E1065" s="414" t="s">
        <v>580</v>
      </c>
      <c r="F1065" s="407"/>
      <c r="G1065" s="314">
        <f t="shared" ref="G1065:G1067" si="84">G1066</f>
        <v>0</v>
      </c>
      <c r="H1065" s="522"/>
      <c r="I1065" s="334"/>
      <c r="J1065" s="75"/>
      <c r="K1065" s="321"/>
      <c r="L1065" s="71"/>
      <c r="M1065" s="71"/>
      <c r="N1065" s="71"/>
    </row>
    <row r="1066" spans="1:14" ht="21.75" hidden="1" customHeight="1" x14ac:dyDescent="0.25">
      <c r="A1066" s="103" t="s">
        <v>269</v>
      </c>
      <c r="B1066" s="455">
        <v>908</v>
      </c>
      <c r="C1066" s="403" t="s">
        <v>168</v>
      </c>
      <c r="D1066" s="403" t="s">
        <v>158</v>
      </c>
      <c r="E1066" s="402" t="s">
        <v>582</v>
      </c>
      <c r="F1066" s="403"/>
      <c r="G1066" s="318">
        <f t="shared" si="84"/>
        <v>0</v>
      </c>
      <c r="H1066" s="522"/>
      <c r="I1066" s="334"/>
      <c r="J1066" s="75"/>
      <c r="K1066" s="321"/>
      <c r="L1066" s="71"/>
      <c r="M1066" s="71"/>
      <c r="N1066" s="71"/>
    </row>
    <row r="1067" spans="1:14" ht="31.7" hidden="1" customHeight="1" x14ac:dyDescent="0.25">
      <c r="A1067" s="24" t="s">
        <v>123</v>
      </c>
      <c r="B1067" s="455">
        <v>908</v>
      </c>
      <c r="C1067" s="403" t="s">
        <v>168</v>
      </c>
      <c r="D1067" s="403" t="s">
        <v>158</v>
      </c>
      <c r="E1067" s="402" t="s">
        <v>582</v>
      </c>
      <c r="F1067" s="403" t="s">
        <v>124</v>
      </c>
      <c r="G1067" s="318">
        <f t="shared" si="84"/>
        <v>0</v>
      </c>
      <c r="H1067" s="522"/>
      <c r="I1067" s="334"/>
      <c r="J1067" s="75"/>
      <c r="K1067" s="321"/>
      <c r="L1067" s="71"/>
      <c r="M1067" s="71"/>
      <c r="N1067" s="71"/>
    </row>
    <row r="1068" spans="1:14" ht="36" hidden="1" customHeight="1" x14ac:dyDescent="0.25">
      <c r="A1068" s="24" t="s">
        <v>125</v>
      </c>
      <c r="B1068" s="455">
        <v>908</v>
      </c>
      <c r="C1068" s="403" t="s">
        <v>168</v>
      </c>
      <c r="D1068" s="403" t="s">
        <v>158</v>
      </c>
      <c r="E1068" s="402" t="s">
        <v>582</v>
      </c>
      <c r="F1068" s="403" t="s">
        <v>126</v>
      </c>
      <c r="G1068" s="318">
        <v>0</v>
      </c>
      <c r="H1068" s="522"/>
      <c r="I1068" s="334"/>
      <c r="J1068" s="75"/>
      <c r="K1068" s="321"/>
      <c r="L1068" s="71"/>
      <c r="M1068" s="71"/>
      <c r="N1068" s="71"/>
    </row>
    <row r="1069" spans="1:14" s="132" customFormat="1" ht="31.7" hidden="1" customHeight="1" x14ac:dyDescent="0.25">
      <c r="A1069" s="146" t="s">
        <v>542</v>
      </c>
      <c r="B1069" s="454">
        <v>908</v>
      </c>
      <c r="C1069" s="407" t="s">
        <v>168</v>
      </c>
      <c r="D1069" s="407" t="s">
        <v>158</v>
      </c>
      <c r="E1069" s="414" t="s">
        <v>543</v>
      </c>
      <c r="F1069" s="407"/>
      <c r="G1069" s="314">
        <f t="shared" ref="G1069:G1071" si="85">G1070</f>
        <v>0</v>
      </c>
      <c r="H1069" s="537"/>
      <c r="I1069" s="334"/>
      <c r="J1069" s="75"/>
      <c r="K1069" s="321"/>
      <c r="L1069" s="71"/>
      <c r="M1069" s="71"/>
      <c r="N1069" s="71"/>
    </row>
    <row r="1070" spans="1:14" ht="15.75" hidden="1" x14ac:dyDescent="0.25">
      <c r="A1070" s="103" t="s">
        <v>270</v>
      </c>
      <c r="B1070" s="455">
        <v>908</v>
      </c>
      <c r="C1070" s="403" t="s">
        <v>168</v>
      </c>
      <c r="D1070" s="403" t="s">
        <v>158</v>
      </c>
      <c r="E1070" s="402" t="s">
        <v>541</v>
      </c>
      <c r="F1070" s="403"/>
      <c r="G1070" s="318">
        <f t="shared" si="85"/>
        <v>0</v>
      </c>
      <c r="H1070" s="522"/>
      <c r="I1070" s="334"/>
      <c r="J1070" s="75"/>
      <c r="K1070" s="321"/>
    </row>
    <row r="1071" spans="1:14" ht="31.5" hidden="1" x14ac:dyDescent="0.25">
      <c r="A1071" s="364" t="s">
        <v>123</v>
      </c>
      <c r="B1071" s="455">
        <v>908</v>
      </c>
      <c r="C1071" s="403" t="s">
        <v>168</v>
      </c>
      <c r="D1071" s="403" t="s">
        <v>158</v>
      </c>
      <c r="E1071" s="402" t="s">
        <v>541</v>
      </c>
      <c r="F1071" s="403" t="s">
        <v>124</v>
      </c>
      <c r="G1071" s="318">
        <f t="shared" si="85"/>
        <v>0</v>
      </c>
      <c r="H1071" s="522"/>
      <c r="I1071" s="334"/>
      <c r="J1071" s="75"/>
      <c r="K1071" s="132"/>
    </row>
    <row r="1072" spans="1:14" ht="31.5" hidden="1" x14ac:dyDescent="0.25">
      <c r="A1072" s="364" t="s">
        <v>125</v>
      </c>
      <c r="B1072" s="455">
        <v>908</v>
      </c>
      <c r="C1072" s="403" t="s">
        <v>168</v>
      </c>
      <c r="D1072" s="403" t="s">
        <v>158</v>
      </c>
      <c r="E1072" s="402" t="s">
        <v>541</v>
      </c>
      <c r="F1072" s="403" t="s">
        <v>126</v>
      </c>
      <c r="G1072" s="318"/>
      <c r="H1072" s="522"/>
      <c r="I1072" s="334"/>
      <c r="J1072" s="75"/>
      <c r="K1072" s="132"/>
    </row>
    <row r="1073" spans="1:11" s="132" customFormat="1" ht="31.5" x14ac:dyDescent="0.25">
      <c r="A1073" s="315" t="s">
        <v>976</v>
      </c>
      <c r="B1073" s="454">
        <v>908</v>
      </c>
      <c r="C1073" s="407" t="s">
        <v>168</v>
      </c>
      <c r="D1073" s="407" t="s">
        <v>158</v>
      </c>
      <c r="E1073" s="414" t="s">
        <v>692</v>
      </c>
      <c r="F1073" s="407"/>
      <c r="G1073" s="314">
        <f t="shared" ref="G1073:G1076" si="86">G1074</f>
        <v>204</v>
      </c>
      <c r="H1073" s="522"/>
      <c r="I1073" s="334"/>
      <c r="J1073" s="75"/>
    </row>
    <row r="1074" spans="1:11" s="132" customFormat="1" ht="31.5" x14ac:dyDescent="0.25">
      <c r="A1074" s="315" t="s">
        <v>693</v>
      </c>
      <c r="B1074" s="454">
        <v>908</v>
      </c>
      <c r="C1074" s="407" t="s">
        <v>168</v>
      </c>
      <c r="D1074" s="407" t="s">
        <v>158</v>
      </c>
      <c r="E1074" s="414" t="s">
        <v>694</v>
      </c>
      <c r="F1074" s="407"/>
      <c r="G1074" s="314">
        <f t="shared" si="86"/>
        <v>204</v>
      </c>
      <c r="H1074" s="522"/>
      <c r="I1074" s="334"/>
      <c r="J1074" s="75"/>
    </row>
    <row r="1075" spans="1:11" s="132" customFormat="1" ht="15.75" x14ac:dyDescent="0.25">
      <c r="A1075" s="364" t="s">
        <v>271</v>
      </c>
      <c r="B1075" s="455">
        <v>908</v>
      </c>
      <c r="C1075" s="403" t="s">
        <v>168</v>
      </c>
      <c r="D1075" s="403" t="s">
        <v>158</v>
      </c>
      <c r="E1075" s="402" t="s">
        <v>695</v>
      </c>
      <c r="F1075" s="403"/>
      <c r="G1075" s="318">
        <f t="shared" si="86"/>
        <v>204</v>
      </c>
      <c r="H1075" s="522"/>
      <c r="I1075" s="334"/>
      <c r="J1075" s="75"/>
    </row>
    <row r="1076" spans="1:11" s="132" customFormat="1" ht="31.5" x14ac:dyDescent="0.25">
      <c r="A1076" s="364" t="s">
        <v>123</v>
      </c>
      <c r="B1076" s="455">
        <v>908</v>
      </c>
      <c r="C1076" s="403" t="s">
        <v>168</v>
      </c>
      <c r="D1076" s="403" t="s">
        <v>158</v>
      </c>
      <c r="E1076" s="402" t="s">
        <v>695</v>
      </c>
      <c r="F1076" s="403" t="s">
        <v>124</v>
      </c>
      <c r="G1076" s="318">
        <f t="shared" si="86"/>
        <v>204</v>
      </c>
      <c r="H1076" s="522"/>
      <c r="I1076" s="334"/>
      <c r="J1076" s="75"/>
    </row>
    <row r="1077" spans="1:11" s="132" customFormat="1" ht="31.5" x14ac:dyDescent="0.25">
      <c r="A1077" s="364" t="s">
        <v>125</v>
      </c>
      <c r="B1077" s="455">
        <v>908</v>
      </c>
      <c r="C1077" s="403" t="s">
        <v>168</v>
      </c>
      <c r="D1077" s="403" t="s">
        <v>158</v>
      </c>
      <c r="E1077" s="402" t="s">
        <v>695</v>
      </c>
      <c r="F1077" s="403" t="s">
        <v>126</v>
      </c>
      <c r="G1077" s="318">
        <f>204</f>
        <v>204</v>
      </c>
      <c r="H1077" s="522"/>
      <c r="I1077" s="334"/>
      <c r="J1077" s="75"/>
    </row>
    <row r="1078" spans="1:11" ht="15.75" x14ac:dyDescent="0.25">
      <c r="A1078" s="315" t="s">
        <v>272</v>
      </c>
      <c r="B1078" s="454">
        <v>908</v>
      </c>
      <c r="C1078" s="414" t="s">
        <v>168</v>
      </c>
      <c r="D1078" s="414" t="s">
        <v>159</v>
      </c>
      <c r="E1078" s="414"/>
      <c r="F1078" s="414"/>
      <c r="G1078" s="314">
        <f>G1079+G1084+G1131</f>
        <v>35361.46</v>
      </c>
      <c r="H1078" s="522"/>
      <c r="I1078" s="334"/>
      <c r="J1078" s="321"/>
      <c r="K1078" s="132"/>
    </row>
    <row r="1079" spans="1:11" s="132" customFormat="1" ht="15.75" x14ac:dyDescent="0.25">
      <c r="A1079" s="315" t="s">
        <v>133</v>
      </c>
      <c r="B1079" s="454">
        <v>908</v>
      </c>
      <c r="C1079" s="414" t="s">
        <v>168</v>
      </c>
      <c r="D1079" s="414" t="s">
        <v>159</v>
      </c>
      <c r="E1079" s="414" t="s">
        <v>442</v>
      </c>
      <c r="F1079" s="414"/>
      <c r="G1079" s="314">
        <f t="shared" ref="G1079:G1082" si="87">G1080</f>
        <v>390</v>
      </c>
      <c r="H1079" s="522"/>
      <c r="I1079" s="334"/>
      <c r="J1079" s="321"/>
    </row>
    <row r="1080" spans="1:11" s="132" customFormat="1" ht="31.5" x14ac:dyDescent="0.25">
      <c r="A1080" s="315" t="s">
        <v>446</v>
      </c>
      <c r="B1080" s="454">
        <v>908</v>
      </c>
      <c r="C1080" s="414" t="s">
        <v>168</v>
      </c>
      <c r="D1080" s="414" t="s">
        <v>159</v>
      </c>
      <c r="E1080" s="414" t="s">
        <v>441</v>
      </c>
      <c r="F1080" s="414"/>
      <c r="G1080" s="314">
        <f t="shared" si="87"/>
        <v>390</v>
      </c>
      <c r="H1080" s="522"/>
      <c r="I1080" s="334"/>
      <c r="J1080" s="321"/>
    </row>
    <row r="1081" spans="1:11" s="132" customFormat="1" ht="15.75" x14ac:dyDescent="0.25">
      <c r="A1081" s="364" t="s">
        <v>279</v>
      </c>
      <c r="B1081" s="455">
        <v>908</v>
      </c>
      <c r="C1081" s="402" t="s">
        <v>168</v>
      </c>
      <c r="D1081" s="402" t="s">
        <v>159</v>
      </c>
      <c r="E1081" s="402" t="s">
        <v>629</v>
      </c>
      <c r="F1081" s="402"/>
      <c r="G1081" s="318">
        <f t="shared" si="87"/>
        <v>390</v>
      </c>
      <c r="H1081" s="522"/>
      <c r="I1081" s="334"/>
      <c r="J1081" s="321"/>
    </row>
    <row r="1082" spans="1:11" s="132" customFormat="1" ht="31.5" x14ac:dyDescent="0.25">
      <c r="A1082" s="364" t="s">
        <v>123</v>
      </c>
      <c r="B1082" s="455">
        <v>908</v>
      </c>
      <c r="C1082" s="402" t="s">
        <v>168</v>
      </c>
      <c r="D1082" s="402" t="s">
        <v>159</v>
      </c>
      <c r="E1082" s="402" t="s">
        <v>629</v>
      </c>
      <c r="F1082" s="402" t="s">
        <v>124</v>
      </c>
      <c r="G1082" s="318">
        <f t="shared" si="87"/>
        <v>390</v>
      </c>
      <c r="H1082" s="522"/>
      <c r="I1082" s="334"/>
      <c r="J1082" s="75"/>
    </row>
    <row r="1083" spans="1:11" s="132" customFormat="1" ht="31.5" x14ac:dyDescent="0.25">
      <c r="A1083" s="364" t="s">
        <v>125</v>
      </c>
      <c r="B1083" s="455">
        <v>908</v>
      </c>
      <c r="C1083" s="402" t="s">
        <v>168</v>
      </c>
      <c r="D1083" s="402" t="s">
        <v>159</v>
      </c>
      <c r="E1083" s="402" t="s">
        <v>629</v>
      </c>
      <c r="F1083" s="402" t="s">
        <v>126</v>
      </c>
      <c r="G1083" s="20">
        <v>390</v>
      </c>
      <c r="H1083" s="522"/>
      <c r="I1083" s="334"/>
      <c r="J1083" s="321"/>
    </row>
    <row r="1084" spans="1:11" ht="34.5" customHeight="1" x14ac:dyDescent="0.25">
      <c r="A1084" s="315" t="s">
        <v>864</v>
      </c>
      <c r="B1084" s="454">
        <v>908</v>
      </c>
      <c r="C1084" s="414" t="s">
        <v>168</v>
      </c>
      <c r="D1084" s="414" t="s">
        <v>159</v>
      </c>
      <c r="E1084" s="414" t="s">
        <v>273</v>
      </c>
      <c r="F1084" s="414"/>
      <c r="G1084" s="314">
        <f>G1085+G1116+G1089+G1123+G1127</f>
        <v>8881.4599999999991</v>
      </c>
      <c r="H1084" s="522"/>
      <c r="I1084" s="334"/>
      <c r="J1084" s="321"/>
      <c r="K1084" s="132"/>
    </row>
    <row r="1085" spans="1:11" s="132" customFormat="1" ht="35.450000000000003" hidden="1" customHeight="1" x14ac:dyDescent="0.25">
      <c r="A1085" s="315" t="s">
        <v>918</v>
      </c>
      <c r="B1085" s="454">
        <v>908</v>
      </c>
      <c r="C1085" s="414" t="s">
        <v>168</v>
      </c>
      <c r="D1085" s="414" t="s">
        <v>159</v>
      </c>
      <c r="E1085" s="414" t="s">
        <v>800</v>
      </c>
      <c r="F1085" s="414"/>
      <c r="G1085" s="314">
        <f t="shared" ref="G1085:G1087" si="88">G1086</f>
        <v>0</v>
      </c>
      <c r="H1085" s="522"/>
      <c r="I1085" s="334"/>
      <c r="J1085" s="321"/>
    </row>
    <row r="1086" spans="1:11" s="132" customFormat="1" ht="21.2" hidden="1" customHeight="1" x14ac:dyDescent="0.25">
      <c r="A1086" s="213" t="s">
        <v>919</v>
      </c>
      <c r="B1086" s="455">
        <v>908</v>
      </c>
      <c r="C1086" s="402" t="s">
        <v>168</v>
      </c>
      <c r="D1086" s="402" t="s">
        <v>159</v>
      </c>
      <c r="E1086" s="402" t="s">
        <v>909</v>
      </c>
      <c r="F1086" s="402"/>
      <c r="G1086" s="318">
        <f t="shared" si="88"/>
        <v>0</v>
      </c>
      <c r="H1086" s="522"/>
      <c r="I1086" s="334"/>
      <c r="J1086" s="321"/>
    </row>
    <row r="1087" spans="1:11" s="132" customFormat="1" ht="35.450000000000003" hidden="1" customHeight="1" x14ac:dyDescent="0.25">
      <c r="A1087" s="364" t="s">
        <v>123</v>
      </c>
      <c r="B1087" s="455">
        <v>908</v>
      </c>
      <c r="C1087" s="402" t="s">
        <v>168</v>
      </c>
      <c r="D1087" s="402" t="s">
        <v>159</v>
      </c>
      <c r="E1087" s="402" t="s">
        <v>909</v>
      </c>
      <c r="F1087" s="402" t="s">
        <v>124</v>
      </c>
      <c r="G1087" s="318">
        <f t="shared" si="88"/>
        <v>0</v>
      </c>
      <c r="H1087" s="522"/>
      <c r="I1087" s="334"/>
      <c r="J1087" s="321"/>
    </row>
    <row r="1088" spans="1:11" s="132" customFormat="1" ht="35.450000000000003" hidden="1" customHeight="1" x14ac:dyDescent="0.25">
      <c r="A1088" s="364" t="s">
        <v>125</v>
      </c>
      <c r="B1088" s="455">
        <v>908</v>
      </c>
      <c r="C1088" s="402" t="s">
        <v>168</v>
      </c>
      <c r="D1088" s="402" t="s">
        <v>159</v>
      </c>
      <c r="E1088" s="402" t="s">
        <v>909</v>
      </c>
      <c r="F1088" s="402" t="s">
        <v>126</v>
      </c>
      <c r="G1088" s="318">
        <v>0</v>
      </c>
      <c r="H1088" s="522"/>
      <c r="I1088" s="334"/>
      <c r="J1088" s="321"/>
    </row>
    <row r="1089" spans="1:17" s="132" customFormat="1" ht="35.450000000000003" customHeight="1" x14ac:dyDescent="0.25">
      <c r="A1089" s="315" t="s">
        <v>937</v>
      </c>
      <c r="B1089" s="454">
        <v>908</v>
      </c>
      <c r="C1089" s="414" t="s">
        <v>168</v>
      </c>
      <c r="D1089" s="414" t="s">
        <v>159</v>
      </c>
      <c r="E1089" s="414" t="s">
        <v>801</v>
      </c>
      <c r="F1089" s="414"/>
      <c r="G1089" s="314">
        <f>G1090+G1093+G1099+G1102+G1105+G1110+G1113</f>
        <v>2248.02</v>
      </c>
      <c r="H1089" s="522"/>
      <c r="I1089" s="334"/>
      <c r="J1089" s="321"/>
    </row>
    <row r="1090" spans="1:17" ht="19.5" customHeight="1" x14ac:dyDescent="0.25">
      <c r="A1090" s="364" t="s">
        <v>274</v>
      </c>
      <c r="B1090" s="455">
        <v>908</v>
      </c>
      <c r="C1090" s="402" t="s">
        <v>168</v>
      </c>
      <c r="D1090" s="402" t="s">
        <v>159</v>
      </c>
      <c r="E1090" s="402" t="s">
        <v>917</v>
      </c>
      <c r="F1090" s="402"/>
      <c r="G1090" s="318">
        <f>G1091</f>
        <v>365</v>
      </c>
      <c r="H1090" s="522"/>
      <c r="I1090" s="334"/>
      <c r="J1090" s="321"/>
      <c r="K1090" s="132"/>
    </row>
    <row r="1091" spans="1:17" ht="31.5" x14ac:dyDescent="0.25">
      <c r="A1091" s="364" t="s">
        <v>123</v>
      </c>
      <c r="B1091" s="455">
        <v>908</v>
      </c>
      <c r="C1091" s="402" t="s">
        <v>168</v>
      </c>
      <c r="D1091" s="402" t="s">
        <v>159</v>
      </c>
      <c r="E1091" s="402" t="s">
        <v>917</v>
      </c>
      <c r="F1091" s="402" t="s">
        <v>124</v>
      </c>
      <c r="G1091" s="318">
        <f>G1092</f>
        <v>365</v>
      </c>
      <c r="H1091" s="522"/>
      <c r="I1091" s="334"/>
      <c r="J1091" s="321"/>
      <c r="K1091" s="132"/>
    </row>
    <row r="1092" spans="1:17" ht="31.5" x14ac:dyDescent="0.25">
      <c r="A1092" s="364" t="s">
        <v>125</v>
      </c>
      <c r="B1092" s="455">
        <v>908</v>
      </c>
      <c r="C1092" s="402" t="s">
        <v>168</v>
      </c>
      <c r="D1092" s="402" t="s">
        <v>159</v>
      </c>
      <c r="E1092" s="402" t="s">
        <v>917</v>
      </c>
      <c r="F1092" s="402" t="s">
        <v>126</v>
      </c>
      <c r="G1092" s="318">
        <v>365</v>
      </c>
      <c r="H1092" s="522"/>
      <c r="I1092" s="334"/>
      <c r="J1092" s="321"/>
      <c r="K1092" s="345"/>
    </row>
    <row r="1093" spans="1:17" ht="15.75" x14ac:dyDescent="0.25">
      <c r="A1093" s="364" t="s">
        <v>640</v>
      </c>
      <c r="B1093" s="455">
        <v>908</v>
      </c>
      <c r="C1093" s="402" t="s">
        <v>168</v>
      </c>
      <c r="D1093" s="402" t="s">
        <v>159</v>
      </c>
      <c r="E1093" s="402" t="s">
        <v>908</v>
      </c>
      <c r="F1093" s="402"/>
      <c r="G1093" s="318">
        <f>G1094+G1096</f>
        <v>1408.02</v>
      </c>
      <c r="H1093" s="522"/>
      <c r="I1093" s="334"/>
      <c r="J1093" s="321"/>
      <c r="K1093" s="132"/>
    </row>
    <row r="1094" spans="1:17" ht="31.5" x14ac:dyDescent="0.25">
      <c r="A1094" s="364" t="s">
        <v>123</v>
      </c>
      <c r="B1094" s="455">
        <v>908</v>
      </c>
      <c r="C1094" s="402" t="s">
        <v>168</v>
      </c>
      <c r="D1094" s="402" t="s">
        <v>159</v>
      </c>
      <c r="E1094" s="402" t="s">
        <v>908</v>
      </c>
      <c r="F1094" s="402" t="s">
        <v>124</v>
      </c>
      <c r="G1094" s="318">
        <f>G1095</f>
        <v>1408.02</v>
      </c>
      <c r="H1094" s="522"/>
      <c r="I1094" s="334"/>
      <c r="J1094" s="321"/>
      <c r="K1094" s="132"/>
    </row>
    <row r="1095" spans="1:17" ht="31.5" x14ac:dyDescent="0.25">
      <c r="A1095" s="364" t="s">
        <v>125</v>
      </c>
      <c r="B1095" s="455">
        <v>908</v>
      </c>
      <c r="C1095" s="402" t="s">
        <v>168</v>
      </c>
      <c r="D1095" s="402" t="s">
        <v>159</v>
      </c>
      <c r="E1095" s="402" t="s">
        <v>908</v>
      </c>
      <c r="F1095" s="402" t="s">
        <v>126</v>
      </c>
      <c r="G1095" s="318">
        <f>1408.02</f>
        <v>1408.02</v>
      </c>
      <c r="H1095" s="525"/>
      <c r="I1095" s="334"/>
      <c r="J1095" s="321"/>
      <c r="K1095" s="132"/>
      <c r="N1095" s="345"/>
      <c r="O1095" s="132"/>
      <c r="Q1095" s="345"/>
    </row>
    <row r="1096" spans="1:17" ht="15.75" hidden="1" x14ac:dyDescent="0.25">
      <c r="A1096" s="364" t="s">
        <v>127</v>
      </c>
      <c r="B1096" s="455">
        <v>908</v>
      </c>
      <c r="C1096" s="402" t="s">
        <v>168</v>
      </c>
      <c r="D1096" s="402" t="s">
        <v>159</v>
      </c>
      <c r="E1096" s="402" t="s">
        <v>908</v>
      </c>
      <c r="F1096" s="402" t="s">
        <v>134</v>
      </c>
      <c r="G1096" s="318">
        <f>G1098+G1097</f>
        <v>0</v>
      </c>
      <c r="H1096" s="522"/>
      <c r="I1096" s="334"/>
      <c r="J1096" s="321"/>
      <c r="K1096" s="132"/>
    </row>
    <row r="1097" spans="1:17" s="132" customFormat="1" ht="32.25" hidden="1" customHeight="1" x14ac:dyDescent="0.25">
      <c r="A1097" s="364" t="s">
        <v>413</v>
      </c>
      <c r="B1097" s="455">
        <v>908</v>
      </c>
      <c r="C1097" s="402" t="s">
        <v>168</v>
      </c>
      <c r="D1097" s="402" t="s">
        <v>159</v>
      </c>
      <c r="E1097" s="402" t="s">
        <v>908</v>
      </c>
      <c r="F1097" s="402" t="s">
        <v>136</v>
      </c>
      <c r="G1097" s="318">
        <v>0</v>
      </c>
      <c r="H1097" s="522"/>
      <c r="I1097" s="334"/>
      <c r="J1097" s="321"/>
    </row>
    <row r="1098" spans="1:17" ht="15.75" hidden="1" x14ac:dyDescent="0.25">
      <c r="A1098" s="364" t="s">
        <v>338</v>
      </c>
      <c r="B1098" s="455">
        <v>908</v>
      </c>
      <c r="C1098" s="402" t="s">
        <v>168</v>
      </c>
      <c r="D1098" s="402" t="s">
        <v>159</v>
      </c>
      <c r="E1098" s="402" t="s">
        <v>908</v>
      </c>
      <c r="F1098" s="402" t="s">
        <v>130</v>
      </c>
      <c r="G1098" s="318">
        <f>3.4+37.5-40.9</f>
        <v>0</v>
      </c>
      <c r="H1098" s="522"/>
      <c r="I1098" s="334"/>
      <c r="J1098" s="321"/>
      <c r="K1098" s="132"/>
    </row>
    <row r="1099" spans="1:17" ht="15.75" hidden="1" x14ac:dyDescent="0.25">
      <c r="A1099" s="364" t="s">
        <v>276</v>
      </c>
      <c r="B1099" s="455">
        <v>908</v>
      </c>
      <c r="C1099" s="402" t="s">
        <v>168</v>
      </c>
      <c r="D1099" s="402" t="s">
        <v>159</v>
      </c>
      <c r="E1099" s="402" t="s">
        <v>813</v>
      </c>
      <c r="F1099" s="402"/>
      <c r="G1099" s="318">
        <f>G1100</f>
        <v>0</v>
      </c>
      <c r="H1099" s="522"/>
      <c r="I1099" s="334"/>
      <c r="J1099" s="321"/>
      <c r="K1099" s="132"/>
    </row>
    <row r="1100" spans="1:17" ht="31.5" hidden="1" x14ac:dyDescent="0.25">
      <c r="A1100" s="364" t="s">
        <v>123</v>
      </c>
      <c r="B1100" s="455">
        <v>908</v>
      </c>
      <c r="C1100" s="402" t="s">
        <v>168</v>
      </c>
      <c r="D1100" s="402" t="s">
        <v>159</v>
      </c>
      <c r="E1100" s="402" t="s">
        <v>813</v>
      </c>
      <c r="F1100" s="402" t="s">
        <v>124</v>
      </c>
      <c r="G1100" s="318">
        <f>G1101</f>
        <v>0</v>
      </c>
      <c r="H1100" s="522"/>
      <c r="I1100" s="334"/>
      <c r="J1100" s="321"/>
      <c r="K1100" s="132"/>
    </row>
    <row r="1101" spans="1:17" ht="31.5" hidden="1" x14ac:dyDescent="0.25">
      <c r="A1101" s="364" t="s">
        <v>125</v>
      </c>
      <c r="B1101" s="455">
        <v>908</v>
      </c>
      <c r="C1101" s="402" t="s">
        <v>168</v>
      </c>
      <c r="D1101" s="402" t="s">
        <v>159</v>
      </c>
      <c r="E1101" s="402" t="s">
        <v>813</v>
      </c>
      <c r="F1101" s="402" t="s">
        <v>126</v>
      </c>
      <c r="G1101" s="318">
        <v>0</v>
      </c>
      <c r="H1101" s="522"/>
      <c r="I1101" s="334"/>
      <c r="J1101" s="321"/>
      <c r="K1101" s="132"/>
    </row>
    <row r="1102" spans="1:17" ht="15.75" x14ac:dyDescent="0.25">
      <c r="A1102" s="364" t="s">
        <v>277</v>
      </c>
      <c r="B1102" s="455">
        <v>908</v>
      </c>
      <c r="C1102" s="402" t="s">
        <v>168</v>
      </c>
      <c r="D1102" s="402" t="s">
        <v>159</v>
      </c>
      <c r="E1102" s="402" t="s">
        <v>802</v>
      </c>
      <c r="F1102" s="402"/>
      <c r="G1102" s="318">
        <f>G1103</f>
        <v>50</v>
      </c>
      <c r="H1102" s="522"/>
      <c r="I1102" s="334"/>
      <c r="J1102" s="321"/>
      <c r="K1102" s="132"/>
    </row>
    <row r="1103" spans="1:17" ht="31.5" x14ac:dyDescent="0.25">
      <c r="A1103" s="364" t="s">
        <v>123</v>
      </c>
      <c r="B1103" s="455">
        <v>908</v>
      </c>
      <c r="C1103" s="402" t="s">
        <v>168</v>
      </c>
      <c r="D1103" s="402" t="s">
        <v>159</v>
      </c>
      <c r="E1103" s="402" t="s">
        <v>802</v>
      </c>
      <c r="F1103" s="402" t="s">
        <v>124</v>
      </c>
      <c r="G1103" s="318">
        <f>G1104</f>
        <v>50</v>
      </c>
      <c r="H1103" s="522"/>
      <c r="I1103" s="334"/>
      <c r="J1103" s="321"/>
      <c r="K1103" s="132"/>
    </row>
    <row r="1104" spans="1:17" ht="36" customHeight="1" x14ac:dyDescent="0.25">
      <c r="A1104" s="364" t="s">
        <v>125</v>
      </c>
      <c r="B1104" s="455">
        <v>908</v>
      </c>
      <c r="C1104" s="402" t="s">
        <v>168</v>
      </c>
      <c r="D1104" s="402" t="s">
        <v>159</v>
      </c>
      <c r="E1104" s="402" t="s">
        <v>802</v>
      </c>
      <c r="F1104" s="402" t="s">
        <v>126</v>
      </c>
      <c r="G1104" s="318">
        <v>50</v>
      </c>
      <c r="H1104" s="522"/>
      <c r="I1104" s="334"/>
      <c r="J1104" s="321"/>
      <c r="K1104" s="132"/>
    </row>
    <row r="1105" spans="1:11" ht="30.75" customHeight="1" x14ac:dyDescent="0.25">
      <c r="A1105" s="212" t="s">
        <v>920</v>
      </c>
      <c r="B1105" s="455">
        <v>908</v>
      </c>
      <c r="C1105" s="402" t="s">
        <v>168</v>
      </c>
      <c r="D1105" s="402" t="s">
        <v>159</v>
      </c>
      <c r="E1105" s="402" t="s">
        <v>803</v>
      </c>
      <c r="F1105" s="402"/>
      <c r="G1105" s="318">
        <f>G1106+G1108</f>
        <v>375</v>
      </c>
      <c r="H1105" s="522"/>
      <c r="I1105" s="334"/>
      <c r="J1105" s="321"/>
      <c r="K1105" s="132"/>
    </row>
    <row r="1106" spans="1:11" ht="31.5" x14ac:dyDescent="0.25">
      <c r="A1106" s="364" t="s">
        <v>123</v>
      </c>
      <c r="B1106" s="455">
        <v>908</v>
      </c>
      <c r="C1106" s="402" t="s">
        <v>168</v>
      </c>
      <c r="D1106" s="402" t="s">
        <v>159</v>
      </c>
      <c r="E1106" s="402" t="s">
        <v>803</v>
      </c>
      <c r="F1106" s="402" t="s">
        <v>124</v>
      </c>
      <c r="G1106" s="318">
        <f>G1107</f>
        <v>375</v>
      </c>
      <c r="H1106" s="522"/>
      <c r="I1106" s="334"/>
      <c r="J1106" s="321"/>
      <c r="K1106" s="132"/>
    </row>
    <row r="1107" spans="1:11" ht="31.5" x14ac:dyDescent="0.25">
      <c r="A1107" s="364" t="s">
        <v>125</v>
      </c>
      <c r="B1107" s="455">
        <v>908</v>
      </c>
      <c r="C1107" s="402" t="s">
        <v>168</v>
      </c>
      <c r="D1107" s="402" t="s">
        <v>159</v>
      </c>
      <c r="E1107" s="402" t="s">
        <v>803</v>
      </c>
      <c r="F1107" s="402" t="s">
        <v>126</v>
      </c>
      <c r="G1107" s="318">
        <f>375</f>
        <v>375</v>
      </c>
      <c r="H1107" s="520"/>
      <c r="I1107" s="334"/>
      <c r="J1107" s="321"/>
      <c r="K1107" s="132"/>
    </row>
    <row r="1108" spans="1:11" s="132" customFormat="1" ht="15.75" hidden="1" x14ac:dyDescent="0.25">
      <c r="A1108" s="364" t="s">
        <v>127</v>
      </c>
      <c r="B1108" s="455">
        <v>908</v>
      </c>
      <c r="C1108" s="402" t="s">
        <v>168</v>
      </c>
      <c r="D1108" s="402" t="s">
        <v>159</v>
      </c>
      <c r="E1108" s="402" t="s">
        <v>803</v>
      </c>
      <c r="F1108" s="402" t="s">
        <v>134</v>
      </c>
      <c r="G1108" s="318">
        <f>G1109</f>
        <v>0</v>
      </c>
      <c r="H1108" s="522"/>
      <c r="I1108" s="334"/>
      <c r="J1108" s="321"/>
    </row>
    <row r="1109" spans="1:11" s="132" customFormat="1" ht="15.75" hidden="1" x14ac:dyDescent="0.25">
      <c r="A1109" s="364" t="s">
        <v>338</v>
      </c>
      <c r="B1109" s="455">
        <v>908</v>
      </c>
      <c r="C1109" s="402" t="s">
        <v>168</v>
      </c>
      <c r="D1109" s="402" t="s">
        <v>159</v>
      </c>
      <c r="E1109" s="402" t="s">
        <v>803</v>
      </c>
      <c r="F1109" s="402" t="s">
        <v>130</v>
      </c>
      <c r="G1109" s="318">
        <f>75-75</f>
        <v>0</v>
      </c>
      <c r="H1109" s="522"/>
      <c r="I1109" s="334"/>
      <c r="J1109" s="321"/>
    </row>
    <row r="1110" spans="1:11" ht="15.75" hidden="1" x14ac:dyDescent="0.25">
      <c r="A1110" s="31" t="s">
        <v>278</v>
      </c>
      <c r="B1110" s="455">
        <v>908</v>
      </c>
      <c r="C1110" s="402" t="s">
        <v>168</v>
      </c>
      <c r="D1110" s="402" t="s">
        <v>159</v>
      </c>
      <c r="E1110" s="402" t="s">
        <v>804</v>
      </c>
      <c r="F1110" s="402"/>
      <c r="G1110" s="318">
        <f>G1111</f>
        <v>0</v>
      </c>
      <c r="H1110" s="522"/>
      <c r="I1110" s="334"/>
      <c r="J1110" s="321"/>
      <c r="K1110" s="132"/>
    </row>
    <row r="1111" spans="1:11" ht="31.5" hidden="1" x14ac:dyDescent="0.25">
      <c r="A1111" s="364" t="s">
        <v>123</v>
      </c>
      <c r="B1111" s="455">
        <v>908</v>
      </c>
      <c r="C1111" s="402" t="s">
        <v>168</v>
      </c>
      <c r="D1111" s="402" t="s">
        <v>159</v>
      </c>
      <c r="E1111" s="402" t="s">
        <v>804</v>
      </c>
      <c r="F1111" s="402" t="s">
        <v>124</v>
      </c>
      <c r="G1111" s="318">
        <f>G1112</f>
        <v>0</v>
      </c>
      <c r="H1111" s="522"/>
      <c r="I1111" s="334"/>
      <c r="J1111" s="321"/>
      <c r="K1111" s="132"/>
    </row>
    <row r="1112" spans="1:11" ht="31.5" hidden="1" x14ac:dyDescent="0.25">
      <c r="A1112" s="364" t="s">
        <v>125</v>
      </c>
      <c r="B1112" s="455">
        <v>908</v>
      </c>
      <c r="C1112" s="402" t="s">
        <v>168</v>
      </c>
      <c r="D1112" s="402" t="s">
        <v>159</v>
      </c>
      <c r="E1112" s="402" t="s">
        <v>804</v>
      </c>
      <c r="F1112" s="402" t="s">
        <v>126</v>
      </c>
      <c r="G1112" s="318">
        <v>0</v>
      </c>
      <c r="H1112" s="522"/>
      <c r="I1112" s="334"/>
      <c r="J1112" s="321"/>
      <c r="K1112" s="132"/>
    </row>
    <row r="1113" spans="1:11" s="132" customFormat="1" ht="31.5" x14ac:dyDescent="0.25">
      <c r="A1113" s="517" t="s">
        <v>642</v>
      </c>
      <c r="B1113" s="455">
        <v>908</v>
      </c>
      <c r="C1113" s="402" t="s">
        <v>168</v>
      </c>
      <c r="D1113" s="402" t="s">
        <v>159</v>
      </c>
      <c r="E1113" s="402" t="s">
        <v>805</v>
      </c>
      <c r="F1113" s="402"/>
      <c r="G1113" s="318">
        <f>G1114</f>
        <v>50</v>
      </c>
      <c r="H1113" s="522"/>
      <c r="I1113" s="334"/>
      <c r="J1113" s="321"/>
    </row>
    <row r="1114" spans="1:11" s="132" customFormat="1" ht="31.5" x14ac:dyDescent="0.25">
      <c r="A1114" s="364" t="s">
        <v>123</v>
      </c>
      <c r="B1114" s="455">
        <v>908</v>
      </c>
      <c r="C1114" s="402" t="s">
        <v>168</v>
      </c>
      <c r="D1114" s="402" t="s">
        <v>159</v>
      </c>
      <c r="E1114" s="402" t="s">
        <v>805</v>
      </c>
      <c r="F1114" s="402" t="s">
        <v>124</v>
      </c>
      <c r="G1114" s="318">
        <f>G1115</f>
        <v>50</v>
      </c>
      <c r="H1114" s="522"/>
      <c r="I1114" s="334"/>
      <c r="J1114" s="321"/>
    </row>
    <row r="1115" spans="1:11" s="132" customFormat="1" ht="31.5" x14ac:dyDescent="0.25">
      <c r="A1115" s="364" t="s">
        <v>125</v>
      </c>
      <c r="B1115" s="455">
        <v>908</v>
      </c>
      <c r="C1115" s="402" t="s">
        <v>168</v>
      </c>
      <c r="D1115" s="402" t="s">
        <v>159</v>
      </c>
      <c r="E1115" s="402" t="s">
        <v>805</v>
      </c>
      <c r="F1115" s="402" t="s">
        <v>126</v>
      </c>
      <c r="G1115" s="318">
        <f>50</f>
        <v>50</v>
      </c>
      <c r="H1115" s="522"/>
      <c r="I1115" s="334"/>
      <c r="J1115" s="321"/>
    </row>
    <row r="1116" spans="1:11" s="132" customFormat="1" ht="31.5" x14ac:dyDescent="0.25">
      <c r="A1116" s="315" t="s">
        <v>464</v>
      </c>
      <c r="B1116" s="454">
        <v>908</v>
      </c>
      <c r="C1116" s="414" t="s">
        <v>168</v>
      </c>
      <c r="D1116" s="414" t="s">
        <v>159</v>
      </c>
      <c r="E1116" s="414" t="s">
        <v>812</v>
      </c>
      <c r="F1116" s="414"/>
      <c r="G1116" s="314">
        <f>G1117+G1120</f>
        <v>2145.8000000000002</v>
      </c>
      <c r="H1116" s="522"/>
      <c r="I1116" s="334"/>
      <c r="J1116" s="321"/>
    </row>
    <row r="1117" spans="1:11" s="132" customFormat="1" ht="31.5" hidden="1" x14ac:dyDescent="0.25">
      <c r="A1117" s="364" t="s">
        <v>332</v>
      </c>
      <c r="B1117" s="455">
        <v>908</v>
      </c>
      <c r="C1117" s="402" t="s">
        <v>168</v>
      </c>
      <c r="D1117" s="402" t="s">
        <v>159</v>
      </c>
      <c r="E1117" s="402" t="s">
        <v>834</v>
      </c>
      <c r="F1117" s="402"/>
      <c r="G1117" s="318">
        <f>G1118</f>
        <v>0</v>
      </c>
      <c r="H1117" s="522"/>
      <c r="I1117" s="334"/>
      <c r="J1117" s="321"/>
    </row>
    <row r="1118" spans="1:11" s="132" customFormat="1" ht="31.5" hidden="1" x14ac:dyDescent="0.25">
      <c r="A1118" s="364" t="s">
        <v>123</v>
      </c>
      <c r="B1118" s="455">
        <v>908</v>
      </c>
      <c r="C1118" s="402" t="s">
        <v>168</v>
      </c>
      <c r="D1118" s="402" t="s">
        <v>159</v>
      </c>
      <c r="E1118" s="402" t="s">
        <v>834</v>
      </c>
      <c r="F1118" s="402" t="s">
        <v>124</v>
      </c>
      <c r="G1118" s="318">
        <f>G1119</f>
        <v>0</v>
      </c>
      <c r="H1118" s="522"/>
      <c r="I1118" s="334"/>
      <c r="J1118" s="321"/>
    </row>
    <row r="1119" spans="1:11" s="132" customFormat="1" ht="31.5" hidden="1" x14ac:dyDescent="0.25">
      <c r="A1119" s="364" t="s">
        <v>125</v>
      </c>
      <c r="B1119" s="455">
        <v>908</v>
      </c>
      <c r="C1119" s="402" t="s">
        <v>168</v>
      </c>
      <c r="D1119" s="402" t="s">
        <v>159</v>
      </c>
      <c r="E1119" s="402" t="s">
        <v>834</v>
      </c>
      <c r="F1119" s="402" t="s">
        <v>126</v>
      </c>
      <c r="G1119" s="318">
        <v>0</v>
      </c>
      <c r="H1119" s="522"/>
      <c r="I1119" s="334"/>
      <c r="J1119" s="321"/>
    </row>
    <row r="1120" spans="1:11" s="132" customFormat="1" ht="47.25" x14ac:dyDescent="0.25">
      <c r="A1120" s="364" t="s">
        <v>627</v>
      </c>
      <c r="B1120" s="455">
        <v>908</v>
      </c>
      <c r="C1120" s="402" t="s">
        <v>168</v>
      </c>
      <c r="D1120" s="402" t="s">
        <v>159</v>
      </c>
      <c r="E1120" s="402" t="s">
        <v>811</v>
      </c>
      <c r="F1120" s="402"/>
      <c r="G1120" s="318">
        <f>G1121</f>
        <v>2145.8000000000002</v>
      </c>
      <c r="H1120" s="522"/>
      <c r="I1120" s="334"/>
      <c r="J1120" s="321"/>
    </row>
    <row r="1121" spans="1:11" s="132" customFormat="1" ht="31.5" x14ac:dyDescent="0.25">
      <c r="A1121" s="364" t="s">
        <v>123</v>
      </c>
      <c r="B1121" s="455">
        <v>908</v>
      </c>
      <c r="C1121" s="402" t="s">
        <v>168</v>
      </c>
      <c r="D1121" s="402" t="s">
        <v>159</v>
      </c>
      <c r="E1121" s="402" t="s">
        <v>811</v>
      </c>
      <c r="F1121" s="402" t="s">
        <v>124</v>
      </c>
      <c r="G1121" s="318">
        <f>G1122</f>
        <v>2145.8000000000002</v>
      </c>
      <c r="H1121" s="522"/>
      <c r="I1121" s="334"/>
      <c r="J1121" s="321"/>
    </row>
    <row r="1122" spans="1:11" s="132" customFormat="1" ht="31.5" x14ac:dyDescent="0.25">
      <c r="A1122" s="364" t="s">
        <v>125</v>
      </c>
      <c r="B1122" s="455">
        <v>908</v>
      </c>
      <c r="C1122" s="402" t="s">
        <v>168</v>
      </c>
      <c r="D1122" s="402" t="s">
        <v>159</v>
      </c>
      <c r="E1122" s="402" t="s">
        <v>811</v>
      </c>
      <c r="F1122" s="402" t="s">
        <v>126</v>
      </c>
      <c r="G1122" s="318">
        <v>2145.8000000000002</v>
      </c>
      <c r="H1122" s="522"/>
      <c r="I1122" s="334"/>
      <c r="J1122" s="321"/>
    </row>
    <row r="1123" spans="1:11" s="132" customFormat="1" ht="31.5" hidden="1" x14ac:dyDescent="0.25">
      <c r="A1123" s="26" t="s">
        <v>1044</v>
      </c>
      <c r="B1123" s="454">
        <v>908</v>
      </c>
      <c r="C1123" s="414" t="s">
        <v>168</v>
      </c>
      <c r="D1123" s="414" t="s">
        <v>159</v>
      </c>
      <c r="E1123" s="414" t="s">
        <v>1045</v>
      </c>
      <c r="F1123" s="414"/>
      <c r="G1123" s="314">
        <f t="shared" ref="G1123:G1125" si="89">G1124</f>
        <v>0</v>
      </c>
      <c r="H1123" s="522"/>
      <c r="I1123" s="334"/>
      <c r="J1123" s="321"/>
    </row>
    <row r="1124" spans="1:11" s="132" customFormat="1" ht="15.75" hidden="1" x14ac:dyDescent="0.25">
      <c r="A1124" s="24" t="s">
        <v>1043</v>
      </c>
      <c r="B1124" s="455">
        <v>908</v>
      </c>
      <c r="C1124" s="402" t="s">
        <v>168</v>
      </c>
      <c r="D1124" s="402" t="s">
        <v>159</v>
      </c>
      <c r="E1124" s="402" t="s">
        <v>1046</v>
      </c>
      <c r="F1124" s="402"/>
      <c r="G1124" s="318">
        <f t="shared" si="89"/>
        <v>0</v>
      </c>
      <c r="H1124" s="522"/>
      <c r="I1124" s="334"/>
      <c r="J1124" s="321"/>
    </row>
    <row r="1125" spans="1:11" s="132" customFormat="1" ht="31.5" hidden="1" x14ac:dyDescent="0.25">
      <c r="A1125" s="364" t="s">
        <v>123</v>
      </c>
      <c r="B1125" s="455">
        <v>908</v>
      </c>
      <c r="C1125" s="402" t="s">
        <v>168</v>
      </c>
      <c r="D1125" s="402" t="s">
        <v>159</v>
      </c>
      <c r="E1125" s="402" t="s">
        <v>1046</v>
      </c>
      <c r="F1125" s="402" t="s">
        <v>124</v>
      </c>
      <c r="G1125" s="318">
        <f t="shared" si="89"/>
        <v>0</v>
      </c>
      <c r="H1125" s="522"/>
      <c r="I1125" s="334"/>
      <c r="J1125" s="321"/>
    </row>
    <row r="1126" spans="1:11" s="132" customFormat="1" ht="31.5" hidden="1" x14ac:dyDescent="0.25">
      <c r="A1126" s="364" t="s">
        <v>125</v>
      </c>
      <c r="B1126" s="455">
        <v>908</v>
      </c>
      <c r="C1126" s="402" t="s">
        <v>168</v>
      </c>
      <c r="D1126" s="402" t="s">
        <v>159</v>
      </c>
      <c r="E1126" s="402" t="s">
        <v>1046</v>
      </c>
      <c r="F1126" s="402" t="s">
        <v>126</v>
      </c>
      <c r="G1126" s="318"/>
      <c r="H1126" s="538"/>
      <c r="I1126" s="343"/>
      <c r="J1126" s="321"/>
    </row>
    <row r="1127" spans="1:11" s="132" customFormat="1" ht="31.5" x14ac:dyDescent="0.25">
      <c r="A1127" s="26" t="s">
        <v>1070</v>
      </c>
      <c r="B1127" s="454">
        <v>908</v>
      </c>
      <c r="C1127" s="414" t="s">
        <v>168</v>
      </c>
      <c r="D1127" s="414" t="s">
        <v>159</v>
      </c>
      <c r="E1127" s="414" t="s">
        <v>1069</v>
      </c>
      <c r="F1127" s="414"/>
      <c r="G1127" s="314">
        <f t="shared" ref="G1127:G1129" si="90">G1128</f>
        <v>4487.6399999999994</v>
      </c>
      <c r="H1127" s="520"/>
      <c r="I1127" s="348"/>
      <c r="J1127" s="321"/>
    </row>
    <row r="1128" spans="1:11" s="132" customFormat="1" ht="15.75" x14ac:dyDescent="0.25">
      <c r="A1128" s="24" t="s">
        <v>1128</v>
      </c>
      <c r="B1128" s="455">
        <v>908</v>
      </c>
      <c r="C1128" s="402" t="s">
        <v>168</v>
      </c>
      <c r="D1128" s="402" t="s">
        <v>159</v>
      </c>
      <c r="E1128" s="402" t="s">
        <v>1078</v>
      </c>
      <c r="F1128" s="402"/>
      <c r="G1128" s="318">
        <f t="shared" si="90"/>
        <v>4487.6399999999994</v>
      </c>
      <c r="H1128" s="520"/>
      <c r="I1128" s="348"/>
      <c r="J1128" s="321"/>
    </row>
    <row r="1129" spans="1:11" s="132" customFormat="1" ht="31.5" x14ac:dyDescent="0.25">
      <c r="A1129" s="364" t="s">
        <v>123</v>
      </c>
      <c r="B1129" s="455">
        <v>908</v>
      </c>
      <c r="C1129" s="402" t="s">
        <v>168</v>
      </c>
      <c r="D1129" s="402" t="s">
        <v>159</v>
      </c>
      <c r="E1129" s="402" t="s">
        <v>1078</v>
      </c>
      <c r="F1129" s="402" t="s">
        <v>124</v>
      </c>
      <c r="G1129" s="318">
        <f t="shared" si="90"/>
        <v>4487.6399999999994</v>
      </c>
      <c r="H1129" s="520"/>
      <c r="I1129" s="348"/>
      <c r="J1129" s="321"/>
    </row>
    <row r="1130" spans="1:11" s="132" customFormat="1" ht="31.5" x14ac:dyDescent="0.25">
      <c r="A1130" s="364" t="s">
        <v>125</v>
      </c>
      <c r="B1130" s="455">
        <v>908</v>
      </c>
      <c r="C1130" s="402" t="s">
        <v>168</v>
      </c>
      <c r="D1130" s="402" t="s">
        <v>159</v>
      </c>
      <c r="E1130" s="402" t="s">
        <v>1078</v>
      </c>
      <c r="F1130" s="402" t="s">
        <v>126</v>
      </c>
      <c r="G1130" s="318">
        <f>4173.5+178.4+135.74</f>
        <v>4487.6399999999994</v>
      </c>
      <c r="H1130" s="520" t="s">
        <v>1210</v>
      </c>
      <c r="I1130" s="348"/>
      <c r="J1130" s="321"/>
    </row>
    <row r="1131" spans="1:11" ht="51" customHeight="1" x14ac:dyDescent="0.25">
      <c r="A1131" s="315" t="s">
        <v>1002</v>
      </c>
      <c r="B1131" s="454">
        <v>908</v>
      </c>
      <c r="C1131" s="414" t="s">
        <v>168</v>
      </c>
      <c r="D1131" s="414" t="s">
        <v>159</v>
      </c>
      <c r="E1131" s="414" t="s">
        <v>341</v>
      </c>
      <c r="F1131" s="414"/>
      <c r="G1131" s="314">
        <f>G1132+G1136</f>
        <v>26090</v>
      </c>
      <c r="H1131" s="539"/>
      <c r="I1131" s="334"/>
      <c r="J1131" s="321"/>
      <c r="K1131" s="132"/>
    </row>
    <row r="1132" spans="1:11" s="132" customFormat="1" ht="34.5" customHeight="1" x14ac:dyDescent="0.25">
      <c r="A1132" s="315" t="s">
        <v>623</v>
      </c>
      <c r="B1132" s="454">
        <v>908</v>
      </c>
      <c r="C1132" s="414" t="s">
        <v>168</v>
      </c>
      <c r="D1132" s="414" t="s">
        <v>159</v>
      </c>
      <c r="E1132" s="414" t="s">
        <v>641</v>
      </c>
      <c r="F1132" s="414"/>
      <c r="G1132" s="314">
        <f t="shared" ref="G1132:G1134" si="91">G1133</f>
        <v>26090</v>
      </c>
      <c r="H1132" s="522"/>
      <c r="I1132" s="334"/>
      <c r="J1132" s="321"/>
    </row>
    <row r="1133" spans="1:11" ht="48.75" customHeight="1" x14ac:dyDescent="0.25">
      <c r="A1133" s="52" t="s">
        <v>333</v>
      </c>
      <c r="B1133" s="455">
        <v>908</v>
      </c>
      <c r="C1133" s="402" t="s">
        <v>168</v>
      </c>
      <c r="D1133" s="402" t="s">
        <v>159</v>
      </c>
      <c r="E1133" s="402" t="s">
        <v>412</v>
      </c>
      <c r="F1133" s="402"/>
      <c r="G1133" s="318">
        <f t="shared" si="91"/>
        <v>26090</v>
      </c>
      <c r="H1133" s="522"/>
      <c r="I1133" s="334"/>
      <c r="J1133" s="321"/>
      <c r="K1133" s="132"/>
    </row>
    <row r="1134" spans="1:11" ht="31.5" x14ac:dyDescent="0.25">
      <c r="A1134" s="364" t="s">
        <v>123</v>
      </c>
      <c r="B1134" s="455">
        <v>908</v>
      </c>
      <c r="C1134" s="402" t="s">
        <v>168</v>
      </c>
      <c r="D1134" s="402" t="s">
        <v>159</v>
      </c>
      <c r="E1134" s="402" t="s">
        <v>412</v>
      </c>
      <c r="F1134" s="402" t="s">
        <v>124</v>
      </c>
      <c r="G1134" s="318">
        <f t="shared" si="91"/>
        <v>26090</v>
      </c>
      <c r="H1134" s="522"/>
      <c r="I1134" s="334"/>
      <c r="J1134" s="321"/>
      <c r="K1134" s="132"/>
    </row>
    <row r="1135" spans="1:11" ht="31.5" x14ac:dyDescent="0.25">
      <c r="A1135" s="364" t="s">
        <v>125</v>
      </c>
      <c r="B1135" s="455">
        <v>908</v>
      </c>
      <c r="C1135" s="402" t="s">
        <v>168</v>
      </c>
      <c r="D1135" s="402" t="s">
        <v>159</v>
      </c>
      <c r="E1135" s="402" t="s">
        <v>412</v>
      </c>
      <c r="F1135" s="402" t="s">
        <v>126</v>
      </c>
      <c r="G1135" s="318">
        <f>500+25590</f>
        <v>26090</v>
      </c>
      <c r="H1135" s="522" t="s">
        <v>1282</v>
      </c>
      <c r="I1135" s="334"/>
      <c r="J1135" s="321"/>
      <c r="K1135" s="132"/>
    </row>
    <row r="1136" spans="1:11" s="132" customFormat="1" ht="98.25" hidden="1" customHeight="1" x14ac:dyDescent="0.25">
      <c r="A1136" s="315" t="s">
        <v>1073</v>
      </c>
      <c r="B1136" s="454">
        <v>908</v>
      </c>
      <c r="C1136" s="414" t="s">
        <v>168</v>
      </c>
      <c r="D1136" s="414" t="s">
        <v>159</v>
      </c>
      <c r="E1136" s="414" t="s">
        <v>1074</v>
      </c>
      <c r="F1136" s="414"/>
      <c r="G1136" s="314">
        <f t="shared" ref="G1136:G1138" si="92">G1137</f>
        <v>0</v>
      </c>
      <c r="H1136" s="522"/>
      <c r="I1136" s="334"/>
      <c r="J1136" s="321"/>
    </row>
    <row r="1137" spans="1:11" s="132" customFormat="1" ht="76.150000000000006" hidden="1" customHeight="1" x14ac:dyDescent="0.25">
      <c r="A1137" s="52" t="s">
        <v>1096</v>
      </c>
      <c r="B1137" s="455">
        <v>908</v>
      </c>
      <c r="C1137" s="402" t="s">
        <v>168</v>
      </c>
      <c r="D1137" s="402" t="s">
        <v>159</v>
      </c>
      <c r="E1137" s="402" t="s">
        <v>1075</v>
      </c>
      <c r="F1137" s="402"/>
      <c r="G1137" s="318">
        <f t="shared" si="92"/>
        <v>0</v>
      </c>
      <c r="H1137" s="522"/>
      <c r="I1137" s="334"/>
      <c r="J1137" s="321"/>
    </row>
    <row r="1138" spans="1:11" s="132" customFormat="1" ht="31.15" hidden="1" customHeight="1" x14ac:dyDescent="0.25">
      <c r="A1138" s="364" t="s">
        <v>123</v>
      </c>
      <c r="B1138" s="455">
        <v>908</v>
      </c>
      <c r="C1138" s="402" t="s">
        <v>168</v>
      </c>
      <c r="D1138" s="402" t="s">
        <v>159</v>
      </c>
      <c r="E1138" s="402" t="s">
        <v>1075</v>
      </c>
      <c r="F1138" s="402" t="s">
        <v>124</v>
      </c>
      <c r="G1138" s="318">
        <f t="shared" si="92"/>
        <v>0</v>
      </c>
      <c r="H1138" s="522"/>
      <c r="I1138" s="334"/>
      <c r="J1138" s="321"/>
    </row>
    <row r="1139" spans="1:11" s="132" customFormat="1" ht="31.15" hidden="1" customHeight="1" x14ac:dyDescent="0.25">
      <c r="A1139" s="364" t="s">
        <v>125</v>
      </c>
      <c r="B1139" s="455">
        <v>908</v>
      </c>
      <c r="C1139" s="402" t="s">
        <v>168</v>
      </c>
      <c r="D1139" s="402" t="s">
        <v>159</v>
      </c>
      <c r="E1139" s="402" t="s">
        <v>1075</v>
      </c>
      <c r="F1139" s="402" t="s">
        <v>126</v>
      </c>
      <c r="G1139" s="318"/>
      <c r="H1139" s="522"/>
      <c r="I1139" s="334"/>
      <c r="J1139" s="321"/>
    </row>
    <row r="1140" spans="1:11" ht="31.5" x14ac:dyDescent="0.25">
      <c r="A1140" s="315" t="s">
        <v>281</v>
      </c>
      <c r="B1140" s="454">
        <v>908</v>
      </c>
      <c r="C1140" s="414" t="s">
        <v>168</v>
      </c>
      <c r="D1140" s="414" t="s">
        <v>168</v>
      </c>
      <c r="E1140" s="414"/>
      <c r="F1140" s="414"/>
      <c r="G1140" s="314">
        <f>G1141+G1156+G1181</f>
        <v>29527.15</v>
      </c>
      <c r="H1140" s="522"/>
      <c r="I1140" s="334"/>
      <c r="J1140" s="321"/>
      <c r="K1140" s="132"/>
    </row>
    <row r="1141" spans="1:11" ht="31.5" x14ac:dyDescent="0.25">
      <c r="A1141" s="315" t="s">
        <v>488</v>
      </c>
      <c r="B1141" s="454">
        <v>908</v>
      </c>
      <c r="C1141" s="414" t="s">
        <v>168</v>
      </c>
      <c r="D1141" s="414" t="s">
        <v>168</v>
      </c>
      <c r="E1141" s="414" t="s">
        <v>434</v>
      </c>
      <c r="F1141" s="414"/>
      <c r="G1141" s="314">
        <f>G1142</f>
        <v>15821.05</v>
      </c>
      <c r="H1141" s="522"/>
      <c r="I1141" s="334"/>
      <c r="J1141" s="321"/>
      <c r="K1141" s="132"/>
    </row>
    <row r="1142" spans="1:11" ht="15.75" x14ac:dyDescent="0.25">
      <c r="A1142" s="315" t="s">
        <v>489</v>
      </c>
      <c r="B1142" s="454">
        <v>908</v>
      </c>
      <c r="C1142" s="414" t="s">
        <v>168</v>
      </c>
      <c r="D1142" s="414" t="s">
        <v>168</v>
      </c>
      <c r="E1142" s="414" t="s">
        <v>435</v>
      </c>
      <c r="F1142" s="414"/>
      <c r="G1142" s="314">
        <f>G1143+G1153+G1150</f>
        <v>15821.05</v>
      </c>
      <c r="H1142" s="522"/>
      <c r="I1142" s="334"/>
      <c r="J1142" s="321"/>
      <c r="K1142" s="132"/>
    </row>
    <row r="1143" spans="1:11" ht="31.9" customHeight="1" x14ac:dyDescent="0.25">
      <c r="A1143" s="364" t="s">
        <v>468</v>
      </c>
      <c r="B1143" s="455">
        <v>908</v>
      </c>
      <c r="C1143" s="402" t="s">
        <v>168</v>
      </c>
      <c r="D1143" s="402" t="s">
        <v>168</v>
      </c>
      <c r="E1143" s="402" t="s">
        <v>436</v>
      </c>
      <c r="F1143" s="402"/>
      <c r="G1143" s="318">
        <f>G1144+G1148+G1146</f>
        <v>13881.75</v>
      </c>
      <c r="H1143" s="522"/>
      <c r="I1143" s="334"/>
      <c r="J1143" s="321"/>
      <c r="K1143" s="132"/>
    </row>
    <row r="1144" spans="1:11" ht="60.75" customHeight="1" x14ac:dyDescent="0.25">
      <c r="A1144" s="364" t="s">
        <v>119</v>
      </c>
      <c r="B1144" s="455">
        <v>908</v>
      </c>
      <c r="C1144" s="402" t="s">
        <v>168</v>
      </c>
      <c r="D1144" s="402" t="s">
        <v>168</v>
      </c>
      <c r="E1144" s="402" t="s">
        <v>436</v>
      </c>
      <c r="F1144" s="402" t="s">
        <v>120</v>
      </c>
      <c r="G1144" s="318">
        <f>G1145</f>
        <v>13856.75</v>
      </c>
      <c r="H1144" s="522"/>
      <c r="I1144" s="334"/>
      <c r="J1144" s="321"/>
      <c r="K1144" s="132"/>
    </row>
    <row r="1145" spans="1:11" ht="31.5" x14ac:dyDescent="0.25">
      <c r="A1145" s="364" t="s">
        <v>121</v>
      </c>
      <c r="B1145" s="455">
        <v>908</v>
      </c>
      <c r="C1145" s="402" t="s">
        <v>168</v>
      </c>
      <c r="D1145" s="402" t="s">
        <v>168</v>
      </c>
      <c r="E1145" s="402" t="s">
        <v>436</v>
      </c>
      <c r="F1145" s="402" t="s">
        <v>122</v>
      </c>
      <c r="G1145" s="20">
        <f>13811.15+45.6</f>
        <v>13856.75</v>
      </c>
      <c r="H1145" s="520" t="s">
        <v>1276</v>
      </c>
      <c r="I1145" s="334" t="s">
        <v>1277</v>
      </c>
      <c r="J1145" s="321"/>
      <c r="K1145" s="132"/>
    </row>
    <row r="1146" spans="1:11" ht="31.5" x14ac:dyDescent="0.25">
      <c r="A1146" s="364" t="s">
        <v>123</v>
      </c>
      <c r="B1146" s="455">
        <v>908</v>
      </c>
      <c r="C1146" s="402" t="s">
        <v>168</v>
      </c>
      <c r="D1146" s="402" t="s">
        <v>168</v>
      </c>
      <c r="E1146" s="402" t="s">
        <v>436</v>
      </c>
      <c r="F1146" s="402" t="s">
        <v>124</v>
      </c>
      <c r="G1146" s="318">
        <f>G1147</f>
        <v>25</v>
      </c>
      <c r="H1146" s="522"/>
      <c r="I1146" s="334"/>
      <c r="J1146" s="321"/>
      <c r="K1146" s="132"/>
    </row>
    <row r="1147" spans="1:11" ht="36.75" customHeight="1" x14ac:dyDescent="0.25">
      <c r="A1147" s="364" t="s">
        <v>125</v>
      </c>
      <c r="B1147" s="455">
        <v>908</v>
      </c>
      <c r="C1147" s="402" t="s">
        <v>168</v>
      </c>
      <c r="D1147" s="402" t="s">
        <v>168</v>
      </c>
      <c r="E1147" s="402" t="s">
        <v>436</v>
      </c>
      <c r="F1147" s="402" t="s">
        <v>126</v>
      </c>
      <c r="G1147" s="20">
        <v>25</v>
      </c>
      <c r="H1147" s="522"/>
      <c r="I1147" s="334"/>
      <c r="J1147" s="321"/>
      <c r="K1147" s="132"/>
    </row>
    <row r="1148" spans="1:11" ht="15.75" hidden="1" x14ac:dyDescent="0.25">
      <c r="A1148" s="364" t="s">
        <v>127</v>
      </c>
      <c r="B1148" s="455">
        <v>908</v>
      </c>
      <c r="C1148" s="402" t="s">
        <v>168</v>
      </c>
      <c r="D1148" s="402" t="s">
        <v>168</v>
      </c>
      <c r="E1148" s="402" t="s">
        <v>436</v>
      </c>
      <c r="F1148" s="402" t="s">
        <v>134</v>
      </c>
      <c r="G1148" s="318">
        <f>G1149</f>
        <v>0</v>
      </c>
      <c r="H1148" s="522"/>
      <c r="I1148" s="334"/>
      <c r="J1148" s="321"/>
      <c r="K1148" s="132"/>
    </row>
    <row r="1149" spans="1:11" ht="15.75" hidden="1" x14ac:dyDescent="0.25">
      <c r="A1149" s="364" t="s">
        <v>280</v>
      </c>
      <c r="B1149" s="455">
        <v>908</v>
      </c>
      <c r="C1149" s="402" t="s">
        <v>168</v>
      </c>
      <c r="D1149" s="402" t="s">
        <v>168</v>
      </c>
      <c r="E1149" s="402" t="s">
        <v>436</v>
      </c>
      <c r="F1149" s="402" t="s">
        <v>130</v>
      </c>
      <c r="G1149" s="318"/>
      <c r="H1149" s="522"/>
      <c r="I1149" s="334"/>
      <c r="J1149" s="321"/>
      <c r="K1149" s="132"/>
    </row>
    <row r="1150" spans="1:11" s="132" customFormat="1" ht="31.5" x14ac:dyDescent="0.25">
      <c r="A1150" s="364" t="s">
        <v>417</v>
      </c>
      <c r="B1150" s="455">
        <v>908</v>
      </c>
      <c r="C1150" s="402" t="s">
        <v>168</v>
      </c>
      <c r="D1150" s="402" t="s">
        <v>168</v>
      </c>
      <c r="E1150" s="402" t="s">
        <v>437</v>
      </c>
      <c r="F1150" s="402"/>
      <c r="G1150" s="318">
        <f>G1151</f>
        <v>1231.3</v>
      </c>
      <c r="H1150" s="522"/>
      <c r="I1150" s="334"/>
      <c r="J1150" s="321"/>
    </row>
    <row r="1151" spans="1:11" s="132" customFormat="1" ht="63" x14ac:dyDescent="0.25">
      <c r="A1151" s="364" t="s">
        <v>119</v>
      </c>
      <c r="B1151" s="455">
        <v>908</v>
      </c>
      <c r="C1151" s="402" t="s">
        <v>168</v>
      </c>
      <c r="D1151" s="402" t="s">
        <v>168</v>
      </c>
      <c r="E1151" s="402" t="s">
        <v>437</v>
      </c>
      <c r="F1151" s="402" t="s">
        <v>120</v>
      </c>
      <c r="G1151" s="318">
        <f>G1152</f>
        <v>1231.3</v>
      </c>
      <c r="H1151" s="522"/>
      <c r="I1151" s="334"/>
      <c r="J1151" s="321"/>
    </row>
    <row r="1152" spans="1:11" s="132" customFormat="1" ht="31.5" x14ac:dyDescent="0.25">
      <c r="A1152" s="364" t="s">
        <v>121</v>
      </c>
      <c r="B1152" s="455">
        <v>908</v>
      </c>
      <c r="C1152" s="402" t="s">
        <v>168</v>
      </c>
      <c r="D1152" s="402" t="s">
        <v>168</v>
      </c>
      <c r="E1152" s="402" t="s">
        <v>437</v>
      </c>
      <c r="F1152" s="402" t="s">
        <v>122</v>
      </c>
      <c r="G1152" s="318">
        <v>1231.3</v>
      </c>
      <c r="H1152" s="522"/>
      <c r="I1152" s="334"/>
      <c r="J1152" s="321"/>
    </row>
    <row r="1153" spans="1:11" s="132" customFormat="1" ht="31.5" x14ac:dyDescent="0.25">
      <c r="A1153" s="364" t="s">
        <v>416</v>
      </c>
      <c r="B1153" s="455">
        <v>908</v>
      </c>
      <c r="C1153" s="402" t="s">
        <v>168</v>
      </c>
      <c r="D1153" s="402" t="s">
        <v>168</v>
      </c>
      <c r="E1153" s="402" t="s">
        <v>438</v>
      </c>
      <c r="F1153" s="402"/>
      <c r="G1153" s="318">
        <f>G1154</f>
        <v>708</v>
      </c>
      <c r="H1153" s="522"/>
      <c r="I1153" s="334"/>
      <c r="J1153" s="321"/>
    </row>
    <row r="1154" spans="1:11" s="132" customFormat="1" ht="63" x14ac:dyDescent="0.25">
      <c r="A1154" s="364" t="s">
        <v>119</v>
      </c>
      <c r="B1154" s="455">
        <v>908</v>
      </c>
      <c r="C1154" s="402" t="s">
        <v>168</v>
      </c>
      <c r="D1154" s="402" t="s">
        <v>168</v>
      </c>
      <c r="E1154" s="402" t="s">
        <v>438</v>
      </c>
      <c r="F1154" s="402" t="s">
        <v>120</v>
      </c>
      <c r="G1154" s="318">
        <f>G1155</f>
        <v>708</v>
      </c>
      <c r="H1154" s="522"/>
      <c r="I1154" s="334"/>
      <c r="J1154" s="321"/>
    </row>
    <row r="1155" spans="1:11" s="132" customFormat="1" ht="31.5" x14ac:dyDescent="0.25">
      <c r="A1155" s="364" t="s">
        <v>121</v>
      </c>
      <c r="B1155" s="455">
        <v>908</v>
      </c>
      <c r="C1155" s="402" t="s">
        <v>168</v>
      </c>
      <c r="D1155" s="402" t="s">
        <v>168</v>
      </c>
      <c r="E1155" s="402" t="s">
        <v>438</v>
      </c>
      <c r="F1155" s="402" t="s">
        <v>122</v>
      </c>
      <c r="G1155" s="318">
        <f>368+340</f>
        <v>708</v>
      </c>
      <c r="H1155" s="522"/>
      <c r="I1155" s="334"/>
      <c r="J1155" s="321"/>
    </row>
    <row r="1156" spans="1:11" ht="15.75" x14ac:dyDescent="0.25">
      <c r="A1156" s="315" t="s">
        <v>133</v>
      </c>
      <c r="B1156" s="454">
        <v>908</v>
      </c>
      <c r="C1156" s="414" t="s">
        <v>168</v>
      </c>
      <c r="D1156" s="414" t="s">
        <v>168</v>
      </c>
      <c r="E1156" s="414" t="s">
        <v>442</v>
      </c>
      <c r="F1156" s="414"/>
      <c r="G1156" s="314">
        <f>G1157+G1168</f>
        <v>13706.1</v>
      </c>
      <c r="H1156" s="522"/>
      <c r="I1156" s="334"/>
      <c r="J1156" s="321"/>
      <c r="K1156" s="132"/>
    </row>
    <row r="1157" spans="1:11" s="363" customFormat="1" ht="15.75" x14ac:dyDescent="0.25">
      <c r="A1157" s="315" t="s">
        <v>519</v>
      </c>
      <c r="B1157" s="454">
        <v>908</v>
      </c>
      <c r="C1157" s="414" t="s">
        <v>168</v>
      </c>
      <c r="D1157" s="414" t="s">
        <v>168</v>
      </c>
      <c r="E1157" s="414" t="s">
        <v>518</v>
      </c>
      <c r="F1157" s="414"/>
      <c r="G1157" s="30">
        <f>G1158+G1161</f>
        <v>12724.1</v>
      </c>
      <c r="H1157" s="522"/>
      <c r="I1157" s="334"/>
      <c r="J1157" s="321"/>
    </row>
    <row r="1158" spans="1:11" s="363" customFormat="1" ht="31.5" x14ac:dyDescent="0.25">
      <c r="A1158" s="364" t="s">
        <v>416</v>
      </c>
      <c r="B1158" s="455">
        <v>908</v>
      </c>
      <c r="C1158" s="402" t="s">
        <v>168</v>
      </c>
      <c r="D1158" s="402" t="s">
        <v>168</v>
      </c>
      <c r="E1158" s="402" t="s">
        <v>521</v>
      </c>
      <c r="F1158" s="402"/>
      <c r="G1158" s="318">
        <f>G1159</f>
        <v>498</v>
      </c>
      <c r="H1158" s="522"/>
      <c r="I1158" s="334"/>
      <c r="J1158" s="321"/>
    </row>
    <row r="1159" spans="1:11" s="363" customFormat="1" ht="63" x14ac:dyDescent="0.25">
      <c r="A1159" s="364" t="s">
        <v>119</v>
      </c>
      <c r="B1159" s="455">
        <v>908</v>
      </c>
      <c r="C1159" s="402" t="s">
        <v>168</v>
      </c>
      <c r="D1159" s="402" t="s">
        <v>168</v>
      </c>
      <c r="E1159" s="402" t="s">
        <v>521</v>
      </c>
      <c r="F1159" s="402" t="s">
        <v>120</v>
      </c>
      <c r="G1159" s="318">
        <f>G1160</f>
        <v>498</v>
      </c>
      <c r="H1159" s="522"/>
      <c r="I1159" s="334"/>
      <c r="J1159" s="321"/>
    </row>
    <row r="1160" spans="1:11" s="363" customFormat="1" ht="15.75" x14ac:dyDescent="0.25">
      <c r="A1160" s="364" t="s">
        <v>212</v>
      </c>
      <c r="B1160" s="455">
        <v>908</v>
      </c>
      <c r="C1160" s="402" t="s">
        <v>168</v>
      </c>
      <c r="D1160" s="402" t="s">
        <v>168</v>
      </c>
      <c r="E1160" s="402" t="s">
        <v>521</v>
      </c>
      <c r="F1160" s="402" t="s">
        <v>156</v>
      </c>
      <c r="G1160" s="318">
        <v>498</v>
      </c>
      <c r="H1160" s="522"/>
      <c r="I1160" s="334"/>
      <c r="J1160" s="321"/>
    </row>
    <row r="1161" spans="1:11" s="363" customFormat="1" ht="15.75" x14ac:dyDescent="0.25">
      <c r="A1161" s="364" t="s">
        <v>379</v>
      </c>
      <c r="B1161" s="455">
        <v>908</v>
      </c>
      <c r="C1161" s="402" t="s">
        <v>168</v>
      </c>
      <c r="D1161" s="402" t="s">
        <v>168</v>
      </c>
      <c r="E1161" s="402" t="s">
        <v>520</v>
      </c>
      <c r="F1161" s="402"/>
      <c r="G1161" s="318">
        <f>G1163+G1165+G1166</f>
        <v>12226.1</v>
      </c>
      <c r="H1161" s="522"/>
      <c r="I1161" s="334"/>
      <c r="J1161" s="321"/>
    </row>
    <row r="1162" spans="1:11" s="363" customFormat="1" ht="63" x14ac:dyDescent="0.25">
      <c r="A1162" s="364" t="s">
        <v>119</v>
      </c>
      <c r="B1162" s="455">
        <v>908</v>
      </c>
      <c r="C1162" s="402" t="s">
        <v>168</v>
      </c>
      <c r="D1162" s="402" t="s">
        <v>168</v>
      </c>
      <c r="E1162" s="402" t="s">
        <v>520</v>
      </c>
      <c r="F1162" s="402" t="s">
        <v>120</v>
      </c>
      <c r="G1162" s="318">
        <f>G1163</f>
        <v>10288</v>
      </c>
      <c r="H1162" s="522"/>
      <c r="I1162" s="334"/>
      <c r="J1162" s="321"/>
    </row>
    <row r="1163" spans="1:11" s="363" customFormat="1" ht="15.75" x14ac:dyDescent="0.25">
      <c r="A1163" s="364" t="s">
        <v>212</v>
      </c>
      <c r="B1163" s="455">
        <v>908</v>
      </c>
      <c r="C1163" s="402" t="s">
        <v>168</v>
      </c>
      <c r="D1163" s="402" t="s">
        <v>168</v>
      </c>
      <c r="E1163" s="402" t="s">
        <v>520</v>
      </c>
      <c r="F1163" s="402" t="s">
        <v>156</v>
      </c>
      <c r="G1163" s="20">
        <f>10270.7+17.3</f>
        <v>10288</v>
      </c>
      <c r="H1163" s="522" t="s">
        <v>1278</v>
      </c>
      <c r="I1163" s="334" t="s">
        <v>1279</v>
      </c>
      <c r="J1163" s="321"/>
    </row>
    <row r="1164" spans="1:11" s="363" customFormat="1" ht="31.5" x14ac:dyDescent="0.25">
      <c r="A1164" s="364" t="s">
        <v>123</v>
      </c>
      <c r="B1164" s="455">
        <v>908</v>
      </c>
      <c r="C1164" s="402" t="s">
        <v>168</v>
      </c>
      <c r="D1164" s="402" t="s">
        <v>168</v>
      </c>
      <c r="E1164" s="402" t="s">
        <v>520</v>
      </c>
      <c r="F1164" s="402" t="s">
        <v>124</v>
      </c>
      <c r="G1164" s="318">
        <f>G1165</f>
        <v>1891.1</v>
      </c>
      <c r="H1164" s="522"/>
      <c r="I1164" s="334"/>
      <c r="J1164" s="321"/>
    </row>
    <row r="1165" spans="1:11" s="363" customFormat="1" ht="31.5" x14ac:dyDescent="0.25">
      <c r="A1165" s="364" t="s">
        <v>125</v>
      </c>
      <c r="B1165" s="455">
        <v>908</v>
      </c>
      <c r="C1165" s="402" t="s">
        <v>168</v>
      </c>
      <c r="D1165" s="402" t="s">
        <v>168</v>
      </c>
      <c r="E1165" s="402" t="s">
        <v>520</v>
      </c>
      <c r="F1165" s="402" t="s">
        <v>126</v>
      </c>
      <c r="G1165" s="20">
        <f>1791.1+100</f>
        <v>1891.1</v>
      </c>
      <c r="H1165" s="522" t="s">
        <v>342</v>
      </c>
      <c r="I1165" s="334" t="s">
        <v>1280</v>
      </c>
      <c r="J1165" s="321"/>
    </row>
    <row r="1166" spans="1:11" s="363" customFormat="1" ht="15.75" x14ac:dyDescent="0.25">
      <c r="A1166" s="364" t="s">
        <v>127</v>
      </c>
      <c r="B1166" s="455">
        <v>908</v>
      </c>
      <c r="C1166" s="402" t="s">
        <v>168</v>
      </c>
      <c r="D1166" s="402" t="s">
        <v>168</v>
      </c>
      <c r="E1166" s="402" t="s">
        <v>520</v>
      </c>
      <c r="F1166" s="402" t="s">
        <v>134</v>
      </c>
      <c r="G1166" s="20">
        <f>G1167</f>
        <v>47</v>
      </c>
      <c r="H1166" s="522"/>
      <c r="I1166" s="334"/>
      <c r="J1166" s="321"/>
    </row>
    <row r="1167" spans="1:11" s="363" customFormat="1" ht="15.75" x14ac:dyDescent="0.25">
      <c r="A1167" s="364" t="s">
        <v>280</v>
      </c>
      <c r="B1167" s="455">
        <v>908</v>
      </c>
      <c r="C1167" s="402" t="s">
        <v>168</v>
      </c>
      <c r="D1167" s="402" t="s">
        <v>168</v>
      </c>
      <c r="E1167" s="402" t="s">
        <v>520</v>
      </c>
      <c r="F1167" s="402" t="s">
        <v>130</v>
      </c>
      <c r="G1167" s="20">
        <f>47</f>
        <v>47</v>
      </c>
      <c r="H1167" s="522"/>
      <c r="I1167" s="334"/>
      <c r="J1167" s="321"/>
    </row>
    <row r="1168" spans="1:11" s="132" customFormat="1" ht="31.5" x14ac:dyDescent="0.25">
      <c r="A1168" s="315" t="s">
        <v>446</v>
      </c>
      <c r="B1168" s="454">
        <v>908</v>
      </c>
      <c r="C1168" s="414" t="s">
        <v>168</v>
      </c>
      <c r="D1168" s="414" t="s">
        <v>168</v>
      </c>
      <c r="E1168" s="414" t="s">
        <v>441</v>
      </c>
      <c r="F1168" s="414"/>
      <c r="G1168" s="314">
        <f>G1169+G1176</f>
        <v>982</v>
      </c>
      <c r="H1168" s="522"/>
      <c r="I1168" s="334"/>
      <c r="J1168" s="321"/>
    </row>
    <row r="1169" spans="1:19" ht="31.5" x14ac:dyDescent="0.25">
      <c r="A1169" s="364" t="s">
        <v>282</v>
      </c>
      <c r="B1169" s="455">
        <v>908</v>
      </c>
      <c r="C1169" s="402" t="s">
        <v>168</v>
      </c>
      <c r="D1169" s="402" t="s">
        <v>168</v>
      </c>
      <c r="E1169" s="402" t="s">
        <v>549</v>
      </c>
      <c r="F1169" s="402"/>
      <c r="G1169" s="20">
        <f>G1172+G1170</f>
        <v>982</v>
      </c>
      <c r="H1169" s="522"/>
      <c r="I1169" s="334"/>
      <c r="J1169" s="321"/>
      <c r="K1169" s="132"/>
    </row>
    <row r="1170" spans="1:19" s="132" customFormat="1" ht="15.75" hidden="1" x14ac:dyDescent="0.25">
      <c r="A1170" s="364" t="s">
        <v>981</v>
      </c>
      <c r="B1170" s="455">
        <v>908</v>
      </c>
      <c r="C1170" s="402" t="s">
        <v>168</v>
      </c>
      <c r="D1170" s="402" t="s">
        <v>168</v>
      </c>
      <c r="E1170" s="402" t="s">
        <v>549</v>
      </c>
      <c r="F1170" s="402" t="s">
        <v>178</v>
      </c>
      <c r="G1170" s="20">
        <f>G1171</f>
        <v>0</v>
      </c>
      <c r="H1170" s="522"/>
      <c r="I1170" s="334"/>
      <c r="J1170" s="321"/>
    </row>
    <row r="1171" spans="1:19" s="132" customFormat="1" ht="15.75" hidden="1" x14ac:dyDescent="0.25">
      <c r="A1171" s="364" t="s">
        <v>980</v>
      </c>
      <c r="B1171" s="455">
        <v>908</v>
      </c>
      <c r="C1171" s="402" t="s">
        <v>168</v>
      </c>
      <c r="D1171" s="402" t="s">
        <v>168</v>
      </c>
      <c r="E1171" s="402" t="s">
        <v>549</v>
      </c>
      <c r="F1171" s="402" t="s">
        <v>982</v>
      </c>
      <c r="G1171" s="20">
        <f>4500-240-240-1748.75-2271.25</f>
        <v>0</v>
      </c>
      <c r="H1171" s="520"/>
      <c r="I1171" s="334"/>
      <c r="J1171" s="321"/>
    </row>
    <row r="1172" spans="1:19" ht="15.75" x14ac:dyDescent="0.25">
      <c r="A1172" s="364" t="s">
        <v>127</v>
      </c>
      <c r="B1172" s="455">
        <v>908</v>
      </c>
      <c r="C1172" s="402" t="s">
        <v>168</v>
      </c>
      <c r="D1172" s="402" t="s">
        <v>168</v>
      </c>
      <c r="E1172" s="402" t="s">
        <v>549</v>
      </c>
      <c r="F1172" s="402" t="s">
        <v>134</v>
      </c>
      <c r="G1172" s="20">
        <f>G1173+G1174+G1175</f>
        <v>982</v>
      </c>
      <c r="H1172" s="522"/>
      <c r="I1172" s="334"/>
      <c r="J1172" s="321"/>
      <c r="K1172" s="132"/>
    </row>
    <row r="1173" spans="1:19" ht="47.25" customHeight="1" x14ac:dyDescent="0.25">
      <c r="A1173" s="364" t="s">
        <v>148</v>
      </c>
      <c r="B1173" s="455">
        <v>908</v>
      </c>
      <c r="C1173" s="402" t="s">
        <v>168</v>
      </c>
      <c r="D1173" s="402" t="s">
        <v>168</v>
      </c>
      <c r="E1173" s="402" t="s">
        <v>549</v>
      </c>
      <c r="F1173" s="402" t="s">
        <v>142</v>
      </c>
      <c r="G1173" s="20">
        <v>982</v>
      </c>
      <c r="H1173" s="522"/>
      <c r="I1173" s="334"/>
      <c r="J1173" s="321"/>
      <c r="K1173" s="132"/>
    </row>
    <row r="1174" spans="1:19" s="132" customFormat="1" ht="15.75" hidden="1" x14ac:dyDescent="0.25">
      <c r="A1174" s="364" t="s">
        <v>338</v>
      </c>
      <c r="B1174" s="455">
        <v>908</v>
      </c>
      <c r="C1174" s="402" t="s">
        <v>168</v>
      </c>
      <c r="D1174" s="402" t="s">
        <v>168</v>
      </c>
      <c r="E1174" s="402" t="s">
        <v>549</v>
      </c>
      <c r="F1174" s="402" t="s">
        <v>130</v>
      </c>
      <c r="G1174" s="20"/>
      <c r="H1174" s="520"/>
      <c r="I1174" s="342"/>
      <c r="J1174" s="321"/>
      <c r="K1174" s="345"/>
      <c r="N1174" s="345"/>
      <c r="Q1174" s="345"/>
      <c r="S1174" s="345"/>
    </row>
    <row r="1175" spans="1:19" s="132" customFormat="1" ht="15.75" hidden="1" x14ac:dyDescent="0.25">
      <c r="A1175" s="364" t="s">
        <v>1050</v>
      </c>
      <c r="B1175" s="455">
        <v>908</v>
      </c>
      <c r="C1175" s="402" t="s">
        <v>168</v>
      </c>
      <c r="D1175" s="402" t="s">
        <v>168</v>
      </c>
      <c r="E1175" s="402" t="s">
        <v>549</v>
      </c>
      <c r="F1175" s="402" t="s">
        <v>1051</v>
      </c>
      <c r="G1175" s="20">
        <f>240-240</f>
        <v>0</v>
      </c>
      <c r="H1175" s="522"/>
      <c r="I1175" s="334"/>
      <c r="J1175" s="321"/>
    </row>
    <row r="1176" spans="1:19" s="132" customFormat="1" ht="37.5" hidden="1" customHeight="1" x14ac:dyDescent="0.25">
      <c r="A1176" s="364" t="s">
        <v>1063</v>
      </c>
      <c r="B1176" s="455">
        <v>908</v>
      </c>
      <c r="C1176" s="402" t="s">
        <v>168</v>
      </c>
      <c r="D1176" s="402" t="s">
        <v>168</v>
      </c>
      <c r="E1176" s="402" t="s">
        <v>1064</v>
      </c>
      <c r="F1176" s="402"/>
      <c r="G1176" s="20">
        <f>G1177+G1179</f>
        <v>0</v>
      </c>
      <c r="H1176" s="522"/>
      <c r="I1176" s="334"/>
      <c r="J1176" s="321"/>
    </row>
    <row r="1177" spans="1:19" s="132" customFormat="1" ht="21.75" hidden="1" customHeight="1" x14ac:dyDescent="0.25">
      <c r="A1177" s="364" t="s">
        <v>1066</v>
      </c>
      <c r="B1177" s="455">
        <v>908</v>
      </c>
      <c r="C1177" s="402" t="s">
        <v>168</v>
      </c>
      <c r="D1177" s="402" t="s">
        <v>168</v>
      </c>
      <c r="E1177" s="402" t="s">
        <v>1064</v>
      </c>
      <c r="F1177" s="402" t="s">
        <v>414</v>
      </c>
      <c r="G1177" s="20">
        <f>G1178</f>
        <v>0</v>
      </c>
      <c r="H1177" s="522"/>
      <c r="I1177" s="334"/>
      <c r="J1177" s="321"/>
    </row>
    <row r="1178" spans="1:19" s="132" customFormat="1" ht="35.25" hidden="1" customHeight="1" x14ac:dyDescent="0.25">
      <c r="A1178" s="364" t="s">
        <v>415</v>
      </c>
      <c r="B1178" s="455">
        <v>908</v>
      </c>
      <c r="C1178" s="402" t="s">
        <v>168</v>
      </c>
      <c r="D1178" s="402" t="s">
        <v>168</v>
      </c>
      <c r="E1178" s="402" t="s">
        <v>1064</v>
      </c>
      <c r="F1178" s="402" t="s">
        <v>1067</v>
      </c>
      <c r="G1178" s="20"/>
      <c r="H1178" s="540"/>
      <c r="I1178" s="334"/>
      <c r="J1178" s="321"/>
    </row>
    <row r="1179" spans="1:19" s="132" customFormat="1" ht="21.75" hidden="1" customHeight="1" x14ac:dyDescent="0.25">
      <c r="A1179" s="364" t="s">
        <v>127</v>
      </c>
      <c r="B1179" s="455">
        <v>908</v>
      </c>
      <c r="C1179" s="402" t="s">
        <v>168</v>
      </c>
      <c r="D1179" s="402" t="s">
        <v>168</v>
      </c>
      <c r="E1179" s="402" t="s">
        <v>1064</v>
      </c>
      <c r="F1179" s="402" t="s">
        <v>134</v>
      </c>
      <c r="G1179" s="20">
        <f>G1180</f>
        <v>0</v>
      </c>
      <c r="H1179" s="540"/>
      <c r="I1179" s="334"/>
      <c r="J1179" s="321"/>
    </row>
    <row r="1180" spans="1:19" s="132" customFormat="1" ht="39.75" hidden="1" customHeight="1" x14ac:dyDescent="0.25">
      <c r="A1180" s="364" t="s">
        <v>148</v>
      </c>
      <c r="B1180" s="455">
        <v>908</v>
      </c>
      <c r="C1180" s="402" t="s">
        <v>168</v>
      </c>
      <c r="D1180" s="402" t="s">
        <v>168</v>
      </c>
      <c r="E1180" s="402" t="s">
        <v>1064</v>
      </c>
      <c r="F1180" s="402" t="s">
        <v>142</v>
      </c>
      <c r="G1180" s="20"/>
      <c r="H1180" s="540"/>
      <c r="I1180" s="334"/>
      <c r="J1180" s="321"/>
    </row>
    <row r="1181" spans="1:19" s="132" customFormat="1" ht="47.25" hidden="1" x14ac:dyDescent="0.25">
      <c r="A1181" s="26" t="s">
        <v>859</v>
      </c>
      <c r="B1181" s="454">
        <v>908</v>
      </c>
      <c r="C1181" s="414" t="s">
        <v>168</v>
      </c>
      <c r="D1181" s="414" t="s">
        <v>168</v>
      </c>
      <c r="E1181" s="414" t="s">
        <v>206</v>
      </c>
      <c r="F1181" s="414"/>
      <c r="G1181" s="314">
        <f t="shared" ref="G1181:G1184" si="93">G1182</f>
        <v>0</v>
      </c>
      <c r="H1181" s="522"/>
      <c r="I1181" s="334"/>
      <c r="J1181" s="321"/>
    </row>
    <row r="1182" spans="1:19" s="132" customFormat="1" ht="47.25" hidden="1" x14ac:dyDescent="0.25">
      <c r="A1182" s="26" t="s">
        <v>572</v>
      </c>
      <c r="B1182" s="454">
        <v>908</v>
      </c>
      <c r="C1182" s="414" t="s">
        <v>168</v>
      </c>
      <c r="D1182" s="414" t="s">
        <v>168</v>
      </c>
      <c r="E1182" s="414" t="s">
        <v>504</v>
      </c>
      <c r="F1182" s="414"/>
      <c r="G1182" s="314">
        <f t="shared" si="93"/>
        <v>0</v>
      </c>
      <c r="H1182" s="522"/>
      <c r="I1182" s="334"/>
      <c r="J1182" s="321"/>
    </row>
    <row r="1183" spans="1:19" s="132" customFormat="1" ht="47.25" hidden="1" x14ac:dyDescent="0.25">
      <c r="A1183" s="24" t="s">
        <v>634</v>
      </c>
      <c r="B1183" s="455">
        <v>908</v>
      </c>
      <c r="C1183" s="402" t="s">
        <v>168</v>
      </c>
      <c r="D1183" s="402" t="s">
        <v>168</v>
      </c>
      <c r="E1183" s="402" t="s">
        <v>589</v>
      </c>
      <c r="F1183" s="402"/>
      <c r="G1183" s="318">
        <f t="shared" si="93"/>
        <v>0</v>
      </c>
      <c r="H1183" s="522"/>
      <c r="I1183" s="334"/>
      <c r="J1183" s="321"/>
    </row>
    <row r="1184" spans="1:19" s="132" customFormat="1" ht="31.5" hidden="1" x14ac:dyDescent="0.25">
      <c r="A1184" s="364" t="s">
        <v>123</v>
      </c>
      <c r="B1184" s="455">
        <v>908</v>
      </c>
      <c r="C1184" s="402" t="s">
        <v>168</v>
      </c>
      <c r="D1184" s="402" t="s">
        <v>168</v>
      </c>
      <c r="E1184" s="402" t="s">
        <v>589</v>
      </c>
      <c r="F1184" s="402" t="s">
        <v>124</v>
      </c>
      <c r="G1184" s="318">
        <f t="shared" si="93"/>
        <v>0</v>
      </c>
      <c r="H1184" s="522"/>
      <c r="I1184" s="334"/>
      <c r="J1184" s="321"/>
    </row>
    <row r="1185" spans="1:11" s="132" customFormat="1" ht="31.5" hidden="1" x14ac:dyDescent="0.25">
      <c r="A1185" s="364" t="s">
        <v>125</v>
      </c>
      <c r="B1185" s="455">
        <v>908</v>
      </c>
      <c r="C1185" s="402" t="s">
        <v>168</v>
      </c>
      <c r="D1185" s="402" t="s">
        <v>168</v>
      </c>
      <c r="E1185" s="402" t="s">
        <v>589</v>
      </c>
      <c r="F1185" s="402" t="s">
        <v>126</v>
      </c>
      <c r="G1185" s="318"/>
      <c r="H1185" s="522"/>
      <c r="I1185" s="334"/>
      <c r="J1185" s="321"/>
    </row>
    <row r="1186" spans="1:11" ht="15.75" x14ac:dyDescent="0.25">
      <c r="A1186" s="315" t="s">
        <v>173</v>
      </c>
      <c r="B1186" s="454">
        <v>908</v>
      </c>
      <c r="C1186" s="414" t="s">
        <v>174</v>
      </c>
      <c r="D1186" s="414"/>
      <c r="E1186" s="414"/>
      <c r="F1186" s="414"/>
      <c r="G1186" s="314">
        <f t="shared" ref="G1186:G1187" si="94">G1187</f>
        <v>85.11</v>
      </c>
      <c r="H1186" s="522"/>
      <c r="I1186" s="334"/>
      <c r="J1186" s="321"/>
      <c r="K1186" s="132"/>
    </row>
    <row r="1187" spans="1:11" ht="15.75" x14ac:dyDescent="0.25">
      <c r="A1187" s="315" t="s">
        <v>183</v>
      </c>
      <c r="B1187" s="454">
        <v>908</v>
      </c>
      <c r="C1187" s="414" t="s">
        <v>174</v>
      </c>
      <c r="D1187" s="414" t="s">
        <v>118</v>
      </c>
      <c r="E1187" s="414"/>
      <c r="F1187" s="414"/>
      <c r="G1187" s="314">
        <f t="shared" si="94"/>
        <v>85.11</v>
      </c>
      <c r="H1187" s="522"/>
      <c r="I1187" s="334"/>
      <c r="J1187" s="321"/>
      <c r="K1187" s="132"/>
    </row>
    <row r="1188" spans="1:11" ht="15.75" x14ac:dyDescent="0.25">
      <c r="A1188" s="315" t="s">
        <v>133</v>
      </c>
      <c r="B1188" s="454">
        <v>908</v>
      </c>
      <c r="C1188" s="414" t="s">
        <v>174</v>
      </c>
      <c r="D1188" s="414" t="s">
        <v>118</v>
      </c>
      <c r="E1188" s="414" t="s">
        <v>442</v>
      </c>
      <c r="F1188" s="414"/>
      <c r="G1188" s="314">
        <f t="shared" ref="G1188:G1192" si="95">G1189</f>
        <v>85.11</v>
      </c>
      <c r="H1188" s="522"/>
      <c r="I1188" s="334"/>
      <c r="J1188" s="321"/>
      <c r="K1188" s="132"/>
    </row>
    <row r="1189" spans="1:11" ht="15.75" x14ac:dyDescent="0.25">
      <c r="A1189" s="315" t="s">
        <v>133</v>
      </c>
      <c r="B1189" s="454">
        <v>908</v>
      </c>
      <c r="C1189" s="414" t="s">
        <v>174</v>
      </c>
      <c r="D1189" s="414" t="s">
        <v>118</v>
      </c>
      <c r="E1189" s="414" t="s">
        <v>441</v>
      </c>
      <c r="F1189" s="414"/>
      <c r="G1189" s="314">
        <f t="shared" si="95"/>
        <v>85.11</v>
      </c>
      <c r="H1189" s="522"/>
      <c r="I1189" s="334"/>
      <c r="J1189" s="321"/>
      <c r="K1189" s="132"/>
    </row>
    <row r="1190" spans="1:11" ht="31.5" x14ac:dyDescent="0.25">
      <c r="A1190" s="315" t="s">
        <v>446</v>
      </c>
      <c r="B1190" s="454">
        <v>908</v>
      </c>
      <c r="C1190" s="414" t="s">
        <v>174</v>
      </c>
      <c r="D1190" s="414" t="s">
        <v>118</v>
      </c>
      <c r="E1190" s="414" t="s">
        <v>441</v>
      </c>
      <c r="F1190" s="414"/>
      <c r="G1190" s="314">
        <f t="shared" si="95"/>
        <v>85.11</v>
      </c>
      <c r="H1190" s="522"/>
      <c r="I1190" s="334"/>
      <c r="J1190" s="321"/>
      <c r="K1190" s="132"/>
    </row>
    <row r="1191" spans="1:11" ht="15.75" x14ac:dyDescent="0.25">
      <c r="A1191" s="364" t="s">
        <v>283</v>
      </c>
      <c r="B1191" s="455">
        <v>908</v>
      </c>
      <c r="C1191" s="402" t="s">
        <v>174</v>
      </c>
      <c r="D1191" s="402" t="s">
        <v>118</v>
      </c>
      <c r="E1191" s="402" t="s">
        <v>550</v>
      </c>
      <c r="F1191" s="402"/>
      <c r="G1191" s="318">
        <f t="shared" si="95"/>
        <v>85.11</v>
      </c>
      <c r="H1191" s="522"/>
      <c r="I1191" s="334"/>
      <c r="J1191" s="321"/>
      <c r="K1191" s="132"/>
    </row>
    <row r="1192" spans="1:11" ht="31.5" x14ac:dyDescent="0.25">
      <c r="A1192" s="364" t="s">
        <v>123</v>
      </c>
      <c r="B1192" s="455">
        <v>908</v>
      </c>
      <c r="C1192" s="402" t="s">
        <v>174</v>
      </c>
      <c r="D1192" s="402" t="s">
        <v>118</v>
      </c>
      <c r="E1192" s="402" t="s">
        <v>550</v>
      </c>
      <c r="F1192" s="402" t="s">
        <v>124</v>
      </c>
      <c r="G1192" s="318">
        <f t="shared" si="95"/>
        <v>85.11</v>
      </c>
      <c r="H1192" s="522"/>
      <c r="I1192" s="334"/>
      <c r="J1192" s="321"/>
      <c r="K1192" s="132"/>
    </row>
    <row r="1193" spans="1:11" ht="31.5" x14ac:dyDescent="0.25">
      <c r="A1193" s="364" t="s">
        <v>125</v>
      </c>
      <c r="B1193" s="455">
        <v>908</v>
      </c>
      <c r="C1193" s="402" t="s">
        <v>174</v>
      </c>
      <c r="D1193" s="402" t="s">
        <v>118</v>
      </c>
      <c r="E1193" s="402" t="s">
        <v>550</v>
      </c>
      <c r="F1193" s="402" t="s">
        <v>126</v>
      </c>
      <c r="G1193" s="318">
        <f>85.11</f>
        <v>85.11</v>
      </c>
      <c r="H1193" s="522"/>
      <c r="I1193" s="334"/>
      <c r="J1193" s="321"/>
      <c r="K1193" s="132"/>
    </row>
    <row r="1194" spans="1:11" ht="33.950000000000003" customHeight="1" x14ac:dyDescent="0.25">
      <c r="A1194" s="312" t="s">
        <v>284</v>
      </c>
      <c r="B1194" s="454">
        <v>910</v>
      </c>
      <c r="C1194" s="500"/>
      <c r="D1194" s="500"/>
      <c r="E1194" s="500"/>
      <c r="F1194" s="500"/>
      <c r="G1194" s="314">
        <f>G1195</f>
        <v>5915.08</v>
      </c>
      <c r="H1194" s="523"/>
      <c r="I1194" s="334"/>
      <c r="J1194" s="321"/>
      <c r="K1194" s="132"/>
    </row>
    <row r="1195" spans="1:11" ht="15.75" x14ac:dyDescent="0.25">
      <c r="A1195" s="315" t="s">
        <v>115</v>
      </c>
      <c r="B1195" s="454">
        <v>910</v>
      </c>
      <c r="C1195" s="414" t="s">
        <v>116</v>
      </c>
      <c r="D1195" s="414"/>
      <c r="E1195" s="414"/>
      <c r="F1195" s="414"/>
      <c r="G1195" s="314">
        <f>G1196</f>
        <v>5915.08</v>
      </c>
      <c r="H1195" s="522"/>
      <c r="I1195" s="334"/>
      <c r="J1195" s="321"/>
      <c r="K1195" s="132"/>
    </row>
    <row r="1196" spans="1:11" ht="47.25" customHeight="1" x14ac:dyDescent="0.25">
      <c r="A1196" s="315" t="s">
        <v>287</v>
      </c>
      <c r="B1196" s="454">
        <v>910</v>
      </c>
      <c r="C1196" s="414" t="s">
        <v>116</v>
      </c>
      <c r="D1196" s="414" t="s">
        <v>159</v>
      </c>
      <c r="E1196" s="414"/>
      <c r="F1196" s="414"/>
      <c r="G1196" s="314">
        <f>G1197</f>
        <v>5915.08</v>
      </c>
      <c r="H1196" s="522"/>
      <c r="I1196" s="334"/>
      <c r="J1196" s="321"/>
      <c r="K1196" s="132"/>
    </row>
    <row r="1197" spans="1:11" ht="31.5" x14ac:dyDescent="0.25">
      <c r="A1197" s="315" t="s">
        <v>488</v>
      </c>
      <c r="B1197" s="454">
        <v>910</v>
      </c>
      <c r="C1197" s="414" t="s">
        <v>116</v>
      </c>
      <c r="D1197" s="414" t="s">
        <v>159</v>
      </c>
      <c r="E1197" s="414" t="s">
        <v>434</v>
      </c>
      <c r="F1197" s="414"/>
      <c r="G1197" s="314">
        <f>G1198</f>
        <v>5915.08</v>
      </c>
      <c r="H1197" s="522"/>
      <c r="I1197" s="334"/>
      <c r="J1197" s="321"/>
      <c r="K1197" s="132"/>
    </row>
    <row r="1198" spans="1:11" ht="15.75" x14ac:dyDescent="0.25">
      <c r="A1198" s="315" t="s">
        <v>551</v>
      </c>
      <c r="B1198" s="454">
        <v>910</v>
      </c>
      <c r="C1198" s="414" t="s">
        <v>116</v>
      </c>
      <c r="D1198" s="414" t="s">
        <v>159</v>
      </c>
      <c r="E1198" s="414" t="s">
        <v>552</v>
      </c>
      <c r="F1198" s="414"/>
      <c r="G1198" s="314">
        <f>G1204+G1209+G1199</f>
        <v>5915.08</v>
      </c>
      <c r="H1198" s="522"/>
      <c r="I1198" s="334"/>
      <c r="J1198" s="321"/>
      <c r="K1198" s="132"/>
    </row>
    <row r="1199" spans="1:11" s="132" customFormat="1" ht="31.5" x14ac:dyDescent="0.25">
      <c r="A1199" s="189" t="s">
        <v>865</v>
      </c>
      <c r="B1199" s="455">
        <v>910</v>
      </c>
      <c r="C1199" s="402" t="s">
        <v>116</v>
      </c>
      <c r="D1199" s="402" t="s">
        <v>159</v>
      </c>
      <c r="E1199" s="402" t="s">
        <v>895</v>
      </c>
      <c r="F1199" s="414"/>
      <c r="G1199" s="318">
        <f>G1200+G1202</f>
        <v>4702.43</v>
      </c>
      <c r="H1199" s="522"/>
      <c r="I1199" s="334"/>
      <c r="J1199" s="321"/>
    </row>
    <row r="1200" spans="1:11" s="132" customFormat="1" ht="63" x14ac:dyDescent="0.25">
      <c r="A1200" s="364" t="s">
        <v>119</v>
      </c>
      <c r="B1200" s="455">
        <v>910</v>
      </c>
      <c r="C1200" s="402" t="s">
        <v>116</v>
      </c>
      <c r="D1200" s="402" t="s">
        <v>159</v>
      </c>
      <c r="E1200" s="402" t="s">
        <v>895</v>
      </c>
      <c r="F1200" s="402" t="s">
        <v>120</v>
      </c>
      <c r="G1200" s="318">
        <f>G1201</f>
        <v>4609.43</v>
      </c>
      <c r="H1200" s="522"/>
      <c r="I1200" s="334"/>
      <c r="J1200" s="321"/>
    </row>
    <row r="1201" spans="1:27" s="132" customFormat="1" ht="31.5" x14ac:dyDescent="0.25">
      <c r="A1201" s="364" t="s">
        <v>121</v>
      </c>
      <c r="B1201" s="455">
        <v>910</v>
      </c>
      <c r="C1201" s="402" t="s">
        <v>116</v>
      </c>
      <c r="D1201" s="402" t="s">
        <v>159</v>
      </c>
      <c r="E1201" s="402" t="s">
        <v>895</v>
      </c>
      <c r="F1201" s="402" t="s">
        <v>122</v>
      </c>
      <c r="G1201" s="318">
        <f>4509.43+100</f>
        <v>4609.43</v>
      </c>
      <c r="H1201" s="525" t="s">
        <v>342</v>
      </c>
      <c r="I1201" s="334" t="s">
        <v>1281</v>
      </c>
      <c r="J1201" s="321"/>
    </row>
    <row r="1202" spans="1:27" s="132" customFormat="1" ht="31.5" x14ac:dyDescent="0.25">
      <c r="A1202" s="364" t="s">
        <v>153</v>
      </c>
      <c r="B1202" s="455">
        <v>910</v>
      </c>
      <c r="C1202" s="402" t="s">
        <v>116</v>
      </c>
      <c r="D1202" s="402" t="s">
        <v>159</v>
      </c>
      <c r="E1202" s="402" t="s">
        <v>895</v>
      </c>
      <c r="F1202" s="402" t="s">
        <v>124</v>
      </c>
      <c r="G1202" s="318">
        <f>G1203</f>
        <v>93</v>
      </c>
      <c r="H1202" s="522"/>
      <c r="I1202" s="334"/>
      <c r="J1202" s="321"/>
    </row>
    <row r="1203" spans="1:27" s="132" customFormat="1" ht="31.5" x14ac:dyDescent="0.25">
      <c r="A1203" s="364" t="s">
        <v>125</v>
      </c>
      <c r="B1203" s="455">
        <v>910</v>
      </c>
      <c r="C1203" s="402" t="s">
        <v>116</v>
      </c>
      <c r="D1203" s="402" t="s">
        <v>159</v>
      </c>
      <c r="E1203" s="402" t="s">
        <v>895</v>
      </c>
      <c r="F1203" s="402" t="s">
        <v>126</v>
      </c>
      <c r="G1203" s="318">
        <v>93</v>
      </c>
      <c r="H1203" s="522"/>
      <c r="I1203" s="334"/>
      <c r="J1203" s="321"/>
    </row>
    <row r="1204" spans="1:27" ht="37.35" customHeight="1" x14ac:dyDescent="0.25">
      <c r="A1204" s="364" t="s">
        <v>554</v>
      </c>
      <c r="B1204" s="455">
        <v>910</v>
      </c>
      <c r="C1204" s="402" t="s">
        <v>116</v>
      </c>
      <c r="D1204" s="402" t="s">
        <v>159</v>
      </c>
      <c r="E1204" s="402" t="s">
        <v>555</v>
      </c>
      <c r="F1204" s="402"/>
      <c r="G1204" s="318">
        <f>G1205+G1207</f>
        <v>1212.6500000000001</v>
      </c>
      <c r="H1204" s="522"/>
      <c r="I1204" s="334"/>
      <c r="J1204" s="321"/>
      <c r="K1204" s="132"/>
    </row>
    <row r="1205" spans="1:27" ht="63" x14ac:dyDescent="0.25">
      <c r="A1205" s="364" t="s">
        <v>119</v>
      </c>
      <c r="B1205" s="455">
        <v>910</v>
      </c>
      <c r="C1205" s="402" t="s">
        <v>116</v>
      </c>
      <c r="D1205" s="402" t="s">
        <v>159</v>
      </c>
      <c r="E1205" s="402" t="s">
        <v>555</v>
      </c>
      <c r="F1205" s="402" t="s">
        <v>120</v>
      </c>
      <c r="G1205" s="318">
        <f>G1206</f>
        <v>1212.6500000000001</v>
      </c>
      <c r="H1205" s="522"/>
      <c r="I1205" s="334"/>
      <c r="J1205" s="321"/>
      <c r="K1205" s="132"/>
    </row>
    <row r="1206" spans="1:27" ht="31.5" x14ac:dyDescent="0.25">
      <c r="A1206" s="364" t="s">
        <v>121</v>
      </c>
      <c r="B1206" s="455">
        <v>910</v>
      </c>
      <c r="C1206" s="402" t="s">
        <v>116</v>
      </c>
      <c r="D1206" s="402" t="s">
        <v>159</v>
      </c>
      <c r="E1206" s="402" t="s">
        <v>555</v>
      </c>
      <c r="F1206" s="402" t="s">
        <v>122</v>
      </c>
      <c r="G1206" s="318">
        <f>1212.65</f>
        <v>1212.6500000000001</v>
      </c>
      <c r="H1206" s="522"/>
      <c r="I1206" s="334"/>
      <c r="J1206" s="321"/>
      <c r="K1206" s="132"/>
    </row>
    <row r="1207" spans="1:27" ht="31.5" hidden="1" x14ac:dyDescent="0.25">
      <c r="A1207" s="364" t="s">
        <v>153</v>
      </c>
      <c r="B1207" s="455">
        <v>910</v>
      </c>
      <c r="C1207" s="402" t="s">
        <v>116</v>
      </c>
      <c r="D1207" s="402" t="s">
        <v>159</v>
      </c>
      <c r="E1207" s="402" t="s">
        <v>555</v>
      </c>
      <c r="F1207" s="402" t="s">
        <v>124</v>
      </c>
      <c r="G1207" s="318">
        <f>G1208</f>
        <v>0</v>
      </c>
      <c r="H1207" s="522"/>
      <c r="I1207" s="334"/>
      <c r="J1207" s="321"/>
      <c r="K1207" s="132"/>
    </row>
    <row r="1208" spans="1:27" ht="31.5" hidden="1" x14ac:dyDescent="0.25">
      <c r="A1208" s="364" t="s">
        <v>125</v>
      </c>
      <c r="B1208" s="455">
        <v>910</v>
      </c>
      <c r="C1208" s="402" t="s">
        <v>116</v>
      </c>
      <c r="D1208" s="402" t="s">
        <v>159</v>
      </c>
      <c r="E1208" s="402" t="s">
        <v>555</v>
      </c>
      <c r="F1208" s="402" t="s">
        <v>126</v>
      </c>
      <c r="G1208" s="318">
        <v>0</v>
      </c>
      <c r="H1208" s="522"/>
      <c r="I1208" s="334"/>
      <c r="J1208" s="321"/>
      <c r="K1208" s="132"/>
    </row>
    <row r="1209" spans="1:27" s="132" customFormat="1" ht="39.75" hidden="1" customHeight="1" x14ac:dyDescent="0.25">
      <c r="A1209" s="364" t="s">
        <v>416</v>
      </c>
      <c r="B1209" s="455">
        <v>910</v>
      </c>
      <c r="C1209" s="402" t="s">
        <v>116</v>
      </c>
      <c r="D1209" s="402" t="s">
        <v>159</v>
      </c>
      <c r="E1209" s="402" t="s">
        <v>553</v>
      </c>
      <c r="F1209" s="402"/>
      <c r="G1209" s="318">
        <f>G1210</f>
        <v>0</v>
      </c>
      <c r="H1209" s="522"/>
      <c r="I1209" s="334"/>
      <c r="J1209" s="321"/>
    </row>
    <row r="1210" spans="1:27" s="132" customFormat="1" ht="69.75" hidden="1" customHeight="1" x14ac:dyDescent="0.25">
      <c r="A1210" s="364" t="s">
        <v>119</v>
      </c>
      <c r="B1210" s="455">
        <v>910</v>
      </c>
      <c r="C1210" s="402" t="s">
        <v>116</v>
      </c>
      <c r="D1210" s="402" t="s">
        <v>159</v>
      </c>
      <c r="E1210" s="402" t="s">
        <v>553</v>
      </c>
      <c r="F1210" s="402" t="s">
        <v>120</v>
      </c>
      <c r="G1210" s="318">
        <f>G1211</f>
        <v>0</v>
      </c>
      <c r="H1210" s="522"/>
      <c r="I1210" s="334"/>
      <c r="J1210" s="321"/>
    </row>
    <row r="1211" spans="1:27" s="132" customFormat="1" ht="35.450000000000003" hidden="1" customHeight="1" x14ac:dyDescent="0.25">
      <c r="A1211" s="364" t="s">
        <v>121</v>
      </c>
      <c r="B1211" s="455">
        <v>910</v>
      </c>
      <c r="C1211" s="402" t="s">
        <v>116</v>
      </c>
      <c r="D1211" s="402" t="s">
        <v>159</v>
      </c>
      <c r="E1211" s="402" t="s">
        <v>553</v>
      </c>
      <c r="F1211" s="402" t="s">
        <v>122</v>
      </c>
      <c r="G1211" s="318"/>
      <c r="H1211" s="522"/>
      <c r="I1211" s="334"/>
      <c r="J1211" s="321"/>
    </row>
    <row r="1212" spans="1:27" ht="15.75" x14ac:dyDescent="0.25">
      <c r="A1212" s="34" t="s">
        <v>290</v>
      </c>
      <c r="B1212" s="502"/>
      <c r="C1212" s="414"/>
      <c r="D1212" s="414"/>
      <c r="E1212" s="414"/>
      <c r="F1212" s="414"/>
      <c r="G1212" s="567">
        <f>G1194+G934+G843+G608+G557+G245+G30+G9+G541</f>
        <v>833882.56299999985</v>
      </c>
      <c r="H1212" s="541"/>
      <c r="J1212" s="132"/>
      <c r="K1212" s="132"/>
    </row>
    <row r="1213" spans="1:27" s="132" customFormat="1" ht="15.75" x14ac:dyDescent="0.25">
      <c r="A1213" s="518"/>
      <c r="B1213" s="503"/>
      <c r="C1213" s="504"/>
      <c r="D1213" s="504"/>
      <c r="E1213" s="504"/>
      <c r="F1213" s="504"/>
      <c r="G1213" s="568">
        <f>пр.1дох.22!C199</f>
        <v>804238.68400000001</v>
      </c>
      <c r="H1213" s="521"/>
      <c r="I1213" s="335"/>
      <c r="J1213" s="596"/>
      <c r="K1213" s="597"/>
      <c r="L1213" s="597"/>
      <c r="M1213" s="597"/>
      <c r="N1213" s="597"/>
      <c r="O1213" s="597"/>
      <c r="P1213" s="597"/>
      <c r="Q1213" s="597"/>
      <c r="R1213" s="597"/>
      <c r="S1213" s="598"/>
    </row>
    <row r="1214" spans="1:27" ht="28.5" customHeight="1" x14ac:dyDescent="0.25">
      <c r="A1214" s="35"/>
      <c r="B1214" s="505"/>
      <c r="C1214" s="505"/>
      <c r="D1214" s="505"/>
      <c r="E1214" s="554">
        <f>пр.1дох.22!C78-пр.1дох.22!C80</f>
        <v>274060.41399999999</v>
      </c>
      <c r="F1214" s="505"/>
      <c r="G1214" s="74">
        <f>G1212-G1213</f>
        <v>29643.878999999841</v>
      </c>
      <c r="J1214" s="211"/>
      <c r="K1214" s="211"/>
      <c r="L1214" s="211"/>
      <c r="M1214" s="211"/>
      <c r="N1214" s="211"/>
      <c r="O1214" s="211"/>
      <c r="P1214" s="211"/>
      <c r="Q1214" s="211"/>
      <c r="R1214" s="211"/>
      <c r="S1214" s="211"/>
      <c r="T1214" s="132"/>
      <c r="U1214" s="132"/>
      <c r="V1214" s="132"/>
      <c r="W1214" s="132"/>
      <c r="X1214" s="132"/>
      <c r="Y1214" s="132"/>
      <c r="Z1214" s="132"/>
      <c r="AA1214" s="132"/>
    </row>
    <row r="1215" spans="1:27" ht="18.75" x14ac:dyDescent="0.3">
      <c r="A1215" s="35"/>
      <c r="B1215" s="505"/>
      <c r="C1215" s="506"/>
      <c r="D1215" s="506"/>
      <c r="E1215" s="506"/>
      <c r="F1215" s="507" t="s">
        <v>291</v>
      </c>
      <c r="G1215" s="569" t="e">
        <f>G1212-G1216</f>
        <v>#REF!</v>
      </c>
      <c r="H1215" s="541"/>
      <c r="I1215" s="344"/>
      <c r="J1215" s="265"/>
      <c r="K1215" s="328"/>
      <c r="L1215" s="265"/>
      <c r="M1215" s="265"/>
      <c r="N1215" s="265"/>
      <c r="O1215" s="265"/>
      <c r="P1215" s="265"/>
      <c r="Q1215" s="265"/>
      <c r="R1215" s="265"/>
      <c r="S1215" s="275"/>
      <c r="T1215" s="132"/>
      <c r="U1215" s="132"/>
      <c r="V1215" s="132"/>
      <c r="W1215" s="132"/>
      <c r="X1215" s="132"/>
      <c r="Y1215" s="132"/>
      <c r="Z1215" s="132"/>
      <c r="AA1215" s="132"/>
    </row>
    <row r="1216" spans="1:27" ht="18.75" x14ac:dyDescent="0.3">
      <c r="A1216" s="35"/>
      <c r="B1216" s="505"/>
      <c r="C1216" s="506"/>
      <c r="D1216" s="506"/>
      <c r="E1216" s="506"/>
      <c r="F1216" s="507" t="s">
        <v>292</v>
      </c>
      <c r="G1216" s="569" t="e">
        <f>G66+G213+G239+G329+G404+G572+G623+G685+G777+G878+G1116+#REF!</f>
        <v>#REF!</v>
      </c>
      <c r="H1216" s="542"/>
      <c r="I1216" s="344"/>
      <c r="J1216" s="265"/>
      <c r="K1216" s="265"/>
      <c r="L1216" s="265"/>
      <c r="M1216" s="265"/>
      <c r="N1216" s="265"/>
      <c r="O1216" s="265"/>
      <c r="P1216" s="265"/>
      <c r="Q1216" s="275"/>
      <c r="R1216" s="265"/>
      <c r="S1216" s="275"/>
      <c r="T1216" s="132"/>
      <c r="U1216" s="132"/>
      <c r="V1216" s="132"/>
      <c r="W1216" s="132"/>
      <c r="X1216" s="132"/>
      <c r="Y1216" s="132"/>
      <c r="Z1216" s="132"/>
      <c r="AA1216" s="132"/>
    </row>
    <row r="1217" spans="1:40" s="132" customFormat="1" ht="18.75" x14ac:dyDescent="0.3">
      <c r="A1217" s="35"/>
      <c r="B1217" s="505"/>
      <c r="C1217" s="506"/>
      <c r="D1217" s="506"/>
      <c r="E1217" s="506"/>
      <c r="F1217" s="507"/>
      <c r="G1217" s="569">
        <f>пр.1дох.22!C78-пр.1дох.22!C80</f>
        <v>274060.41399999999</v>
      </c>
      <c r="H1217" s="542"/>
      <c r="I1217" s="342"/>
      <c r="J1217" s="265"/>
      <c r="K1217" s="328"/>
      <c r="L1217" s="265"/>
      <c r="M1217" s="265"/>
      <c r="N1217" s="265"/>
      <c r="O1217" s="265"/>
      <c r="P1217" s="265"/>
      <c r="Q1217" s="265"/>
      <c r="R1217" s="265"/>
      <c r="S1217" s="265"/>
      <c r="T1217" s="154"/>
    </row>
    <row r="1218" spans="1:40" ht="15.75" x14ac:dyDescent="0.25">
      <c r="A1218" s="35"/>
      <c r="B1218" s="505"/>
      <c r="C1218" s="506"/>
      <c r="D1218" s="508"/>
      <c r="E1218" s="508"/>
      <c r="F1218" s="509" t="s">
        <v>326</v>
      </c>
      <c r="G1218" s="570">
        <f>пр.1дох.22!C199-'Пр.4 ведом.22'!G1212</f>
        <v>-29643.878999999841</v>
      </c>
      <c r="H1218" s="542"/>
      <c r="J1218" s="274"/>
      <c r="K1218" s="274"/>
      <c r="L1218" s="274"/>
      <c r="M1218" s="274"/>
      <c r="N1218" s="274"/>
      <c r="O1218" s="274"/>
      <c r="P1218" s="274"/>
      <c r="Q1218" s="274"/>
      <c r="R1218" s="305"/>
      <c r="S1218" s="274"/>
      <c r="T1218" s="132"/>
      <c r="U1218" s="132"/>
      <c r="V1218" s="132"/>
      <c r="W1218" s="132"/>
      <c r="X1218" s="132"/>
      <c r="Y1218" s="132"/>
      <c r="Z1218" s="132"/>
      <c r="AA1218" s="132"/>
    </row>
    <row r="1219" spans="1:40" ht="15.75" x14ac:dyDescent="0.25">
      <c r="A1219" s="35"/>
      <c r="B1219" s="505"/>
      <c r="C1219" s="506"/>
      <c r="D1219" s="508"/>
      <c r="E1219" s="508"/>
      <c r="F1219" s="508"/>
      <c r="G1219" s="570"/>
      <c r="H1219" s="542"/>
      <c r="J1219" s="74"/>
      <c r="K1219" s="74"/>
      <c r="L1219" s="132"/>
      <c r="M1219" s="132"/>
      <c r="N1219" s="132"/>
      <c r="O1219" s="74"/>
      <c r="P1219" s="132"/>
      <c r="Q1219" s="74"/>
      <c r="R1219" s="74"/>
      <c r="S1219" s="74"/>
      <c r="T1219" s="132"/>
      <c r="U1219" s="132"/>
      <c r="V1219" s="132"/>
      <c r="W1219" s="132"/>
      <c r="X1219" s="132"/>
      <c r="Y1219" s="132"/>
      <c r="Z1219" s="132"/>
      <c r="AA1219" s="132"/>
    </row>
    <row r="1220" spans="1:40" ht="15.75" x14ac:dyDescent="0.25">
      <c r="A1220" s="35"/>
      <c r="B1220" s="505"/>
      <c r="C1220" s="506"/>
      <c r="D1220" s="508"/>
      <c r="E1220" s="508"/>
      <c r="F1220" s="508"/>
      <c r="G1220" s="570"/>
      <c r="J1220" s="273"/>
      <c r="K1220" s="154"/>
      <c r="L1220" s="132"/>
      <c r="M1220" s="132"/>
      <c r="N1220" s="132"/>
      <c r="O1220" s="132"/>
      <c r="P1220" s="132"/>
      <c r="Q1220" s="132"/>
      <c r="R1220" s="132"/>
      <c r="S1220" s="154"/>
      <c r="T1220" s="132"/>
      <c r="U1220" s="132"/>
      <c r="V1220" s="132"/>
      <c r="W1220" s="132"/>
      <c r="X1220" s="132"/>
      <c r="Y1220" s="132"/>
      <c r="Z1220" s="132"/>
      <c r="AA1220" s="132"/>
    </row>
    <row r="1221" spans="1:40" ht="15.75" x14ac:dyDescent="0.25">
      <c r="A1221" s="35"/>
      <c r="B1221" s="505"/>
      <c r="C1221" s="510">
        <v>1</v>
      </c>
      <c r="D1221" s="508"/>
      <c r="E1221" s="508"/>
      <c r="F1221" s="508"/>
      <c r="G1221" s="570">
        <f>G10+G31+G246+G558+G609+G935+G1195+G844</f>
        <v>157657.97</v>
      </c>
      <c r="H1221" s="541"/>
      <c r="J1221" s="273"/>
      <c r="K1221" s="132"/>
      <c r="L1221" s="132"/>
      <c r="M1221" s="132"/>
      <c r="N1221" s="132"/>
      <c r="O1221" s="132"/>
      <c r="P1221" s="132"/>
      <c r="Q1221" s="132"/>
      <c r="R1221" s="132"/>
      <c r="S1221" s="74"/>
      <c r="T1221" s="132"/>
      <c r="U1221" s="132"/>
      <c r="V1221" s="132"/>
      <c r="W1221" s="132"/>
      <c r="X1221" s="132"/>
      <c r="Y1221" s="132"/>
      <c r="Z1221" s="132"/>
      <c r="AA1221" s="132"/>
    </row>
    <row r="1222" spans="1:40" ht="15.75" customHeight="1" x14ac:dyDescent="0.25">
      <c r="A1222" s="35"/>
      <c r="B1222" s="505"/>
      <c r="C1222" s="510" t="s">
        <v>291</v>
      </c>
      <c r="D1222" s="508"/>
      <c r="E1222" s="508"/>
      <c r="F1222" s="508"/>
      <c r="G1222" s="570"/>
      <c r="H1222" s="541"/>
      <c r="I1222" s="342"/>
      <c r="J1222" s="273"/>
      <c r="K1222" s="132"/>
      <c r="L1222" s="132"/>
      <c r="M1222" s="132"/>
      <c r="N1222" s="132"/>
      <c r="O1222" s="132"/>
      <c r="P1222" s="132"/>
      <c r="Q1222" s="132"/>
      <c r="R1222" s="132"/>
      <c r="S1222" s="132"/>
      <c r="T1222" s="132"/>
      <c r="U1222" s="132"/>
      <c r="V1222" s="132"/>
      <c r="W1222" s="132"/>
      <c r="X1222" s="132"/>
      <c r="Y1222" s="132"/>
      <c r="Z1222" s="132"/>
      <c r="AA1222" s="132"/>
    </row>
    <row r="1223" spans="1:40" ht="15.75" x14ac:dyDescent="0.25">
      <c r="A1223" s="35"/>
      <c r="B1223" s="505"/>
      <c r="C1223" s="510" t="s">
        <v>292</v>
      </c>
      <c r="D1223" s="508"/>
      <c r="E1223" s="508"/>
      <c r="F1223" s="508"/>
      <c r="G1223" s="570"/>
      <c r="H1223" s="541"/>
      <c r="I1223" s="342"/>
      <c r="J1223" s="599"/>
      <c r="K1223" s="600"/>
      <c r="L1223" s="600"/>
      <c r="M1223" s="600"/>
      <c r="N1223" s="600"/>
      <c r="O1223" s="600"/>
      <c r="P1223" s="600"/>
      <c r="Q1223" s="600"/>
      <c r="R1223" s="600"/>
      <c r="S1223" s="600"/>
      <c r="T1223" s="600"/>
      <c r="U1223" s="600"/>
      <c r="V1223" s="600"/>
      <c r="W1223" s="600"/>
      <c r="X1223" s="600"/>
      <c r="Y1223" s="600"/>
      <c r="Z1223" s="600"/>
      <c r="AA1223" s="600"/>
      <c r="AB1223" s="600"/>
      <c r="AC1223" s="600"/>
      <c r="AD1223" s="600"/>
      <c r="AE1223" s="600"/>
      <c r="AF1223" s="326"/>
      <c r="AG1223" s="329"/>
      <c r="AH1223" s="331"/>
      <c r="AI1223" s="333"/>
      <c r="AJ1223" s="347"/>
      <c r="AK1223" s="349"/>
    </row>
    <row r="1224" spans="1:40" ht="60" x14ac:dyDescent="0.25">
      <c r="A1224" s="35"/>
      <c r="B1224" s="505"/>
      <c r="C1224" s="510">
        <v>2</v>
      </c>
      <c r="D1224" s="508"/>
      <c r="E1224" s="508"/>
      <c r="F1224" s="508"/>
      <c r="G1224" s="570">
        <f>G163</f>
        <v>0</v>
      </c>
      <c r="H1224" s="541"/>
      <c r="J1224" s="304"/>
      <c r="K1224" s="304"/>
      <c r="L1224" s="304"/>
      <c r="M1224" s="304"/>
      <c r="N1224" s="304"/>
      <c r="O1224" s="304"/>
      <c r="P1224" s="304"/>
      <c r="Q1224" s="304"/>
      <c r="R1224" s="592"/>
      <c r="S1224" s="593"/>
      <c r="T1224" s="594"/>
      <c r="U1224" s="304"/>
      <c r="V1224" s="304"/>
      <c r="W1224" s="304"/>
      <c r="X1224" s="304"/>
      <c r="Y1224" s="304"/>
      <c r="Z1224" s="304"/>
      <c r="AA1224" s="304"/>
      <c r="AB1224" s="304"/>
      <c r="AC1224" s="304"/>
      <c r="AD1224" s="304"/>
      <c r="AE1224" s="304"/>
      <c r="AF1224" s="304" t="s">
        <v>1032</v>
      </c>
      <c r="AG1224" s="304" t="s">
        <v>1047</v>
      </c>
      <c r="AH1224" s="304" t="s">
        <v>1054</v>
      </c>
      <c r="AI1224" s="304" t="s">
        <v>1062</v>
      </c>
      <c r="AJ1224" s="304" t="s">
        <v>1072</v>
      </c>
      <c r="AK1224" s="350" t="s">
        <v>1076</v>
      </c>
    </row>
    <row r="1225" spans="1:40" ht="15.75" x14ac:dyDescent="0.25">
      <c r="A1225" s="35"/>
      <c r="B1225" s="505"/>
      <c r="C1225" s="510">
        <v>3</v>
      </c>
      <c r="D1225" s="508"/>
      <c r="E1225" s="508"/>
      <c r="F1225" s="508"/>
      <c r="G1225" s="570">
        <f>G958+G170</f>
        <v>7704.7</v>
      </c>
      <c r="H1225" s="541"/>
      <c r="I1225" s="344"/>
      <c r="J1225" s="233"/>
      <c r="K1225" s="233"/>
      <c r="L1225" s="272"/>
      <c r="M1225" s="233"/>
      <c r="N1225" s="233"/>
      <c r="O1225" s="233"/>
      <c r="P1225" s="233"/>
      <c r="Q1225" s="233"/>
      <c r="R1225" s="271"/>
      <c r="S1225" s="271"/>
      <c r="T1225" s="271"/>
      <c r="U1225" s="233"/>
      <c r="V1225" s="272"/>
      <c r="W1225" s="272"/>
      <c r="X1225" s="272"/>
      <c r="Y1225" s="272"/>
      <c r="Z1225" s="233"/>
      <c r="AA1225" s="233"/>
      <c r="AB1225" s="233"/>
      <c r="AC1225" s="233"/>
      <c r="AD1225" s="233"/>
      <c r="AE1225" s="233"/>
      <c r="AF1225" s="233">
        <v>106.89</v>
      </c>
      <c r="AG1225" s="233">
        <v>21.5</v>
      </c>
      <c r="AH1225" s="233">
        <v>100</v>
      </c>
      <c r="AI1225" s="233">
        <v>205.9</v>
      </c>
      <c r="AJ1225" s="233">
        <v>463.7</v>
      </c>
      <c r="AK1225" s="272">
        <v>63.805999999999997</v>
      </c>
      <c r="AL1225" s="1">
        <f>SUM(J1225:AK1225)</f>
        <v>961.79600000000005</v>
      </c>
    </row>
    <row r="1226" spans="1:40" s="132" customFormat="1" ht="15.75" x14ac:dyDescent="0.25">
      <c r="A1226" s="35"/>
      <c r="B1226" s="505"/>
      <c r="C1226" s="510" t="s">
        <v>291</v>
      </c>
      <c r="D1226" s="508"/>
      <c r="E1226" s="508"/>
      <c r="F1226" s="508"/>
      <c r="G1226" s="570">
        <f>G1225-G1227</f>
        <v>7804.7</v>
      </c>
      <c r="H1226" s="541"/>
      <c r="I1226" s="344"/>
      <c r="J1226" s="233"/>
      <c r="K1226" s="233"/>
      <c r="L1226" s="233"/>
      <c r="M1226" s="233"/>
      <c r="N1226" s="233"/>
      <c r="O1226" s="233"/>
      <c r="P1226" s="233"/>
      <c r="Q1226" s="233"/>
      <c r="R1226" s="272"/>
      <c r="S1226" s="272"/>
      <c r="T1226" s="272"/>
      <c r="U1226" s="233"/>
      <c r="V1226" s="272"/>
      <c r="W1226" s="272"/>
      <c r="X1226" s="233"/>
      <c r="Y1226" s="233"/>
      <c r="Z1226" s="233"/>
      <c r="AA1226" s="233"/>
      <c r="AB1226" s="233"/>
      <c r="AC1226" s="233"/>
      <c r="AD1226" s="233"/>
      <c r="AE1226" s="233"/>
      <c r="AF1226" s="233">
        <v>2500</v>
      </c>
      <c r="AG1226" s="233">
        <v>501.7</v>
      </c>
      <c r="AH1226" s="233">
        <v>448</v>
      </c>
      <c r="AI1226" s="233">
        <v>4816.3</v>
      </c>
      <c r="AJ1226" s="233">
        <v>4173.5</v>
      </c>
      <c r="AK1226" s="272">
        <v>1492.7</v>
      </c>
      <c r="AL1226" s="132">
        <f t="shared" ref="AL1226:AL1227" si="96">SUM(J1226:AK1226)</f>
        <v>13932.2</v>
      </c>
      <c r="AN1226" s="154">
        <f>S1220+AL1226</f>
        <v>13932.2</v>
      </c>
    </row>
    <row r="1227" spans="1:40" s="132" customFormat="1" ht="15.75" x14ac:dyDescent="0.25">
      <c r="A1227" s="35"/>
      <c r="B1227" s="505"/>
      <c r="C1227" s="510" t="s">
        <v>292</v>
      </c>
      <c r="D1227" s="508"/>
      <c r="E1227" s="508"/>
      <c r="F1227" s="508"/>
      <c r="G1227" s="570">
        <f>G199-AH1225</f>
        <v>-100</v>
      </c>
      <c r="H1227" s="541"/>
      <c r="I1227" s="342"/>
      <c r="J1227" s="265"/>
      <c r="K1227" s="265"/>
      <c r="L1227" s="265"/>
      <c r="M1227" s="265"/>
      <c r="N1227" s="265"/>
      <c r="O1227" s="265"/>
      <c r="P1227" s="265"/>
      <c r="Q1227" s="265"/>
      <c r="R1227" s="265"/>
      <c r="S1227" s="265"/>
      <c r="T1227" s="265"/>
      <c r="U1227" s="265"/>
      <c r="V1227" s="265"/>
      <c r="W1227" s="265"/>
      <c r="X1227" s="265"/>
      <c r="Y1227" s="265"/>
      <c r="Z1227" s="265"/>
      <c r="AA1227" s="265"/>
      <c r="AB1227" s="265"/>
      <c r="AC1227" s="265"/>
      <c r="AD1227" s="265"/>
      <c r="AE1227" s="265"/>
      <c r="AF1227" s="265">
        <f t="shared" ref="AF1227:AK1227" si="97">AF1225+AF1226</f>
        <v>2606.89</v>
      </c>
      <c r="AG1227" s="265">
        <f t="shared" si="97"/>
        <v>523.20000000000005</v>
      </c>
      <c r="AH1227" s="265">
        <f t="shared" si="97"/>
        <v>548</v>
      </c>
      <c r="AI1227" s="265">
        <f t="shared" si="97"/>
        <v>5022.2</v>
      </c>
      <c r="AJ1227" s="265">
        <f t="shared" si="97"/>
        <v>4637.2</v>
      </c>
      <c r="AK1227" s="351">
        <f t="shared" si="97"/>
        <v>1556.5060000000001</v>
      </c>
      <c r="AL1227" s="132">
        <f t="shared" si="96"/>
        <v>14893.996000000001</v>
      </c>
    </row>
    <row r="1228" spans="1:40" ht="15.75" x14ac:dyDescent="0.25">
      <c r="A1228" s="35"/>
      <c r="B1228" s="505"/>
      <c r="C1228" s="510">
        <v>4</v>
      </c>
      <c r="D1228" s="508"/>
      <c r="E1228" s="508"/>
      <c r="F1228" s="508"/>
      <c r="G1228" s="570">
        <f>G974+G282+G200</f>
        <v>7074.6</v>
      </c>
      <c r="H1228" s="541"/>
      <c r="J1228" s="274"/>
      <c r="K1228" s="274"/>
      <c r="L1228" s="274"/>
      <c r="M1228" s="274"/>
      <c r="N1228" s="274"/>
      <c r="O1228" s="274"/>
      <c r="P1228" s="274"/>
      <c r="Q1228" s="274"/>
      <c r="R1228" s="305"/>
      <c r="S1228" s="274"/>
      <c r="T1228" s="305"/>
      <c r="U1228" s="274"/>
      <c r="V1228" s="274"/>
      <c r="W1228" s="274"/>
      <c r="X1228" s="274"/>
      <c r="Y1228" s="274"/>
      <c r="Z1228" s="274"/>
      <c r="AA1228" s="274"/>
      <c r="AB1228" s="274"/>
      <c r="AC1228" s="274"/>
      <c r="AD1228" s="274"/>
      <c r="AE1228" s="274"/>
      <c r="AF1228" s="274" t="s">
        <v>964</v>
      </c>
      <c r="AG1228" s="274" t="s">
        <v>915</v>
      </c>
      <c r="AH1228" s="274" t="s">
        <v>1055</v>
      </c>
      <c r="AI1228" s="274" t="s">
        <v>1068</v>
      </c>
      <c r="AJ1228" s="274" t="s">
        <v>915</v>
      </c>
      <c r="AK1228" s="352" t="s">
        <v>915</v>
      </c>
    </row>
    <row r="1229" spans="1:40" ht="15.75" x14ac:dyDescent="0.25">
      <c r="A1229" s="35"/>
      <c r="B1229" s="505"/>
      <c r="C1229" s="510" t="s">
        <v>291</v>
      </c>
      <c r="D1229" s="508"/>
      <c r="E1229" s="508"/>
      <c r="F1229" s="508"/>
      <c r="G1229" s="570">
        <f>G1228-G1230</f>
        <v>6329.6</v>
      </c>
      <c r="H1229" s="541"/>
      <c r="AD1229" s="1"/>
      <c r="AE1229" s="1"/>
      <c r="AF1229" s="1"/>
      <c r="AG1229" s="1"/>
      <c r="AH1229" s="1"/>
    </row>
    <row r="1230" spans="1:40" ht="15.75" x14ac:dyDescent="0.25">
      <c r="A1230" s="35"/>
      <c r="B1230" s="505"/>
      <c r="C1230" s="510" t="s">
        <v>292</v>
      </c>
      <c r="D1230" s="508"/>
      <c r="E1230" s="508"/>
      <c r="F1230" s="508"/>
      <c r="G1230" s="570">
        <f>G291+G221+G213+G204-U1225-W1225-Z1225</f>
        <v>745</v>
      </c>
      <c r="H1230" s="541"/>
      <c r="AD1230" s="1"/>
      <c r="AE1230" s="1"/>
      <c r="AF1230" s="1"/>
      <c r="AG1230" s="1"/>
      <c r="AH1230" s="1"/>
    </row>
    <row r="1231" spans="1:40" ht="15.75" x14ac:dyDescent="0.25">
      <c r="A1231" s="35"/>
      <c r="B1231" s="505"/>
      <c r="C1231" s="510">
        <v>5</v>
      </c>
      <c r="D1231" s="508"/>
      <c r="E1231" s="508"/>
      <c r="F1231" s="508"/>
      <c r="G1231" s="570">
        <f>G995+G592</f>
        <v>86195.1</v>
      </c>
      <c r="H1231" s="541"/>
      <c r="J1231" s="132"/>
      <c r="K1231" s="74"/>
      <c r="L1231" s="132"/>
      <c r="M1231" s="132"/>
      <c r="N1231" s="132"/>
      <c r="O1231" s="132"/>
      <c r="P1231" s="132"/>
      <c r="Q1231" s="132"/>
      <c r="R1231" s="132"/>
      <c r="S1231" s="132"/>
      <c r="T1231" s="132"/>
      <c r="U1231" s="132"/>
      <c r="V1231" s="132"/>
      <c r="W1231" s="132"/>
      <c r="X1231" s="132"/>
      <c r="Y1231" s="132"/>
      <c r="Z1231" s="132"/>
      <c r="AA1231" s="154"/>
    </row>
    <row r="1232" spans="1:40" ht="15.75" x14ac:dyDescent="0.25">
      <c r="A1232" s="35"/>
      <c r="B1232" s="505"/>
      <c r="C1232" s="510" t="s">
        <v>291</v>
      </c>
      <c r="D1232" s="508"/>
      <c r="E1232" s="508"/>
      <c r="F1232" s="508"/>
      <c r="G1232" s="570">
        <f>G1231-G1233</f>
        <v>46631.995999999999</v>
      </c>
      <c r="H1232" s="541"/>
      <c r="J1232" s="74"/>
      <c r="K1232" s="74"/>
      <c r="L1232" s="74"/>
      <c r="M1232" s="74"/>
      <c r="N1232" s="74"/>
      <c r="O1232" s="74"/>
      <c r="P1232" s="74"/>
      <c r="Q1232" s="74"/>
      <c r="R1232" s="132"/>
      <c r="S1232" s="132"/>
      <c r="T1232" s="74"/>
      <c r="U1232" s="74"/>
      <c r="V1232" s="74"/>
      <c r="W1232" s="74"/>
      <c r="X1232" s="74"/>
      <c r="Y1232" s="74"/>
      <c r="Z1232" s="74"/>
      <c r="AA1232" s="132"/>
    </row>
    <row r="1233" spans="1:26" ht="15.75" x14ac:dyDescent="0.25">
      <c r="A1233" s="35"/>
      <c r="B1233" s="505"/>
      <c r="C1233" s="510" t="s">
        <v>292</v>
      </c>
      <c r="D1233" s="508"/>
      <c r="E1233" s="508"/>
      <c r="F1233" s="508"/>
      <c r="G1233" s="570">
        <f>G1027+G1116+G1133-J1215+G1088-P1215-AG1225-AC1225+G1126+G1012+G1130-AJ1225+G1139-AK1225</f>
        <v>39563.104000000007</v>
      </c>
      <c r="H1233" s="541"/>
      <c r="J1233" s="132"/>
      <c r="K1233" s="132"/>
      <c r="L1233" s="132"/>
      <c r="M1233" s="132"/>
      <c r="N1233" s="132"/>
      <c r="O1233" s="132"/>
      <c r="P1233" s="132"/>
      <c r="Q1233" s="132"/>
      <c r="R1233" s="132"/>
      <c r="S1233" s="132"/>
      <c r="T1233" s="132"/>
      <c r="U1233" s="132"/>
      <c r="V1233" s="132"/>
      <c r="W1233" s="132"/>
      <c r="X1233" s="132"/>
      <c r="Y1233" s="132"/>
      <c r="Z1233" s="132"/>
    </row>
    <row r="1234" spans="1:26" ht="15.75" x14ac:dyDescent="0.25">
      <c r="A1234" s="35"/>
      <c r="B1234" s="505"/>
      <c r="C1234" s="510">
        <v>7</v>
      </c>
      <c r="D1234" s="508"/>
      <c r="E1234" s="508"/>
      <c r="F1234" s="508"/>
      <c r="G1234" s="570">
        <f>G616+G302</f>
        <v>385782.92</v>
      </c>
      <c r="H1234" s="541"/>
      <c r="J1234" s="74"/>
    </row>
    <row r="1235" spans="1:26" ht="15.75" x14ac:dyDescent="0.25">
      <c r="A1235" s="35"/>
      <c r="B1235" s="505"/>
      <c r="C1235" s="510" t="s">
        <v>291</v>
      </c>
      <c r="D1235" s="508"/>
      <c r="E1235" s="508"/>
      <c r="F1235" s="508"/>
      <c r="G1235" s="570">
        <f>G1234-G1236</f>
        <v>145656.30000000002</v>
      </c>
      <c r="H1235" s="541"/>
      <c r="J1235" s="154"/>
      <c r="K1235" s="154"/>
    </row>
    <row r="1236" spans="1:26" ht="15.75" x14ac:dyDescent="0.25">
      <c r="A1236" s="35"/>
      <c r="B1236" s="505"/>
      <c r="C1236" s="510" t="s">
        <v>292</v>
      </c>
      <c r="D1236" s="508"/>
      <c r="E1236" s="508"/>
      <c r="F1236" s="508"/>
      <c r="G1236" s="570">
        <f>G777+G685+G623+G329+G746+G658+G731-O1215+G750-Q1215-R1215+G804+G774+G735+G727+G723+G719+G655+G651+G313-K1225-L1225-M1225-N1225-O1225-P1225-Q1225-R1225-S1225-AB1225-AD1225-AE1225-AF1225+G664+G668+G738+G742+G367</f>
        <v>240126.61999999997</v>
      </c>
      <c r="H1236" s="541"/>
      <c r="J1236" s="154"/>
      <c r="K1236" s="154"/>
    </row>
    <row r="1237" spans="1:26" ht="15.75" x14ac:dyDescent="0.25">
      <c r="A1237" s="35"/>
      <c r="B1237" s="505"/>
      <c r="C1237" s="510">
        <v>8</v>
      </c>
      <c r="D1237" s="508"/>
      <c r="E1237" s="508"/>
      <c r="F1237" s="508"/>
      <c r="G1237" s="570">
        <f>G371</f>
        <v>89197.35</v>
      </c>
      <c r="H1237" s="541"/>
      <c r="J1237" s="74"/>
    </row>
    <row r="1238" spans="1:26" ht="15.75" x14ac:dyDescent="0.25">
      <c r="A1238" s="35"/>
      <c r="B1238" s="505"/>
      <c r="C1238" s="510" t="s">
        <v>291</v>
      </c>
      <c r="D1238" s="508"/>
      <c r="E1238" s="508"/>
      <c r="F1238" s="508"/>
      <c r="G1238" s="570"/>
      <c r="H1238" s="541"/>
      <c r="J1238" s="74"/>
    </row>
    <row r="1239" spans="1:26" ht="15.75" x14ac:dyDescent="0.25">
      <c r="A1239" s="35"/>
      <c r="B1239" s="505"/>
      <c r="C1239" s="510" t="s">
        <v>292</v>
      </c>
      <c r="D1239" s="508"/>
      <c r="E1239" s="508"/>
      <c r="F1239" s="508"/>
      <c r="G1239" s="570"/>
      <c r="H1239" s="541"/>
      <c r="J1239" s="154"/>
    </row>
    <row r="1240" spans="1:26" ht="15.75" x14ac:dyDescent="0.25">
      <c r="A1240" s="35"/>
      <c r="B1240" s="505"/>
      <c r="C1240" s="510">
        <v>10</v>
      </c>
      <c r="D1240" s="508"/>
      <c r="E1240" s="508"/>
      <c r="F1240" s="508"/>
      <c r="G1240" s="570">
        <f>G1186+G496+G224+G602</f>
        <v>15126.01</v>
      </c>
      <c r="H1240" s="541"/>
    </row>
    <row r="1241" spans="1:26" ht="15.75" x14ac:dyDescent="0.25">
      <c r="A1241" s="35"/>
      <c r="B1241" s="505"/>
      <c r="C1241" s="510" t="s">
        <v>291</v>
      </c>
      <c r="D1241" s="508"/>
      <c r="E1241" s="508"/>
      <c r="F1241" s="508"/>
      <c r="G1241" s="570">
        <f>G1240-G1242</f>
        <v>11305.61</v>
      </c>
      <c r="H1241" s="541"/>
    </row>
    <row r="1242" spans="1:26" ht="15.75" x14ac:dyDescent="0.25">
      <c r="A1242" s="35"/>
      <c r="B1242" s="505"/>
      <c r="C1242" s="510" t="s">
        <v>292</v>
      </c>
      <c r="D1242" s="508"/>
      <c r="E1242" s="508"/>
      <c r="F1242" s="508"/>
      <c r="G1242" s="570">
        <f>G239+G501+G602-M1215+G234-V1225</f>
        <v>3820.4</v>
      </c>
      <c r="H1242" s="541"/>
      <c r="J1242" s="154"/>
    </row>
    <row r="1243" spans="1:26" ht="15.75" x14ac:dyDescent="0.25">
      <c r="A1243" s="35"/>
      <c r="B1243" s="505"/>
      <c r="C1243" s="510">
        <v>11</v>
      </c>
      <c r="D1243" s="508"/>
      <c r="E1243" s="508"/>
      <c r="F1243" s="508"/>
      <c r="G1243" s="570">
        <f>G851</f>
        <v>76135.790000000008</v>
      </c>
      <c r="H1243" s="541"/>
    </row>
    <row r="1244" spans="1:26" ht="15.75" x14ac:dyDescent="0.25">
      <c r="A1244" s="35"/>
      <c r="B1244" s="505"/>
      <c r="C1244" s="510" t="s">
        <v>291</v>
      </c>
      <c r="D1244" s="508"/>
      <c r="E1244" s="508"/>
      <c r="F1244" s="508"/>
      <c r="G1244" s="570">
        <f>G1243-G1245</f>
        <v>70435.490000000005</v>
      </c>
      <c r="H1244" s="541"/>
    </row>
    <row r="1245" spans="1:26" ht="15.75" x14ac:dyDescent="0.25">
      <c r="A1245" s="35"/>
      <c r="B1245" s="505"/>
      <c r="C1245" s="510" t="s">
        <v>292</v>
      </c>
      <c r="D1245" s="508"/>
      <c r="E1245" s="508"/>
      <c r="F1245" s="508"/>
      <c r="G1245" s="570">
        <f>G878+G890-S1215+G882-AI1225</f>
        <v>5700.3</v>
      </c>
      <c r="H1245" s="541"/>
    </row>
    <row r="1246" spans="1:26" ht="15.75" x14ac:dyDescent="0.25">
      <c r="A1246" s="35"/>
      <c r="B1246" s="505"/>
      <c r="C1246" s="510">
        <v>12</v>
      </c>
      <c r="D1246" s="508"/>
      <c r="E1246" s="508"/>
      <c r="F1246" s="508"/>
      <c r="G1246" s="570">
        <f>G521</f>
        <v>6158.1529999999993</v>
      </c>
      <c r="H1246" s="541"/>
    </row>
    <row r="1247" spans="1:26" ht="15.75" x14ac:dyDescent="0.25">
      <c r="A1247" s="35"/>
      <c r="B1247" s="505"/>
      <c r="C1247" s="511"/>
      <c r="D1247" s="508"/>
      <c r="E1247" s="508"/>
      <c r="F1247" s="508"/>
      <c r="G1247" s="571">
        <f>G1221+G1224+G1225+G1228+G1231+G1234+G1237+G1240+G1243+G1246</f>
        <v>831032.59300000011</v>
      </c>
      <c r="H1247" s="541"/>
    </row>
    <row r="1248" spans="1:26" ht="15.75" x14ac:dyDescent="0.25">
      <c r="A1248" s="35"/>
      <c r="B1248" s="505"/>
      <c r="C1248" s="510" t="s">
        <v>291</v>
      </c>
      <c r="D1248" s="508"/>
      <c r="E1248" s="508"/>
      <c r="F1248" s="508"/>
      <c r="G1248" s="571">
        <f>G1222+G1224+G1226+G1229+G1232+G1235+G1238+G1241+G1244+G1246</f>
        <v>294321.84899999999</v>
      </c>
      <c r="H1248" s="541"/>
    </row>
    <row r="1249" spans="1:8" ht="15.75" x14ac:dyDescent="0.25">
      <c r="A1249" s="35"/>
      <c r="B1249" s="505"/>
      <c r="C1249" s="510" t="s">
        <v>292</v>
      </c>
      <c r="D1249" s="508"/>
      <c r="E1249" s="508"/>
      <c r="F1249" s="508"/>
      <c r="G1249" s="571">
        <f>G1223+G1230+G1233+G1236+G1239+G1242+G1245+G1227</f>
        <v>289855.424</v>
      </c>
      <c r="H1249" s="541"/>
    </row>
    <row r="1251" spans="1:8" ht="18.75" x14ac:dyDescent="0.3">
      <c r="D1251" s="405" t="s">
        <v>293</v>
      </c>
      <c r="E1251" s="555">
        <v>50</v>
      </c>
      <c r="G1251" s="572">
        <f>G982</f>
        <v>3071.6000000000004</v>
      </c>
    </row>
    <row r="1252" spans="1:8" ht="18.75" x14ac:dyDescent="0.3">
      <c r="E1252" s="555">
        <v>51</v>
      </c>
      <c r="G1252" s="572">
        <f>G248+G285+G347+G485+G498</f>
        <v>3608.32</v>
      </c>
    </row>
    <row r="1253" spans="1:8" ht="18.75" x14ac:dyDescent="0.3">
      <c r="E1253" s="555">
        <v>52</v>
      </c>
      <c r="G1253" s="572">
        <f>G618+G680+G769+G802</f>
        <v>341282.19000000006</v>
      </c>
    </row>
    <row r="1254" spans="1:8" ht="18.75" x14ac:dyDescent="0.3">
      <c r="E1254" s="555">
        <v>53</v>
      </c>
      <c r="G1254" s="572">
        <f>G219</f>
        <v>150</v>
      </c>
    </row>
    <row r="1255" spans="1:8" ht="18.75" x14ac:dyDescent="0.3">
      <c r="E1255" s="555">
        <v>54</v>
      </c>
      <c r="G1255" s="572">
        <f>G43+G85</f>
        <v>604</v>
      </c>
    </row>
    <row r="1256" spans="1:8" ht="18.75" x14ac:dyDescent="0.3">
      <c r="E1256" s="555">
        <v>55</v>
      </c>
      <c r="G1256" s="572">
        <f>G232</f>
        <v>10</v>
      </c>
    </row>
    <row r="1257" spans="1:8" ht="18.75" x14ac:dyDescent="0.3">
      <c r="E1257" s="555">
        <v>56</v>
      </c>
      <c r="G1257" s="572"/>
    </row>
    <row r="1258" spans="1:8" ht="18.75" x14ac:dyDescent="0.3">
      <c r="E1258" s="555">
        <v>57</v>
      </c>
      <c r="G1258" s="572">
        <f>G853+G927</f>
        <v>64791.3</v>
      </c>
    </row>
    <row r="1259" spans="1:8" ht="18.75" x14ac:dyDescent="0.3">
      <c r="E1259" s="555">
        <v>58</v>
      </c>
      <c r="G1259" s="572">
        <f>G304+G373+G523</f>
        <v>92861.663</v>
      </c>
    </row>
    <row r="1260" spans="1:8" ht="18.75" x14ac:dyDescent="0.3">
      <c r="E1260" s="555">
        <v>59</v>
      </c>
      <c r="G1260" s="572">
        <f>G135+G336+G439+G491+G669+G758+G1181</f>
        <v>168</v>
      </c>
    </row>
    <row r="1261" spans="1:8" ht="18.75" x14ac:dyDescent="0.3">
      <c r="E1261" s="555">
        <v>60</v>
      </c>
      <c r="G1261" s="572">
        <f>G1084</f>
        <v>8881.4599999999991</v>
      </c>
    </row>
    <row r="1262" spans="1:8" ht="18.75" x14ac:dyDescent="0.3">
      <c r="E1262" s="555">
        <v>61</v>
      </c>
      <c r="G1262" s="572">
        <f>G202</f>
        <v>19.199999999999989</v>
      </c>
    </row>
    <row r="1263" spans="1:8" ht="18.75" x14ac:dyDescent="0.3">
      <c r="E1263" s="555">
        <v>62</v>
      </c>
      <c r="G1263" s="572">
        <f>G1044</f>
        <v>700</v>
      </c>
    </row>
    <row r="1264" spans="1:8" ht="18.75" x14ac:dyDescent="0.3">
      <c r="E1264" s="555">
        <v>63</v>
      </c>
      <c r="G1264" s="572">
        <f>G260+G611+G846</f>
        <v>120</v>
      </c>
    </row>
    <row r="1265" spans="1:9" ht="18.75" x14ac:dyDescent="0.3">
      <c r="E1265" s="555">
        <v>64</v>
      </c>
      <c r="G1265" s="572">
        <f>G139+G189+G277+G341+G447+G536+G674+G763+G796+G894</f>
        <v>3826.6400000000003</v>
      </c>
    </row>
    <row r="1266" spans="1:9" ht="18.75" x14ac:dyDescent="0.3">
      <c r="E1266" s="555">
        <v>65</v>
      </c>
      <c r="G1266" s="572">
        <f>G1131</f>
        <v>26090</v>
      </c>
    </row>
    <row r="1267" spans="1:9" ht="18.75" x14ac:dyDescent="0.3">
      <c r="E1267" s="555">
        <v>66</v>
      </c>
      <c r="G1267" s="572">
        <f>G587</f>
        <v>0</v>
      </c>
    </row>
    <row r="1268" spans="1:9" ht="18.75" x14ac:dyDescent="0.3">
      <c r="E1268" s="555">
        <v>67</v>
      </c>
      <c r="G1268" s="572">
        <f>G148</f>
        <v>45</v>
      </c>
    </row>
    <row r="1269" spans="1:9" s="363" customFormat="1" ht="18.75" x14ac:dyDescent="0.3">
      <c r="B1269" s="405"/>
      <c r="C1269" s="405"/>
      <c r="D1269" s="405"/>
      <c r="E1269" s="555">
        <v>68</v>
      </c>
      <c r="F1269" s="405"/>
      <c r="G1269" s="572">
        <f>G153</f>
        <v>30</v>
      </c>
      <c r="H1269" s="521"/>
      <c r="I1269" s="335"/>
    </row>
    <row r="1270" spans="1:9" ht="18.75" x14ac:dyDescent="0.3">
      <c r="E1270" s="555">
        <v>69</v>
      </c>
      <c r="G1270" s="572">
        <f>G158</f>
        <v>80</v>
      </c>
    </row>
    <row r="1271" spans="1:9" s="132" customFormat="1" ht="18.75" x14ac:dyDescent="0.3">
      <c r="A1271" s="363"/>
      <c r="B1271" s="405"/>
      <c r="C1271" s="405"/>
      <c r="D1271" s="405"/>
      <c r="E1271" s="555">
        <v>70</v>
      </c>
      <c r="F1271" s="405"/>
      <c r="G1271" s="572">
        <f>G1077</f>
        <v>204</v>
      </c>
      <c r="H1271" s="521"/>
      <c r="I1271" s="335"/>
    </row>
    <row r="1272" spans="1:9" ht="18.75" x14ac:dyDescent="0.3">
      <c r="G1272" s="572">
        <f>SUM(G1251:G1271)</f>
        <v>546543.37300000014</v>
      </c>
      <c r="H1272" s="541"/>
    </row>
    <row r="1273" spans="1:9" x14ac:dyDescent="0.25">
      <c r="H1273" s="541"/>
    </row>
  </sheetData>
  <mergeCells count="7">
    <mergeCell ref="R1224:T1224"/>
    <mergeCell ref="E3:G3"/>
    <mergeCell ref="E2:G2"/>
    <mergeCell ref="E1:G1"/>
    <mergeCell ref="A5:G5"/>
    <mergeCell ref="J1213:S1213"/>
    <mergeCell ref="J1223:AE1223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rowBreaks count="1" manualBreakCount="1">
    <brk id="1212" max="6" man="1"/>
  </rowBreaks>
  <colBreaks count="3" manualBreakCount="3">
    <brk id="8" max="1201" man="1"/>
    <brk id="15" max="1201" man="1"/>
    <brk id="22" max="11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73"/>
  <sheetViews>
    <sheetView view="pageBreakPreview" zoomScale="90" zoomScaleNormal="100" zoomScaleSheetLayoutView="90" workbookViewId="0">
      <selection activeCell="H4" sqref="H4"/>
    </sheetView>
  </sheetViews>
  <sheetFormatPr defaultColWidth="9.140625" defaultRowHeight="15" x14ac:dyDescent="0.25"/>
  <cols>
    <col min="1" max="1" width="62.28515625" style="405" customWidth="1"/>
    <col min="2" max="2" width="7" style="405" customWidth="1"/>
    <col min="3" max="3" width="4.28515625" style="405" customWidth="1"/>
    <col min="4" max="4" width="4.85546875" style="405" customWidth="1"/>
    <col min="5" max="5" width="15.42578125" style="405" customWidth="1"/>
    <col min="6" max="6" width="5.7109375" style="405" customWidth="1"/>
    <col min="7" max="8" width="15" style="74" customWidth="1"/>
    <col min="9" max="9" width="21.85546875" style="335" customWidth="1"/>
    <col min="10" max="10" width="24.140625" style="363" customWidth="1"/>
    <col min="11" max="11" width="12.42578125" style="363" customWidth="1"/>
    <col min="12" max="12" width="10.5703125" style="363" customWidth="1"/>
    <col min="13" max="13" width="12.7109375" style="363" customWidth="1"/>
    <col min="14" max="14" width="16.42578125" style="363" customWidth="1"/>
    <col min="15" max="15" width="9.140625" style="363"/>
    <col min="16" max="16" width="10" style="363" customWidth="1"/>
    <col min="17" max="17" width="9.140625" style="363" customWidth="1"/>
    <col min="18" max="18" width="10.28515625" style="363" customWidth="1"/>
    <col min="19" max="19" width="9.140625" style="363" customWidth="1"/>
    <col min="20" max="26" width="9.140625" style="363"/>
    <col min="27" max="27" width="11.42578125" style="363" customWidth="1"/>
    <col min="28" max="44" width="9.140625" style="363"/>
    <col min="45" max="45" width="11.42578125" style="363" customWidth="1"/>
    <col min="46" max="16384" width="9.140625" style="363"/>
  </cols>
  <sheetData>
    <row r="1" spans="1:10" ht="15.75" x14ac:dyDescent="0.25">
      <c r="A1" s="445"/>
      <c r="B1" s="445"/>
      <c r="C1" s="445"/>
      <c r="D1" s="445"/>
      <c r="E1" s="446"/>
      <c r="F1" s="446"/>
      <c r="G1" s="602" t="s">
        <v>1367</v>
      </c>
      <c r="H1" s="602"/>
    </row>
    <row r="2" spans="1:10" ht="15.75" x14ac:dyDescent="0.25">
      <c r="A2" s="445"/>
      <c r="B2" s="445"/>
      <c r="C2" s="445"/>
      <c r="D2" s="445"/>
      <c r="E2" s="446"/>
      <c r="F2" s="446"/>
      <c r="G2" s="602" t="s">
        <v>0</v>
      </c>
      <c r="H2" s="602"/>
    </row>
    <row r="3" spans="1:10" ht="15.75" x14ac:dyDescent="0.25">
      <c r="A3" s="447"/>
      <c r="B3" s="447"/>
      <c r="C3" s="447"/>
      <c r="D3" s="447"/>
      <c r="E3" s="446"/>
      <c r="F3" s="446"/>
      <c r="G3" s="608" t="s">
        <v>1368</v>
      </c>
      <c r="H3" s="608"/>
    </row>
    <row r="4" spans="1:10" ht="15.75" x14ac:dyDescent="0.25">
      <c r="A4" s="448"/>
      <c r="B4" s="448"/>
      <c r="C4" s="448"/>
      <c r="D4" s="448"/>
      <c r="E4" s="448"/>
      <c r="F4" s="448"/>
      <c r="G4" s="563"/>
      <c r="H4" s="563"/>
    </row>
    <row r="5" spans="1:10" ht="15.75" customHeight="1" x14ac:dyDescent="0.25">
      <c r="A5" s="595" t="s">
        <v>1177</v>
      </c>
      <c r="B5" s="595"/>
      <c r="C5" s="595"/>
      <c r="D5" s="595"/>
      <c r="E5" s="595"/>
      <c r="F5" s="595"/>
      <c r="G5" s="595"/>
    </row>
    <row r="6" spans="1:10" ht="15.75" x14ac:dyDescent="0.25">
      <c r="A6" s="449"/>
      <c r="B6" s="449"/>
      <c r="C6" s="449"/>
      <c r="D6" s="449"/>
      <c r="E6" s="449"/>
      <c r="F6" s="449"/>
    </row>
    <row r="7" spans="1:10" ht="15.75" x14ac:dyDescent="0.25">
      <c r="A7" s="450"/>
      <c r="B7" s="450"/>
      <c r="C7" s="450"/>
      <c r="D7" s="450"/>
      <c r="E7" s="450"/>
      <c r="F7" s="450"/>
      <c r="G7" s="185"/>
      <c r="H7" s="185" t="s">
        <v>1</v>
      </c>
    </row>
    <row r="8" spans="1:10" ht="47.25" x14ac:dyDescent="0.25">
      <c r="A8" s="451" t="s">
        <v>108</v>
      </c>
      <c r="B8" s="451" t="s">
        <v>109</v>
      </c>
      <c r="C8" s="452" t="s">
        <v>110</v>
      </c>
      <c r="D8" s="452" t="s">
        <v>111</v>
      </c>
      <c r="E8" s="452" t="s">
        <v>112</v>
      </c>
      <c r="F8" s="452" t="s">
        <v>113</v>
      </c>
      <c r="G8" s="260" t="s">
        <v>807</v>
      </c>
      <c r="H8" s="260" t="s">
        <v>1157</v>
      </c>
      <c r="I8" s="334"/>
      <c r="J8" s="321"/>
    </row>
    <row r="9" spans="1:10" ht="15.75" x14ac:dyDescent="0.25">
      <c r="A9" s="453" t="s">
        <v>903</v>
      </c>
      <c r="B9" s="451"/>
      <c r="C9" s="452"/>
      <c r="D9" s="452"/>
      <c r="E9" s="452"/>
      <c r="F9" s="452"/>
      <c r="G9" s="573">
        <f>700+12979.9</f>
        <v>13679.9</v>
      </c>
      <c r="H9" s="573">
        <f>21071+124.6+7172.9</f>
        <v>28368.5</v>
      </c>
      <c r="I9" s="75">
        <f>('Пр.1.1. дох.23-24'!C10+'Пр.1.1. дох.23-24'!C80)*2.5%</f>
        <v>13679.906000000001</v>
      </c>
      <c r="J9" s="75">
        <f>('Пр.1.1. дох.23-24'!D10+'Пр.1.1. дох.23-24'!D80)*5%</f>
        <v>28368.485500000006</v>
      </c>
    </row>
    <row r="10" spans="1:10" ht="31.5" x14ac:dyDescent="0.25">
      <c r="A10" s="454" t="s">
        <v>114</v>
      </c>
      <c r="B10" s="454">
        <v>901</v>
      </c>
      <c r="C10" s="402"/>
      <c r="D10" s="402"/>
      <c r="E10" s="402"/>
      <c r="F10" s="402"/>
      <c r="G10" s="314">
        <f>G11</f>
        <v>14531.4</v>
      </c>
      <c r="H10" s="314">
        <f>H11</f>
        <v>14531.4</v>
      </c>
      <c r="I10" s="75">
        <f>G11+G32+G247+G543+G558+G610+G844+G935+G1195</f>
        <v>155173.79999999999</v>
      </c>
      <c r="J10" s="75">
        <f>H11+H32+H247+H543+H558+H610+H844+H935+H1195</f>
        <v>161023.59999999998</v>
      </c>
    </row>
    <row r="11" spans="1:10" ht="15.75" x14ac:dyDescent="0.25">
      <c r="A11" s="417" t="s">
        <v>115</v>
      </c>
      <c r="B11" s="454">
        <v>901</v>
      </c>
      <c r="C11" s="414" t="s">
        <v>116</v>
      </c>
      <c r="D11" s="402"/>
      <c r="E11" s="402"/>
      <c r="F11" s="402"/>
      <c r="G11" s="314">
        <f>G12+G25</f>
        <v>14531.4</v>
      </c>
      <c r="H11" s="314">
        <f>H12+H25</f>
        <v>14531.4</v>
      </c>
      <c r="I11" s="334"/>
      <c r="J11" s="321"/>
    </row>
    <row r="12" spans="1:10" ht="47.25" x14ac:dyDescent="0.25">
      <c r="A12" s="417" t="s">
        <v>117</v>
      </c>
      <c r="B12" s="454">
        <v>901</v>
      </c>
      <c r="C12" s="414" t="s">
        <v>116</v>
      </c>
      <c r="D12" s="414" t="s">
        <v>118</v>
      </c>
      <c r="E12" s="414"/>
      <c r="F12" s="414"/>
      <c r="G12" s="314">
        <f>G13</f>
        <v>14481.4</v>
      </c>
      <c r="H12" s="314">
        <f>H13</f>
        <v>14481.4</v>
      </c>
      <c r="I12" s="334"/>
      <c r="J12" s="321"/>
    </row>
    <row r="13" spans="1:10" ht="31.5" x14ac:dyDescent="0.25">
      <c r="A13" s="417" t="s">
        <v>488</v>
      </c>
      <c r="B13" s="454">
        <v>901</v>
      </c>
      <c r="C13" s="414" t="s">
        <v>116</v>
      </c>
      <c r="D13" s="414" t="s">
        <v>118</v>
      </c>
      <c r="E13" s="414" t="s">
        <v>434</v>
      </c>
      <c r="F13" s="414"/>
      <c r="G13" s="314">
        <f>G14</f>
        <v>14481.4</v>
      </c>
      <c r="H13" s="314">
        <f>H14</f>
        <v>14481.4</v>
      </c>
      <c r="I13" s="334"/>
      <c r="J13" s="321"/>
    </row>
    <row r="14" spans="1:10" ht="15.75" x14ac:dyDescent="0.25">
      <c r="A14" s="417" t="s">
        <v>489</v>
      </c>
      <c r="B14" s="454">
        <v>901</v>
      </c>
      <c r="C14" s="414" t="s">
        <v>116</v>
      </c>
      <c r="D14" s="414" t="s">
        <v>118</v>
      </c>
      <c r="E14" s="414" t="s">
        <v>435</v>
      </c>
      <c r="F14" s="414"/>
      <c r="G14" s="314">
        <f>G15+G22</f>
        <v>14481.4</v>
      </c>
      <c r="H14" s="314">
        <f>H15+H22</f>
        <v>14481.4</v>
      </c>
      <c r="I14" s="334"/>
      <c r="J14" s="321"/>
    </row>
    <row r="15" spans="1:10" ht="31.5" x14ac:dyDescent="0.25">
      <c r="A15" s="399" t="s">
        <v>468</v>
      </c>
      <c r="B15" s="455">
        <v>901</v>
      </c>
      <c r="C15" s="402" t="s">
        <v>116</v>
      </c>
      <c r="D15" s="402" t="s">
        <v>118</v>
      </c>
      <c r="E15" s="402" t="s">
        <v>436</v>
      </c>
      <c r="F15" s="402"/>
      <c r="G15" s="318">
        <f>G16+G18+G20</f>
        <v>14031.4</v>
      </c>
      <c r="H15" s="318">
        <f>H16+H18+H20</f>
        <v>14031.4</v>
      </c>
      <c r="I15" s="334"/>
      <c r="J15" s="321"/>
    </row>
    <row r="16" spans="1:10" ht="63" x14ac:dyDescent="0.25">
      <c r="A16" s="399" t="s">
        <v>119</v>
      </c>
      <c r="B16" s="455">
        <v>901</v>
      </c>
      <c r="C16" s="402" t="s">
        <v>116</v>
      </c>
      <c r="D16" s="402" t="s">
        <v>118</v>
      </c>
      <c r="E16" s="402" t="s">
        <v>436</v>
      </c>
      <c r="F16" s="402" t="s">
        <v>120</v>
      </c>
      <c r="G16" s="318">
        <f>G17</f>
        <v>13033.9</v>
      </c>
      <c r="H16" s="318">
        <f>H17</f>
        <v>13033.9</v>
      </c>
      <c r="I16" s="334"/>
      <c r="J16" s="321"/>
    </row>
    <row r="17" spans="1:11" ht="31.5" x14ac:dyDescent="0.25">
      <c r="A17" s="399" t="s">
        <v>121</v>
      </c>
      <c r="B17" s="455">
        <v>901</v>
      </c>
      <c r="C17" s="402" t="s">
        <v>116</v>
      </c>
      <c r="D17" s="402" t="s">
        <v>118</v>
      </c>
      <c r="E17" s="402" t="s">
        <v>436</v>
      </c>
      <c r="F17" s="402" t="s">
        <v>122</v>
      </c>
      <c r="G17" s="20">
        <v>13033.9</v>
      </c>
      <c r="H17" s="20">
        <f>G17</f>
        <v>13033.9</v>
      </c>
      <c r="I17" s="334"/>
      <c r="J17" s="334"/>
    </row>
    <row r="18" spans="1:11" ht="31.5" x14ac:dyDescent="0.25">
      <c r="A18" s="399" t="s">
        <v>123</v>
      </c>
      <c r="B18" s="455">
        <v>901</v>
      </c>
      <c r="C18" s="402" t="s">
        <v>116</v>
      </c>
      <c r="D18" s="402" t="s">
        <v>118</v>
      </c>
      <c r="E18" s="402" t="s">
        <v>436</v>
      </c>
      <c r="F18" s="402" t="s">
        <v>124</v>
      </c>
      <c r="G18" s="318">
        <f>G19</f>
        <v>969.5</v>
      </c>
      <c r="H18" s="318">
        <f>H19</f>
        <v>969.5</v>
      </c>
      <c r="I18" s="334"/>
      <c r="J18" s="321"/>
    </row>
    <row r="19" spans="1:11" ht="31.5" x14ac:dyDescent="0.25">
      <c r="A19" s="399" t="s">
        <v>125</v>
      </c>
      <c r="B19" s="455">
        <v>901</v>
      </c>
      <c r="C19" s="402" t="s">
        <v>116</v>
      </c>
      <c r="D19" s="402" t="s">
        <v>118</v>
      </c>
      <c r="E19" s="402" t="s">
        <v>436</v>
      </c>
      <c r="F19" s="402" t="s">
        <v>126</v>
      </c>
      <c r="G19" s="20">
        <v>969.5</v>
      </c>
      <c r="H19" s="20">
        <v>969.5</v>
      </c>
      <c r="I19" s="334"/>
      <c r="J19" s="321"/>
    </row>
    <row r="20" spans="1:11" ht="15.75" x14ac:dyDescent="0.25">
      <c r="A20" s="399" t="s">
        <v>127</v>
      </c>
      <c r="B20" s="455">
        <v>901</v>
      </c>
      <c r="C20" s="402" t="s">
        <v>116</v>
      </c>
      <c r="D20" s="402" t="s">
        <v>118</v>
      </c>
      <c r="E20" s="402" t="s">
        <v>436</v>
      </c>
      <c r="F20" s="402" t="s">
        <v>128</v>
      </c>
      <c r="G20" s="318">
        <f>G21</f>
        <v>28</v>
      </c>
      <c r="H20" s="318">
        <f>H21</f>
        <v>28</v>
      </c>
      <c r="I20" s="334"/>
      <c r="J20" s="321"/>
    </row>
    <row r="21" spans="1:11" ht="15.75" x14ac:dyDescent="0.25">
      <c r="A21" s="399" t="s">
        <v>280</v>
      </c>
      <c r="B21" s="455">
        <v>901</v>
      </c>
      <c r="C21" s="402" t="s">
        <v>116</v>
      </c>
      <c r="D21" s="402" t="s">
        <v>118</v>
      </c>
      <c r="E21" s="402" t="s">
        <v>436</v>
      </c>
      <c r="F21" s="402" t="s">
        <v>130</v>
      </c>
      <c r="G21" s="318">
        <v>28</v>
      </c>
      <c r="H21" s="318">
        <v>28</v>
      </c>
      <c r="I21" s="334"/>
      <c r="J21" s="321"/>
    </row>
    <row r="22" spans="1:11" ht="31.5" x14ac:dyDescent="0.25">
      <c r="A22" s="399" t="s">
        <v>416</v>
      </c>
      <c r="B22" s="455">
        <v>901</v>
      </c>
      <c r="C22" s="402" t="s">
        <v>116</v>
      </c>
      <c r="D22" s="402" t="s">
        <v>118</v>
      </c>
      <c r="E22" s="402" t="s">
        <v>438</v>
      </c>
      <c r="F22" s="402"/>
      <c r="G22" s="318">
        <f>G23</f>
        <v>450</v>
      </c>
      <c r="H22" s="318">
        <f>H23</f>
        <v>450</v>
      </c>
      <c r="I22" s="334"/>
      <c r="J22" s="321"/>
    </row>
    <row r="23" spans="1:11" ht="63" x14ac:dyDescent="0.25">
      <c r="A23" s="399" t="s">
        <v>119</v>
      </c>
      <c r="B23" s="455">
        <v>901</v>
      </c>
      <c r="C23" s="402" t="s">
        <v>116</v>
      </c>
      <c r="D23" s="402" t="s">
        <v>118</v>
      </c>
      <c r="E23" s="402" t="s">
        <v>438</v>
      </c>
      <c r="F23" s="402" t="s">
        <v>120</v>
      </c>
      <c r="G23" s="318">
        <f>G24</f>
        <v>450</v>
      </c>
      <c r="H23" s="318">
        <f>H24</f>
        <v>450</v>
      </c>
      <c r="I23" s="334"/>
      <c r="J23" s="321"/>
    </row>
    <row r="24" spans="1:11" ht="31.5" x14ac:dyDescent="0.25">
      <c r="A24" s="399" t="s">
        <v>121</v>
      </c>
      <c r="B24" s="455">
        <v>901</v>
      </c>
      <c r="C24" s="402" t="s">
        <v>116</v>
      </c>
      <c r="D24" s="402" t="s">
        <v>118</v>
      </c>
      <c r="E24" s="402" t="s">
        <v>438</v>
      </c>
      <c r="F24" s="402" t="s">
        <v>122</v>
      </c>
      <c r="G24" s="318">
        <v>450</v>
      </c>
      <c r="H24" s="318">
        <v>450</v>
      </c>
      <c r="I24" s="334"/>
      <c r="J24" s="321"/>
    </row>
    <row r="25" spans="1:11" ht="15.75" x14ac:dyDescent="0.25">
      <c r="A25" s="417" t="s">
        <v>894</v>
      </c>
      <c r="B25" s="454">
        <v>901</v>
      </c>
      <c r="C25" s="414" t="s">
        <v>116</v>
      </c>
      <c r="D25" s="414" t="s">
        <v>251</v>
      </c>
      <c r="E25" s="414"/>
      <c r="F25" s="414"/>
      <c r="G25" s="314">
        <f t="shared" ref="G25:H29" si="0">G26</f>
        <v>50</v>
      </c>
      <c r="H25" s="314">
        <f t="shared" si="0"/>
        <v>50</v>
      </c>
      <c r="I25" s="334"/>
      <c r="J25" s="321"/>
    </row>
    <row r="26" spans="1:11" ht="15.75" x14ac:dyDescent="0.25">
      <c r="A26" s="417" t="s">
        <v>133</v>
      </c>
      <c r="B26" s="454">
        <v>901</v>
      </c>
      <c r="C26" s="414" t="s">
        <v>116</v>
      </c>
      <c r="D26" s="414" t="s">
        <v>251</v>
      </c>
      <c r="E26" s="414" t="s">
        <v>442</v>
      </c>
      <c r="F26" s="414"/>
      <c r="G26" s="314">
        <f t="shared" si="0"/>
        <v>50</v>
      </c>
      <c r="H26" s="314">
        <f t="shared" si="0"/>
        <v>50</v>
      </c>
      <c r="I26" s="334"/>
      <c r="J26" s="321"/>
    </row>
    <row r="27" spans="1:11" ht="31.5" x14ac:dyDescent="0.25">
      <c r="A27" s="417" t="s">
        <v>446</v>
      </c>
      <c r="B27" s="454">
        <v>901</v>
      </c>
      <c r="C27" s="414" t="s">
        <v>116</v>
      </c>
      <c r="D27" s="414" t="s">
        <v>251</v>
      </c>
      <c r="E27" s="414" t="s">
        <v>441</v>
      </c>
      <c r="F27" s="414"/>
      <c r="G27" s="314">
        <f t="shared" si="0"/>
        <v>50</v>
      </c>
      <c r="H27" s="314">
        <f t="shared" si="0"/>
        <v>50</v>
      </c>
      <c r="I27" s="334"/>
      <c r="J27" s="321"/>
    </row>
    <row r="28" spans="1:11" ht="15.75" x14ac:dyDescent="0.25">
      <c r="A28" s="399" t="s">
        <v>688</v>
      </c>
      <c r="B28" s="455">
        <v>901</v>
      </c>
      <c r="C28" s="402" t="s">
        <v>116</v>
      </c>
      <c r="D28" s="402" t="s">
        <v>251</v>
      </c>
      <c r="E28" s="402" t="s">
        <v>689</v>
      </c>
      <c r="F28" s="402"/>
      <c r="G28" s="318">
        <f t="shared" si="0"/>
        <v>50</v>
      </c>
      <c r="H28" s="318">
        <f t="shared" si="0"/>
        <v>50</v>
      </c>
      <c r="I28" s="334"/>
      <c r="J28" s="321"/>
    </row>
    <row r="29" spans="1:11" ht="15.75" x14ac:dyDescent="0.25">
      <c r="A29" s="399" t="s">
        <v>127</v>
      </c>
      <c r="B29" s="455">
        <v>901</v>
      </c>
      <c r="C29" s="402" t="s">
        <v>116</v>
      </c>
      <c r="D29" s="402" t="s">
        <v>251</v>
      </c>
      <c r="E29" s="402" t="s">
        <v>689</v>
      </c>
      <c r="F29" s="402" t="s">
        <v>134</v>
      </c>
      <c r="G29" s="318">
        <f t="shared" si="0"/>
        <v>50</v>
      </c>
      <c r="H29" s="318">
        <f t="shared" si="0"/>
        <v>50</v>
      </c>
      <c r="I29" s="334"/>
      <c r="J29" s="321"/>
    </row>
    <row r="30" spans="1:11" ht="15.75" x14ac:dyDescent="0.25">
      <c r="A30" s="399" t="s">
        <v>688</v>
      </c>
      <c r="B30" s="455">
        <v>901</v>
      </c>
      <c r="C30" s="402" t="s">
        <v>116</v>
      </c>
      <c r="D30" s="402" t="s">
        <v>251</v>
      </c>
      <c r="E30" s="402" t="s">
        <v>689</v>
      </c>
      <c r="F30" s="402" t="s">
        <v>690</v>
      </c>
      <c r="G30" s="318">
        <v>50</v>
      </c>
      <c r="H30" s="318">
        <v>50</v>
      </c>
      <c r="I30" s="334"/>
      <c r="J30" s="321"/>
    </row>
    <row r="31" spans="1:11" ht="15.75" x14ac:dyDescent="0.25">
      <c r="A31" s="454" t="s">
        <v>137</v>
      </c>
      <c r="B31" s="454">
        <v>902</v>
      </c>
      <c r="C31" s="402"/>
      <c r="D31" s="402"/>
      <c r="E31" s="402"/>
      <c r="F31" s="402"/>
      <c r="G31" s="314">
        <f>G32+G171+G201+G225+G164</f>
        <v>85771.1</v>
      </c>
      <c r="H31" s="314">
        <f>H32+H171+H201+H225+H164</f>
        <v>92216.9</v>
      </c>
      <c r="I31" s="334"/>
      <c r="J31" s="321"/>
      <c r="K31" s="154"/>
    </row>
    <row r="32" spans="1:11" ht="15.75" x14ac:dyDescent="0.25">
      <c r="A32" s="417" t="s">
        <v>115</v>
      </c>
      <c r="B32" s="454">
        <v>902</v>
      </c>
      <c r="C32" s="414" t="s">
        <v>116</v>
      </c>
      <c r="D32" s="402"/>
      <c r="E32" s="402"/>
      <c r="F32" s="402"/>
      <c r="G32" s="314">
        <f>G49+G104+G121+G113+G33</f>
        <v>63474.100000000006</v>
      </c>
      <c r="H32" s="314">
        <f>H49+H104+H121+H113+H33</f>
        <v>69500.800000000003</v>
      </c>
      <c r="I32" s="334"/>
      <c r="J32" s="321"/>
    </row>
    <row r="33" spans="1:11" ht="31.9" customHeight="1" x14ac:dyDescent="0.25">
      <c r="A33" s="417" t="s">
        <v>285</v>
      </c>
      <c r="B33" s="454">
        <v>902</v>
      </c>
      <c r="C33" s="414" t="s">
        <v>116</v>
      </c>
      <c r="D33" s="414" t="s">
        <v>158</v>
      </c>
      <c r="E33" s="402"/>
      <c r="F33" s="402"/>
      <c r="G33" s="314">
        <f>G34</f>
        <v>5300.4</v>
      </c>
      <c r="H33" s="314">
        <f>H34</f>
        <v>5386.4</v>
      </c>
      <c r="I33" s="334"/>
      <c r="J33" s="321"/>
    </row>
    <row r="34" spans="1:11" ht="31.5" x14ac:dyDescent="0.25">
      <c r="A34" s="417" t="s">
        <v>488</v>
      </c>
      <c r="B34" s="454">
        <v>902</v>
      </c>
      <c r="C34" s="414" t="s">
        <v>116</v>
      </c>
      <c r="D34" s="414" t="s">
        <v>158</v>
      </c>
      <c r="E34" s="414" t="s">
        <v>434</v>
      </c>
      <c r="F34" s="402"/>
      <c r="G34" s="314">
        <f>G35+G44</f>
        <v>5300.4</v>
      </c>
      <c r="H34" s="314">
        <f>H35+H44</f>
        <v>5386.4</v>
      </c>
      <c r="I34" s="334"/>
      <c r="J34" s="321"/>
    </row>
    <row r="35" spans="1:11" ht="15.75" x14ac:dyDescent="0.25">
      <c r="A35" s="417" t="s">
        <v>489</v>
      </c>
      <c r="B35" s="454">
        <v>902</v>
      </c>
      <c r="C35" s="414" t="s">
        <v>116</v>
      </c>
      <c r="D35" s="414" t="s">
        <v>158</v>
      </c>
      <c r="E35" s="414" t="s">
        <v>435</v>
      </c>
      <c r="F35" s="402"/>
      <c r="G35" s="314">
        <f>G36+G41</f>
        <v>5299.9</v>
      </c>
      <c r="H35" s="314">
        <f>H36+H41</f>
        <v>5385.9</v>
      </c>
      <c r="I35" s="334"/>
      <c r="J35" s="321"/>
    </row>
    <row r="36" spans="1:11" ht="31.5" x14ac:dyDescent="0.25">
      <c r="A36" s="399" t="s">
        <v>286</v>
      </c>
      <c r="B36" s="455">
        <v>902</v>
      </c>
      <c r="C36" s="402" t="s">
        <v>116</v>
      </c>
      <c r="D36" s="402" t="s">
        <v>158</v>
      </c>
      <c r="E36" s="402" t="s">
        <v>836</v>
      </c>
      <c r="F36" s="402"/>
      <c r="G36" s="318">
        <f>G37+G39</f>
        <v>5299.9</v>
      </c>
      <c r="H36" s="318">
        <f>H37+H39</f>
        <v>5299.9</v>
      </c>
      <c r="I36" s="334"/>
      <c r="J36" s="321"/>
    </row>
    <row r="37" spans="1:11" ht="63" x14ac:dyDescent="0.25">
      <c r="A37" s="399" t="s">
        <v>119</v>
      </c>
      <c r="B37" s="455">
        <v>902</v>
      </c>
      <c r="C37" s="402" t="s">
        <v>116</v>
      </c>
      <c r="D37" s="402" t="s">
        <v>158</v>
      </c>
      <c r="E37" s="402" t="s">
        <v>836</v>
      </c>
      <c r="F37" s="402" t="s">
        <v>120</v>
      </c>
      <c r="G37" s="318">
        <f>G38</f>
        <v>5209.8999999999996</v>
      </c>
      <c r="H37" s="318">
        <f>H38</f>
        <v>5209.8999999999996</v>
      </c>
      <c r="I37" s="334"/>
      <c r="J37" s="321"/>
    </row>
    <row r="38" spans="1:11" ht="31.5" x14ac:dyDescent="0.25">
      <c r="A38" s="399" t="s">
        <v>121</v>
      </c>
      <c r="B38" s="455">
        <v>902</v>
      </c>
      <c r="C38" s="402" t="s">
        <v>116</v>
      </c>
      <c r="D38" s="402" t="s">
        <v>158</v>
      </c>
      <c r="E38" s="402" t="s">
        <v>836</v>
      </c>
      <c r="F38" s="402" t="s">
        <v>122</v>
      </c>
      <c r="G38" s="20">
        <v>5209.8999999999996</v>
      </c>
      <c r="H38" s="20">
        <v>5209.8999999999996</v>
      </c>
      <c r="I38" s="334"/>
      <c r="J38" s="321"/>
      <c r="K38" s="345"/>
    </row>
    <row r="39" spans="1:11" ht="31.5" x14ac:dyDescent="0.25">
      <c r="A39" s="399" t="s">
        <v>153</v>
      </c>
      <c r="B39" s="455">
        <v>902</v>
      </c>
      <c r="C39" s="402" t="s">
        <v>116</v>
      </c>
      <c r="D39" s="402" t="s">
        <v>158</v>
      </c>
      <c r="E39" s="402" t="s">
        <v>836</v>
      </c>
      <c r="F39" s="402" t="s">
        <v>124</v>
      </c>
      <c r="G39" s="318">
        <f>G40</f>
        <v>90</v>
      </c>
      <c r="H39" s="318">
        <f>H40</f>
        <v>90</v>
      </c>
      <c r="I39" s="334"/>
      <c r="J39" s="321"/>
    </row>
    <row r="40" spans="1:11" ht="31.5" x14ac:dyDescent="0.25">
      <c r="A40" s="399" t="s">
        <v>125</v>
      </c>
      <c r="B40" s="455">
        <v>902</v>
      </c>
      <c r="C40" s="402" t="s">
        <v>116</v>
      </c>
      <c r="D40" s="402" t="s">
        <v>158</v>
      </c>
      <c r="E40" s="402" t="s">
        <v>836</v>
      </c>
      <c r="F40" s="402" t="s">
        <v>126</v>
      </c>
      <c r="G40" s="318">
        <f>90</f>
        <v>90</v>
      </c>
      <c r="H40" s="318">
        <f>90</f>
        <v>90</v>
      </c>
      <c r="I40" s="334"/>
      <c r="J40" s="321"/>
    </row>
    <row r="41" spans="1:11" ht="31.5" x14ac:dyDescent="0.25">
      <c r="A41" s="399" t="s">
        <v>416</v>
      </c>
      <c r="B41" s="455">
        <v>902</v>
      </c>
      <c r="C41" s="402" t="s">
        <v>116</v>
      </c>
      <c r="D41" s="402" t="s">
        <v>158</v>
      </c>
      <c r="E41" s="402" t="s">
        <v>438</v>
      </c>
      <c r="F41" s="402"/>
      <c r="G41" s="318">
        <f>G42</f>
        <v>0</v>
      </c>
      <c r="H41" s="318">
        <f>H42</f>
        <v>86</v>
      </c>
      <c r="I41" s="334"/>
      <c r="J41" s="321"/>
    </row>
    <row r="42" spans="1:11" ht="63" x14ac:dyDescent="0.25">
      <c r="A42" s="399" t="s">
        <v>119</v>
      </c>
      <c r="B42" s="455">
        <v>902</v>
      </c>
      <c r="C42" s="402" t="s">
        <v>116</v>
      </c>
      <c r="D42" s="402" t="s">
        <v>158</v>
      </c>
      <c r="E42" s="402" t="s">
        <v>438</v>
      </c>
      <c r="F42" s="402" t="s">
        <v>120</v>
      </c>
      <c r="G42" s="318">
        <f>G43</f>
        <v>0</v>
      </c>
      <c r="H42" s="318">
        <f>H43</f>
        <v>86</v>
      </c>
      <c r="I42" s="334"/>
      <c r="J42" s="321"/>
    </row>
    <row r="43" spans="1:11" ht="31.5" x14ac:dyDescent="0.25">
      <c r="A43" s="399" t="s">
        <v>121</v>
      </c>
      <c r="B43" s="455">
        <v>902</v>
      </c>
      <c r="C43" s="402" t="s">
        <v>116</v>
      </c>
      <c r="D43" s="402" t="s">
        <v>158</v>
      </c>
      <c r="E43" s="402" t="s">
        <v>438</v>
      </c>
      <c r="F43" s="402" t="s">
        <v>122</v>
      </c>
      <c r="G43" s="318">
        <v>0</v>
      </c>
      <c r="H43" s="318">
        <v>86</v>
      </c>
      <c r="I43" s="334"/>
      <c r="J43" s="321"/>
    </row>
    <row r="44" spans="1:11" ht="31.5" x14ac:dyDescent="0.25">
      <c r="A44" s="417" t="s">
        <v>841</v>
      </c>
      <c r="B44" s="454">
        <v>902</v>
      </c>
      <c r="C44" s="414" t="s">
        <v>116</v>
      </c>
      <c r="D44" s="414" t="s">
        <v>158</v>
      </c>
      <c r="E44" s="414" t="s">
        <v>143</v>
      </c>
      <c r="F44" s="414"/>
      <c r="G44" s="314">
        <f t="shared" ref="G44:H47" si="1">G45</f>
        <v>0.5</v>
      </c>
      <c r="H44" s="314">
        <f t="shared" si="1"/>
        <v>0.5</v>
      </c>
      <c r="I44" s="334"/>
      <c r="J44" s="321"/>
    </row>
    <row r="45" spans="1:11" ht="63" x14ac:dyDescent="0.25">
      <c r="A45" s="456" t="s">
        <v>843</v>
      </c>
      <c r="B45" s="457">
        <v>902</v>
      </c>
      <c r="C45" s="414" t="s">
        <v>116</v>
      </c>
      <c r="D45" s="414" t="s">
        <v>158</v>
      </c>
      <c r="E45" s="407" t="s">
        <v>426</v>
      </c>
      <c r="F45" s="414"/>
      <c r="G45" s="314">
        <f t="shared" si="1"/>
        <v>0.5</v>
      </c>
      <c r="H45" s="314">
        <f t="shared" si="1"/>
        <v>0.5</v>
      </c>
      <c r="I45" s="334"/>
      <c r="J45" s="321"/>
    </row>
    <row r="46" spans="1:11" ht="59.1" customHeight="1" x14ac:dyDescent="0.25">
      <c r="A46" s="401" t="s">
        <v>334</v>
      </c>
      <c r="B46" s="455">
        <v>902</v>
      </c>
      <c r="C46" s="402" t="s">
        <v>116</v>
      </c>
      <c r="D46" s="402" t="s">
        <v>158</v>
      </c>
      <c r="E46" s="403" t="s">
        <v>556</v>
      </c>
      <c r="F46" s="402"/>
      <c r="G46" s="318">
        <f t="shared" si="1"/>
        <v>0.5</v>
      </c>
      <c r="H46" s="318">
        <f t="shared" si="1"/>
        <v>0.5</v>
      </c>
      <c r="I46" s="334"/>
      <c r="J46" s="321"/>
    </row>
    <row r="47" spans="1:11" ht="31.5" x14ac:dyDescent="0.25">
      <c r="A47" s="399" t="s">
        <v>123</v>
      </c>
      <c r="B47" s="455">
        <v>902</v>
      </c>
      <c r="C47" s="402" t="s">
        <v>116</v>
      </c>
      <c r="D47" s="402" t="s">
        <v>158</v>
      </c>
      <c r="E47" s="403" t="s">
        <v>556</v>
      </c>
      <c r="F47" s="402" t="s">
        <v>124</v>
      </c>
      <c r="G47" s="318">
        <f t="shared" si="1"/>
        <v>0.5</v>
      </c>
      <c r="H47" s="318">
        <f t="shared" si="1"/>
        <v>0.5</v>
      </c>
      <c r="I47" s="334"/>
      <c r="J47" s="321"/>
    </row>
    <row r="48" spans="1:11" ht="31.5" x14ac:dyDescent="0.25">
      <c r="A48" s="399" t="s">
        <v>125</v>
      </c>
      <c r="B48" s="455">
        <v>902</v>
      </c>
      <c r="C48" s="402" t="s">
        <v>116</v>
      </c>
      <c r="D48" s="402" t="s">
        <v>158</v>
      </c>
      <c r="E48" s="403" t="s">
        <v>556</v>
      </c>
      <c r="F48" s="402" t="s">
        <v>126</v>
      </c>
      <c r="G48" s="318">
        <v>0.5</v>
      </c>
      <c r="H48" s="318">
        <v>0.5</v>
      </c>
      <c r="I48" s="334"/>
      <c r="J48" s="321"/>
    </row>
    <row r="49" spans="1:11" ht="46.15" customHeight="1" x14ac:dyDescent="0.25">
      <c r="A49" s="417" t="s">
        <v>138</v>
      </c>
      <c r="B49" s="454">
        <v>902</v>
      </c>
      <c r="C49" s="414" t="s">
        <v>116</v>
      </c>
      <c r="D49" s="414" t="s">
        <v>139</v>
      </c>
      <c r="E49" s="414"/>
      <c r="F49" s="414"/>
      <c r="G49" s="314">
        <f>G50+G86</f>
        <v>50281.100000000006</v>
      </c>
      <c r="H49" s="314">
        <f>H50+H86</f>
        <v>56307.80000000001</v>
      </c>
      <c r="I49" s="334"/>
      <c r="J49" s="321"/>
    </row>
    <row r="50" spans="1:11" ht="31.5" x14ac:dyDescent="0.25">
      <c r="A50" s="417" t="s">
        <v>488</v>
      </c>
      <c r="B50" s="454">
        <v>902</v>
      </c>
      <c r="C50" s="414" t="s">
        <v>116</v>
      </c>
      <c r="D50" s="414" t="s">
        <v>139</v>
      </c>
      <c r="E50" s="414" t="s">
        <v>434</v>
      </c>
      <c r="F50" s="414"/>
      <c r="G50" s="30">
        <f>G51+G67</f>
        <v>49677.600000000006</v>
      </c>
      <c r="H50" s="30">
        <f>H51+H67</f>
        <v>55704.30000000001</v>
      </c>
      <c r="I50" s="334"/>
      <c r="J50" s="321"/>
    </row>
    <row r="51" spans="1:11" ht="15.75" x14ac:dyDescent="0.25">
      <c r="A51" s="417" t="s">
        <v>489</v>
      </c>
      <c r="B51" s="454">
        <v>902</v>
      </c>
      <c r="C51" s="414" t="s">
        <v>116</v>
      </c>
      <c r="D51" s="414" t="s">
        <v>139</v>
      </c>
      <c r="E51" s="414" t="s">
        <v>435</v>
      </c>
      <c r="F51" s="414"/>
      <c r="G51" s="30">
        <f>G52+G61+G64</f>
        <v>45957.000000000007</v>
      </c>
      <c r="H51" s="30">
        <f>H52+H61+H64</f>
        <v>51836.000000000007</v>
      </c>
      <c r="I51" s="334"/>
      <c r="J51" s="321"/>
    </row>
    <row r="52" spans="1:11" ht="31.5" x14ac:dyDescent="0.25">
      <c r="A52" s="399" t="s">
        <v>468</v>
      </c>
      <c r="B52" s="455">
        <v>902</v>
      </c>
      <c r="C52" s="402" t="s">
        <v>116</v>
      </c>
      <c r="D52" s="402" t="s">
        <v>139</v>
      </c>
      <c r="E52" s="402" t="s">
        <v>436</v>
      </c>
      <c r="F52" s="402"/>
      <c r="G52" s="318">
        <f>G53+G55+G59+G57</f>
        <v>41808.500000000007</v>
      </c>
      <c r="H52" s="318">
        <f>H53+H55+H59+H57</f>
        <v>47687.500000000007</v>
      </c>
      <c r="I52" s="334"/>
      <c r="J52" s="321"/>
    </row>
    <row r="53" spans="1:11" ht="62.1" customHeight="1" x14ac:dyDescent="0.25">
      <c r="A53" s="399" t="s">
        <v>119</v>
      </c>
      <c r="B53" s="455">
        <v>902</v>
      </c>
      <c r="C53" s="402" t="s">
        <v>116</v>
      </c>
      <c r="D53" s="402" t="s">
        <v>139</v>
      </c>
      <c r="E53" s="402" t="s">
        <v>436</v>
      </c>
      <c r="F53" s="402" t="s">
        <v>120</v>
      </c>
      <c r="G53" s="318">
        <f>G54</f>
        <v>39073.200000000004</v>
      </c>
      <c r="H53" s="318">
        <f>H54</f>
        <v>44952.200000000004</v>
      </c>
      <c r="I53" s="334"/>
      <c r="J53" s="321"/>
    </row>
    <row r="54" spans="1:11" ht="31.5" x14ac:dyDescent="0.25">
      <c r="A54" s="399" t="s">
        <v>121</v>
      </c>
      <c r="B54" s="455">
        <v>902</v>
      </c>
      <c r="C54" s="402" t="s">
        <v>116</v>
      </c>
      <c r="D54" s="402" t="s">
        <v>139</v>
      </c>
      <c r="E54" s="402" t="s">
        <v>436</v>
      </c>
      <c r="F54" s="402" t="s">
        <v>122</v>
      </c>
      <c r="G54" s="20">
        <f>45725.3-12979.9+6327.8</f>
        <v>39073.200000000004</v>
      </c>
      <c r="H54" s="20">
        <f>45725.3-7172.9+6399.8</f>
        <v>44952.200000000004</v>
      </c>
      <c r="I54" s="334"/>
      <c r="J54" s="321"/>
      <c r="K54" s="345"/>
    </row>
    <row r="55" spans="1:11" ht="31.5" x14ac:dyDescent="0.25">
      <c r="A55" s="399" t="s">
        <v>123</v>
      </c>
      <c r="B55" s="455">
        <v>902</v>
      </c>
      <c r="C55" s="402" t="s">
        <v>116</v>
      </c>
      <c r="D55" s="402" t="s">
        <v>139</v>
      </c>
      <c r="E55" s="402" t="s">
        <v>436</v>
      </c>
      <c r="F55" s="402" t="s">
        <v>124</v>
      </c>
      <c r="G55" s="318">
        <f>G56</f>
        <v>2660.3</v>
      </c>
      <c r="H55" s="318">
        <f>H56</f>
        <v>2660.3</v>
      </c>
      <c r="I55" s="334"/>
      <c r="J55" s="321"/>
    </row>
    <row r="56" spans="1:11" ht="31.5" x14ac:dyDescent="0.25">
      <c r="A56" s="399" t="s">
        <v>125</v>
      </c>
      <c r="B56" s="455">
        <v>902</v>
      </c>
      <c r="C56" s="402" t="s">
        <v>116</v>
      </c>
      <c r="D56" s="402" t="s">
        <v>139</v>
      </c>
      <c r="E56" s="402" t="s">
        <v>436</v>
      </c>
      <c r="F56" s="402" t="s">
        <v>126</v>
      </c>
      <c r="G56" s="20">
        <f>5660.3-3000</f>
        <v>2660.3</v>
      </c>
      <c r="H56" s="20">
        <f>5660.3-3000</f>
        <v>2660.3</v>
      </c>
      <c r="I56" s="336"/>
      <c r="J56" s="321"/>
    </row>
    <row r="57" spans="1:11" ht="15.75" x14ac:dyDescent="0.25">
      <c r="A57" s="399" t="s">
        <v>177</v>
      </c>
      <c r="B57" s="455">
        <v>902</v>
      </c>
      <c r="C57" s="402" t="s">
        <v>116</v>
      </c>
      <c r="D57" s="402" t="s">
        <v>139</v>
      </c>
      <c r="E57" s="402" t="s">
        <v>436</v>
      </c>
      <c r="F57" s="402" t="s">
        <v>178</v>
      </c>
      <c r="G57" s="20">
        <f>G58</f>
        <v>0</v>
      </c>
      <c r="H57" s="20">
        <f>H58</f>
        <v>0</v>
      </c>
      <c r="I57" s="334"/>
      <c r="J57" s="321"/>
    </row>
    <row r="58" spans="1:11" ht="31.5" x14ac:dyDescent="0.25">
      <c r="A58" s="399" t="s">
        <v>179</v>
      </c>
      <c r="B58" s="455">
        <v>902</v>
      </c>
      <c r="C58" s="402" t="s">
        <v>116</v>
      </c>
      <c r="D58" s="402" t="s">
        <v>139</v>
      </c>
      <c r="E58" s="402" t="s">
        <v>436</v>
      </c>
      <c r="F58" s="402" t="s">
        <v>180</v>
      </c>
      <c r="G58" s="20">
        <f>755-755</f>
        <v>0</v>
      </c>
      <c r="H58" s="20">
        <f>755-755</f>
        <v>0</v>
      </c>
      <c r="I58" s="334"/>
      <c r="J58" s="321"/>
    </row>
    <row r="59" spans="1:11" ht="15.75" x14ac:dyDescent="0.25">
      <c r="A59" s="399" t="s">
        <v>127</v>
      </c>
      <c r="B59" s="455">
        <v>902</v>
      </c>
      <c r="C59" s="402" t="s">
        <v>116</v>
      </c>
      <c r="D59" s="402" t="s">
        <v>139</v>
      </c>
      <c r="E59" s="402" t="s">
        <v>436</v>
      </c>
      <c r="F59" s="402" t="s">
        <v>134</v>
      </c>
      <c r="G59" s="318">
        <f>G60</f>
        <v>75</v>
      </c>
      <c r="H59" s="318">
        <f>H60</f>
        <v>75</v>
      </c>
      <c r="I59" s="336"/>
      <c r="J59" s="321"/>
    </row>
    <row r="60" spans="1:11" ht="15.75" x14ac:dyDescent="0.25">
      <c r="A60" s="399" t="s">
        <v>280</v>
      </c>
      <c r="B60" s="455">
        <v>902</v>
      </c>
      <c r="C60" s="402" t="s">
        <v>116</v>
      </c>
      <c r="D60" s="402" t="s">
        <v>139</v>
      </c>
      <c r="E60" s="402" t="s">
        <v>436</v>
      </c>
      <c r="F60" s="402" t="s">
        <v>130</v>
      </c>
      <c r="G60" s="20">
        <v>75</v>
      </c>
      <c r="H60" s="20">
        <v>75</v>
      </c>
      <c r="I60" s="334"/>
      <c r="J60" s="321"/>
    </row>
    <row r="61" spans="1:11" ht="31.5" x14ac:dyDescent="0.25">
      <c r="A61" s="399" t="s">
        <v>417</v>
      </c>
      <c r="B61" s="455">
        <v>902</v>
      </c>
      <c r="C61" s="402" t="s">
        <v>116</v>
      </c>
      <c r="D61" s="402" t="s">
        <v>139</v>
      </c>
      <c r="E61" s="402" t="s">
        <v>437</v>
      </c>
      <c r="F61" s="402"/>
      <c r="G61" s="20">
        <f>G62</f>
        <v>2614.9</v>
      </c>
      <c r="H61" s="20">
        <f>H62</f>
        <v>2614.9</v>
      </c>
      <c r="I61" s="334"/>
      <c r="J61" s="321"/>
    </row>
    <row r="62" spans="1:11" ht="67.7" customHeight="1" x14ac:dyDescent="0.25">
      <c r="A62" s="399" t="s">
        <v>119</v>
      </c>
      <c r="B62" s="455">
        <v>902</v>
      </c>
      <c r="C62" s="402" t="s">
        <v>116</v>
      </c>
      <c r="D62" s="402" t="s">
        <v>139</v>
      </c>
      <c r="E62" s="402" t="s">
        <v>437</v>
      </c>
      <c r="F62" s="402" t="s">
        <v>120</v>
      </c>
      <c r="G62" s="20">
        <f>G63</f>
        <v>2614.9</v>
      </c>
      <c r="H62" s="20">
        <f>H63</f>
        <v>2614.9</v>
      </c>
      <c r="I62" s="334"/>
      <c r="J62" s="321"/>
    </row>
    <row r="63" spans="1:11" ht="31.5" x14ac:dyDescent="0.25">
      <c r="A63" s="399" t="s">
        <v>121</v>
      </c>
      <c r="B63" s="455">
        <v>902</v>
      </c>
      <c r="C63" s="402" t="s">
        <v>116</v>
      </c>
      <c r="D63" s="402" t="s">
        <v>139</v>
      </c>
      <c r="E63" s="402" t="s">
        <v>437</v>
      </c>
      <c r="F63" s="402" t="s">
        <v>122</v>
      </c>
      <c r="G63" s="20">
        <f>2557.5+57.4</f>
        <v>2614.9</v>
      </c>
      <c r="H63" s="20">
        <f>2557.5+57.4</f>
        <v>2614.9</v>
      </c>
      <c r="I63" s="334"/>
      <c r="J63" s="321"/>
    </row>
    <row r="64" spans="1:11" ht="31.5" x14ac:dyDescent="0.25">
      <c r="A64" s="399" t="s">
        <v>416</v>
      </c>
      <c r="B64" s="455">
        <v>902</v>
      </c>
      <c r="C64" s="402" t="s">
        <v>116</v>
      </c>
      <c r="D64" s="402" t="s">
        <v>139</v>
      </c>
      <c r="E64" s="402" t="s">
        <v>438</v>
      </c>
      <c r="F64" s="402"/>
      <c r="G64" s="318">
        <f>G65</f>
        <v>1533.6</v>
      </c>
      <c r="H64" s="318">
        <f>H65</f>
        <v>1533.6</v>
      </c>
      <c r="I64" s="334"/>
      <c r="J64" s="321"/>
    </row>
    <row r="65" spans="1:11" ht="63" x14ac:dyDescent="0.25">
      <c r="A65" s="399" t="s">
        <v>119</v>
      </c>
      <c r="B65" s="455">
        <v>902</v>
      </c>
      <c r="C65" s="402" t="s">
        <v>116</v>
      </c>
      <c r="D65" s="402" t="s">
        <v>139</v>
      </c>
      <c r="E65" s="402" t="s">
        <v>438</v>
      </c>
      <c r="F65" s="402" t="s">
        <v>120</v>
      </c>
      <c r="G65" s="318">
        <f>G66</f>
        <v>1533.6</v>
      </c>
      <c r="H65" s="318">
        <f>H66</f>
        <v>1533.6</v>
      </c>
      <c r="I65" s="334"/>
      <c r="J65" s="321"/>
    </row>
    <row r="66" spans="1:11" ht="31.5" x14ac:dyDescent="0.25">
      <c r="A66" s="399" t="s">
        <v>121</v>
      </c>
      <c r="B66" s="455">
        <v>902</v>
      </c>
      <c r="C66" s="402" t="s">
        <v>116</v>
      </c>
      <c r="D66" s="402" t="s">
        <v>139</v>
      </c>
      <c r="E66" s="402" t="s">
        <v>438</v>
      </c>
      <c r="F66" s="402" t="s">
        <v>122</v>
      </c>
      <c r="G66" s="318">
        <f>1591-57.4</f>
        <v>1533.6</v>
      </c>
      <c r="H66" s="318">
        <f>1591-57.4</f>
        <v>1533.6</v>
      </c>
      <c r="I66" s="334"/>
      <c r="J66" s="321"/>
      <c r="K66" s="345"/>
    </row>
    <row r="67" spans="1:11" ht="31.5" x14ac:dyDescent="0.25">
      <c r="A67" s="417" t="s">
        <v>460</v>
      </c>
      <c r="B67" s="454">
        <v>902</v>
      </c>
      <c r="C67" s="414" t="s">
        <v>116</v>
      </c>
      <c r="D67" s="414" t="s">
        <v>139</v>
      </c>
      <c r="E67" s="414" t="s">
        <v>439</v>
      </c>
      <c r="F67" s="414"/>
      <c r="G67" s="314">
        <f>G68+G71+G76+G81</f>
        <v>3720.6000000000004</v>
      </c>
      <c r="H67" s="314">
        <f>H68+H71+H76+H81</f>
        <v>3868.3</v>
      </c>
      <c r="I67" s="334"/>
      <c r="J67" s="321"/>
    </row>
    <row r="68" spans="1:11" ht="35.450000000000003" hidden="1" customHeight="1" x14ac:dyDescent="0.25">
      <c r="A68" s="399" t="s">
        <v>358</v>
      </c>
      <c r="B68" s="455">
        <v>902</v>
      </c>
      <c r="C68" s="402" t="s">
        <v>116</v>
      </c>
      <c r="D68" s="402" t="s">
        <v>139</v>
      </c>
      <c r="E68" s="402" t="s">
        <v>490</v>
      </c>
      <c r="F68" s="414"/>
      <c r="G68" s="318">
        <f>G69</f>
        <v>0</v>
      </c>
      <c r="H68" s="318">
        <f>H69</f>
        <v>0</v>
      </c>
      <c r="I68" s="334"/>
      <c r="J68" s="321"/>
    </row>
    <row r="69" spans="1:11" ht="31.5" hidden="1" x14ac:dyDescent="0.25">
      <c r="A69" s="399" t="s">
        <v>123</v>
      </c>
      <c r="B69" s="455">
        <v>902</v>
      </c>
      <c r="C69" s="402" t="s">
        <v>116</v>
      </c>
      <c r="D69" s="402" t="s">
        <v>139</v>
      </c>
      <c r="E69" s="402" t="s">
        <v>490</v>
      </c>
      <c r="F69" s="402" t="s">
        <v>124</v>
      </c>
      <c r="G69" s="318">
        <f>G70</f>
        <v>0</v>
      </c>
      <c r="H69" s="318">
        <f>H70</f>
        <v>0</v>
      </c>
      <c r="I69" s="334"/>
      <c r="J69" s="321"/>
    </row>
    <row r="70" spans="1:11" ht="31.5" hidden="1" x14ac:dyDescent="0.25">
      <c r="A70" s="399" t="s">
        <v>125</v>
      </c>
      <c r="B70" s="455">
        <v>902</v>
      </c>
      <c r="C70" s="402" t="s">
        <v>116</v>
      </c>
      <c r="D70" s="402" t="s">
        <v>139</v>
      </c>
      <c r="E70" s="402" t="s">
        <v>490</v>
      </c>
      <c r="F70" s="402" t="s">
        <v>126</v>
      </c>
      <c r="G70" s="318">
        <v>0</v>
      </c>
      <c r="H70" s="318">
        <v>0</v>
      </c>
      <c r="I70" s="334"/>
      <c r="J70" s="321"/>
    </row>
    <row r="71" spans="1:11" ht="47.25" x14ac:dyDescent="0.25">
      <c r="A71" s="401" t="s">
        <v>150</v>
      </c>
      <c r="B71" s="455">
        <v>902</v>
      </c>
      <c r="C71" s="402" t="s">
        <v>116</v>
      </c>
      <c r="D71" s="402" t="s">
        <v>139</v>
      </c>
      <c r="E71" s="402" t="s">
        <v>491</v>
      </c>
      <c r="F71" s="402"/>
      <c r="G71" s="318">
        <f>G72+G74</f>
        <v>601.20000000000005</v>
      </c>
      <c r="H71" s="318">
        <f>H72+H74</f>
        <v>624.20000000000005</v>
      </c>
      <c r="I71" s="334"/>
      <c r="J71" s="321"/>
    </row>
    <row r="72" spans="1:11" ht="63" x14ac:dyDescent="0.25">
      <c r="A72" s="399" t="s">
        <v>119</v>
      </c>
      <c r="B72" s="455">
        <v>902</v>
      </c>
      <c r="C72" s="402" t="s">
        <v>116</v>
      </c>
      <c r="D72" s="402" t="s">
        <v>139</v>
      </c>
      <c r="E72" s="402" t="s">
        <v>491</v>
      </c>
      <c r="F72" s="402" t="s">
        <v>120</v>
      </c>
      <c r="G72" s="318">
        <f>G73</f>
        <v>601.20000000000005</v>
      </c>
      <c r="H72" s="318">
        <f>H73</f>
        <v>624.20000000000005</v>
      </c>
      <c r="I72" s="334"/>
      <c r="J72" s="321"/>
    </row>
    <row r="73" spans="1:11" ht="31.5" x14ac:dyDescent="0.25">
      <c r="A73" s="399" t="s">
        <v>121</v>
      </c>
      <c r="B73" s="455">
        <v>902</v>
      </c>
      <c r="C73" s="402" t="s">
        <v>116</v>
      </c>
      <c r="D73" s="402" t="s">
        <v>139</v>
      </c>
      <c r="E73" s="402" t="s">
        <v>491</v>
      </c>
      <c r="F73" s="402" t="s">
        <v>122</v>
      </c>
      <c r="G73" s="318">
        <f>601+0.2</f>
        <v>601.20000000000005</v>
      </c>
      <c r="H73" s="318">
        <v>624.20000000000005</v>
      </c>
      <c r="I73" s="334" t="s">
        <v>1339</v>
      </c>
      <c r="J73" s="321"/>
    </row>
    <row r="74" spans="1:11" ht="31.5" hidden="1" x14ac:dyDescent="0.25">
      <c r="A74" s="399" t="s">
        <v>123</v>
      </c>
      <c r="B74" s="455">
        <v>902</v>
      </c>
      <c r="C74" s="402" t="s">
        <v>116</v>
      </c>
      <c r="D74" s="402" t="s">
        <v>139</v>
      </c>
      <c r="E74" s="402" t="s">
        <v>491</v>
      </c>
      <c r="F74" s="402" t="s">
        <v>124</v>
      </c>
      <c r="G74" s="318">
        <f>G75</f>
        <v>0</v>
      </c>
      <c r="H74" s="318">
        <f>H75</f>
        <v>0</v>
      </c>
      <c r="I74" s="334"/>
      <c r="J74" s="321"/>
    </row>
    <row r="75" spans="1:11" ht="31.5" hidden="1" x14ac:dyDescent="0.25">
      <c r="A75" s="399" t="s">
        <v>125</v>
      </c>
      <c r="B75" s="455">
        <v>902</v>
      </c>
      <c r="C75" s="402" t="s">
        <v>116</v>
      </c>
      <c r="D75" s="402" t="s">
        <v>139</v>
      </c>
      <c r="E75" s="402" t="s">
        <v>491</v>
      </c>
      <c r="F75" s="402" t="s">
        <v>126</v>
      </c>
      <c r="G75" s="318">
        <v>0</v>
      </c>
      <c r="H75" s="318">
        <v>0</v>
      </c>
      <c r="I75" s="334"/>
      <c r="J75" s="321"/>
    </row>
    <row r="76" spans="1:11" ht="31.5" x14ac:dyDescent="0.25">
      <c r="A76" s="401" t="s">
        <v>152</v>
      </c>
      <c r="B76" s="455">
        <v>902</v>
      </c>
      <c r="C76" s="402" t="s">
        <v>116</v>
      </c>
      <c r="D76" s="402" t="s">
        <v>139</v>
      </c>
      <c r="E76" s="402" t="s">
        <v>492</v>
      </c>
      <c r="F76" s="402"/>
      <c r="G76" s="318">
        <f>G77+G79</f>
        <v>1477.7</v>
      </c>
      <c r="H76" s="318">
        <f>H77+H79</f>
        <v>1536.8000000000002</v>
      </c>
      <c r="I76" s="334"/>
      <c r="J76" s="321"/>
    </row>
    <row r="77" spans="1:11" ht="63" x14ac:dyDescent="0.25">
      <c r="A77" s="399" t="s">
        <v>119</v>
      </c>
      <c r="B77" s="455">
        <v>902</v>
      </c>
      <c r="C77" s="402" t="s">
        <v>116</v>
      </c>
      <c r="D77" s="402" t="s">
        <v>139</v>
      </c>
      <c r="E77" s="402" t="s">
        <v>492</v>
      </c>
      <c r="F77" s="402" t="s">
        <v>120</v>
      </c>
      <c r="G77" s="318">
        <f>G78</f>
        <v>1383.3</v>
      </c>
      <c r="H77" s="318">
        <f>H78</f>
        <v>1442.1000000000001</v>
      </c>
      <c r="I77" s="334"/>
      <c r="J77" s="321"/>
    </row>
    <row r="78" spans="1:11" ht="31.5" x14ac:dyDescent="0.25">
      <c r="A78" s="399" t="s">
        <v>121</v>
      </c>
      <c r="B78" s="455">
        <v>902</v>
      </c>
      <c r="C78" s="402" t="s">
        <v>116</v>
      </c>
      <c r="D78" s="402" t="s">
        <v>139</v>
      </c>
      <c r="E78" s="402" t="s">
        <v>492</v>
      </c>
      <c r="F78" s="402" t="s">
        <v>122</v>
      </c>
      <c r="G78" s="318">
        <f>1383.2+0.1</f>
        <v>1383.3</v>
      </c>
      <c r="H78" s="318">
        <f>1441.9+0.2</f>
        <v>1442.1000000000001</v>
      </c>
      <c r="I78" s="334" t="s">
        <v>1340</v>
      </c>
      <c r="J78" s="321"/>
    </row>
    <row r="79" spans="1:11" ht="31.5" x14ac:dyDescent="0.25">
      <c r="A79" s="399" t="s">
        <v>153</v>
      </c>
      <c r="B79" s="455">
        <v>902</v>
      </c>
      <c r="C79" s="402" t="s">
        <v>116</v>
      </c>
      <c r="D79" s="402" t="s">
        <v>139</v>
      </c>
      <c r="E79" s="402" t="s">
        <v>492</v>
      </c>
      <c r="F79" s="402" t="s">
        <v>124</v>
      </c>
      <c r="G79" s="318">
        <f>G80</f>
        <v>94.4</v>
      </c>
      <c r="H79" s="318">
        <f>H80</f>
        <v>94.7</v>
      </c>
      <c r="I79" s="334"/>
      <c r="J79" s="321"/>
    </row>
    <row r="80" spans="1:11" ht="31.5" x14ac:dyDescent="0.25">
      <c r="A80" s="399" t="s">
        <v>125</v>
      </c>
      <c r="B80" s="455">
        <v>902</v>
      </c>
      <c r="C80" s="402" t="s">
        <v>116</v>
      </c>
      <c r="D80" s="402" t="s">
        <v>139</v>
      </c>
      <c r="E80" s="402" t="s">
        <v>492</v>
      </c>
      <c r="F80" s="402" t="s">
        <v>126</v>
      </c>
      <c r="G80" s="318">
        <f>94.5-0.1</f>
        <v>94.4</v>
      </c>
      <c r="H80" s="318">
        <f>94.9-0.2</f>
        <v>94.7</v>
      </c>
      <c r="I80" s="334" t="s">
        <v>1341</v>
      </c>
      <c r="J80" s="321"/>
    </row>
    <row r="81" spans="1:10" ht="31.5" x14ac:dyDescent="0.25">
      <c r="A81" s="399" t="s">
        <v>1147</v>
      </c>
      <c r="B81" s="455">
        <v>902</v>
      </c>
      <c r="C81" s="402" t="s">
        <v>116</v>
      </c>
      <c r="D81" s="402" t="s">
        <v>139</v>
      </c>
      <c r="E81" s="402" t="s">
        <v>1152</v>
      </c>
      <c r="F81" s="402"/>
      <c r="G81" s="318">
        <f>G82+G84</f>
        <v>1641.7</v>
      </c>
      <c r="H81" s="318">
        <f>H82+H84</f>
        <v>1707.3</v>
      </c>
      <c r="I81" s="334"/>
      <c r="J81" s="321"/>
    </row>
    <row r="82" spans="1:10" ht="63" x14ac:dyDescent="0.25">
      <c r="A82" s="399" t="s">
        <v>119</v>
      </c>
      <c r="B82" s="455">
        <v>902</v>
      </c>
      <c r="C82" s="402" t="s">
        <v>116</v>
      </c>
      <c r="D82" s="402" t="s">
        <v>139</v>
      </c>
      <c r="E82" s="402" t="s">
        <v>1152</v>
      </c>
      <c r="F82" s="402" t="s">
        <v>120</v>
      </c>
      <c r="G82" s="318">
        <f>G83</f>
        <v>1601.4</v>
      </c>
      <c r="H82" s="318">
        <f>H83</f>
        <v>1619.1</v>
      </c>
      <c r="I82" s="334"/>
      <c r="J82" s="321"/>
    </row>
    <row r="83" spans="1:10" ht="31.5" x14ac:dyDescent="0.25">
      <c r="A83" s="399" t="s">
        <v>121</v>
      </c>
      <c r="B83" s="455">
        <v>902</v>
      </c>
      <c r="C83" s="402" t="s">
        <v>116</v>
      </c>
      <c r="D83" s="402" t="s">
        <v>139</v>
      </c>
      <c r="E83" s="402" t="s">
        <v>1152</v>
      </c>
      <c r="F83" s="402" t="s">
        <v>122</v>
      </c>
      <c r="G83" s="318">
        <v>1601.4</v>
      </c>
      <c r="H83" s="318">
        <f>1603.5+15.6</f>
        <v>1619.1</v>
      </c>
      <c r="I83" s="334" t="s">
        <v>1330</v>
      </c>
      <c r="J83" s="321"/>
    </row>
    <row r="84" spans="1:10" ht="31.5" x14ac:dyDescent="0.25">
      <c r="A84" s="399" t="s">
        <v>123</v>
      </c>
      <c r="B84" s="455">
        <v>902</v>
      </c>
      <c r="C84" s="402" t="s">
        <v>116</v>
      </c>
      <c r="D84" s="402" t="s">
        <v>139</v>
      </c>
      <c r="E84" s="402" t="s">
        <v>1152</v>
      </c>
      <c r="F84" s="402" t="s">
        <v>124</v>
      </c>
      <c r="G84" s="318">
        <f>G85</f>
        <v>40.299999999999997</v>
      </c>
      <c r="H84" s="318">
        <f>H85</f>
        <v>88.2</v>
      </c>
      <c r="I84" s="334"/>
      <c r="J84" s="321"/>
    </row>
    <row r="85" spans="1:10" ht="31.5" x14ac:dyDescent="0.25">
      <c r="A85" s="399" t="s">
        <v>125</v>
      </c>
      <c r="B85" s="455">
        <v>902</v>
      </c>
      <c r="C85" s="402" t="s">
        <v>116</v>
      </c>
      <c r="D85" s="402" t="s">
        <v>139</v>
      </c>
      <c r="E85" s="402" t="s">
        <v>1152</v>
      </c>
      <c r="F85" s="402" t="s">
        <v>126</v>
      </c>
      <c r="G85" s="318">
        <v>40.299999999999997</v>
      </c>
      <c r="H85" s="318">
        <v>88.2</v>
      </c>
      <c r="I85" s="334"/>
      <c r="J85" s="321"/>
    </row>
    <row r="86" spans="1:10" ht="31.5" x14ac:dyDescent="0.25">
      <c r="A86" s="417" t="s">
        <v>841</v>
      </c>
      <c r="B86" s="454">
        <v>902</v>
      </c>
      <c r="C86" s="414" t="s">
        <v>116</v>
      </c>
      <c r="D86" s="414" t="s">
        <v>139</v>
      </c>
      <c r="E86" s="414" t="s">
        <v>143</v>
      </c>
      <c r="F86" s="414"/>
      <c r="G86" s="314">
        <f>G87+G91+G100</f>
        <v>603.5</v>
      </c>
      <c r="H86" s="314">
        <f>H87+H91+H100</f>
        <v>603.5</v>
      </c>
      <c r="I86" s="334"/>
      <c r="J86" s="321"/>
    </row>
    <row r="87" spans="1:10" ht="63" x14ac:dyDescent="0.25">
      <c r="A87" s="458" t="s">
        <v>842</v>
      </c>
      <c r="B87" s="454">
        <v>902</v>
      </c>
      <c r="C87" s="414" t="s">
        <v>116</v>
      </c>
      <c r="D87" s="414" t="s">
        <v>139</v>
      </c>
      <c r="E87" s="407" t="s">
        <v>425</v>
      </c>
      <c r="F87" s="414"/>
      <c r="G87" s="314">
        <f t="shared" ref="G87:H89" si="2">G88</f>
        <v>526</v>
      </c>
      <c r="H87" s="314">
        <f t="shared" si="2"/>
        <v>526</v>
      </c>
      <c r="I87" s="334"/>
      <c r="J87" s="321"/>
    </row>
    <row r="88" spans="1:10" ht="47.25" x14ac:dyDescent="0.25">
      <c r="A88" s="459" t="s">
        <v>820</v>
      </c>
      <c r="B88" s="455">
        <v>902</v>
      </c>
      <c r="C88" s="402" t="s">
        <v>116</v>
      </c>
      <c r="D88" s="402" t="s">
        <v>139</v>
      </c>
      <c r="E88" s="403" t="s">
        <v>418</v>
      </c>
      <c r="F88" s="402"/>
      <c r="G88" s="318">
        <f t="shared" si="2"/>
        <v>526</v>
      </c>
      <c r="H88" s="318">
        <f t="shared" si="2"/>
        <v>526</v>
      </c>
      <c r="I88" s="334"/>
      <c r="J88" s="321"/>
    </row>
    <row r="89" spans="1:10" ht="31.5" x14ac:dyDescent="0.25">
      <c r="A89" s="399" t="s">
        <v>123</v>
      </c>
      <c r="B89" s="455">
        <v>902</v>
      </c>
      <c r="C89" s="402" t="s">
        <v>116</v>
      </c>
      <c r="D89" s="402" t="s">
        <v>139</v>
      </c>
      <c r="E89" s="403" t="s">
        <v>418</v>
      </c>
      <c r="F89" s="402" t="s">
        <v>124</v>
      </c>
      <c r="G89" s="318">
        <f t="shared" si="2"/>
        <v>526</v>
      </c>
      <c r="H89" s="318">
        <f t="shared" si="2"/>
        <v>526</v>
      </c>
      <c r="I89" s="334"/>
      <c r="J89" s="321"/>
    </row>
    <row r="90" spans="1:10" ht="31.5" x14ac:dyDescent="0.25">
      <c r="A90" s="399" t="s">
        <v>125</v>
      </c>
      <c r="B90" s="455">
        <v>902</v>
      </c>
      <c r="C90" s="402" t="s">
        <v>116</v>
      </c>
      <c r="D90" s="402" t="s">
        <v>139</v>
      </c>
      <c r="E90" s="403" t="s">
        <v>418</v>
      </c>
      <c r="F90" s="402" t="s">
        <v>126</v>
      </c>
      <c r="G90" s="318">
        <v>526</v>
      </c>
      <c r="H90" s="318">
        <v>526</v>
      </c>
      <c r="I90" s="334"/>
      <c r="J90" s="321"/>
    </row>
    <row r="91" spans="1:10" ht="69.75" customHeight="1" x14ac:dyDescent="0.25">
      <c r="A91" s="456" t="s">
        <v>843</v>
      </c>
      <c r="B91" s="457">
        <v>902</v>
      </c>
      <c r="C91" s="414" t="s">
        <v>116</v>
      </c>
      <c r="D91" s="414" t="s">
        <v>139</v>
      </c>
      <c r="E91" s="407" t="s">
        <v>426</v>
      </c>
      <c r="F91" s="414"/>
      <c r="G91" s="314">
        <f>G92+G97</f>
        <v>77</v>
      </c>
      <c r="H91" s="314">
        <f>H92+H97</f>
        <v>77</v>
      </c>
      <c r="I91" s="334"/>
      <c r="J91" s="321"/>
    </row>
    <row r="92" spans="1:10" ht="47.25" x14ac:dyDescent="0.25">
      <c r="A92" s="460" t="s">
        <v>144</v>
      </c>
      <c r="B92" s="455">
        <v>902</v>
      </c>
      <c r="C92" s="402" t="s">
        <v>116</v>
      </c>
      <c r="D92" s="402" t="s">
        <v>139</v>
      </c>
      <c r="E92" s="403" t="s">
        <v>419</v>
      </c>
      <c r="F92" s="402"/>
      <c r="G92" s="318">
        <f>G93+G95</f>
        <v>77</v>
      </c>
      <c r="H92" s="318">
        <f>H93+H95</f>
        <v>77</v>
      </c>
      <c r="I92" s="334"/>
      <c r="J92" s="321"/>
    </row>
    <row r="93" spans="1:10" ht="63" x14ac:dyDescent="0.25">
      <c r="A93" s="399" t="s">
        <v>119</v>
      </c>
      <c r="B93" s="455">
        <v>902</v>
      </c>
      <c r="C93" s="402" t="s">
        <v>116</v>
      </c>
      <c r="D93" s="402" t="s">
        <v>139</v>
      </c>
      <c r="E93" s="403" t="s">
        <v>419</v>
      </c>
      <c r="F93" s="402" t="s">
        <v>120</v>
      </c>
      <c r="G93" s="318">
        <f>G94</f>
        <v>37.200000000000003</v>
      </c>
      <c r="H93" s="318">
        <f>H94</f>
        <v>37.200000000000003</v>
      </c>
      <c r="I93" s="334"/>
      <c r="J93" s="321"/>
    </row>
    <row r="94" spans="1:10" ht="31.5" x14ac:dyDescent="0.25">
      <c r="A94" s="399" t="s">
        <v>121</v>
      </c>
      <c r="B94" s="455">
        <v>902</v>
      </c>
      <c r="C94" s="402" t="s">
        <v>116</v>
      </c>
      <c r="D94" s="402" t="s">
        <v>139</v>
      </c>
      <c r="E94" s="403" t="s">
        <v>419</v>
      </c>
      <c r="F94" s="402" t="s">
        <v>122</v>
      </c>
      <c r="G94" s="318">
        <v>37.200000000000003</v>
      </c>
      <c r="H94" s="318">
        <v>37.200000000000003</v>
      </c>
      <c r="I94" s="334"/>
      <c r="J94" s="321"/>
    </row>
    <row r="95" spans="1:10" ht="31.5" x14ac:dyDescent="0.25">
      <c r="A95" s="399" t="s">
        <v>123</v>
      </c>
      <c r="B95" s="455">
        <v>902</v>
      </c>
      <c r="C95" s="402" t="s">
        <v>116</v>
      </c>
      <c r="D95" s="402" t="s">
        <v>139</v>
      </c>
      <c r="E95" s="403" t="s">
        <v>419</v>
      </c>
      <c r="F95" s="402" t="s">
        <v>124</v>
      </c>
      <c r="G95" s="318">
        <f>G96</f>
        <v>39.799999999999997</v>
      </c>
      <c r="H95" s="318">
        <f>H96</f>
        <v>39.799999999999997</v>
      </c>
      <c r="I95" s="334"/>
      <c r="J95" s="321"/>
    </row>
    <row r="96" spans="1:10" ht="31.5" x14ac:dyDescent="0.25">
      <c r="A96" s="399" t="s">
        <v>125</v>
      </c>
      <c r="B96" s="455">
        <v>902</v>
      </c>
      <c r="C96" s="402" t="s">
        <v>116</v>
      </c>
      <c r="D96" s="402" t="s">
        <v>139</v>
      </c>
      <c r="E96" s="403" t="s">
        <v>419</v>
      </c>
      <c r="F96" s="402" t="s">
        <v>126</v>
      </c>
      <c r="G96" s="318">
        <v>39.799999999999997</v>
      </c>
      <c r="H96" s="318">
        <v>39.799999999999997</v>
      </c>
      <c r="I96" s="334"/>
      <c r="J96" s="321"/>
    </row>
    <row r="97" spans="1:10" ht="47.25" hidden="1" x14ac:dyDescent="0.25">
      <c r="A97" s="401" t="s">
        <v>648</v>
      </c>
      <c r="B97" s="455">
        <v>902</v>
      </c>
      <c r="C97" s="402" t="s">
        <v>116</v>
      </c>
      <c r="D97" s="402" t="s">
        <v>139</v>
      </c>
      <c r="E97" s="403" t="s">
        <v>556</v>
      </c>
      <c r="F97" s="402"/>
      <c r="G97" s="318">
        <f>G98</f>
        <v>0</v>
      </c>
      <c r="H97" s="318">
        <f>H98</f>
        <v>0</v>
      </c>
      <c r="I97" s="334"/>
      <c r="J97" s="321"/>
    </row>
    <row r="98" spans="1:10" ht="31.5" hidden="1" x14ac:dyDescent="0.25">
      <c r="A98" s="399" t="s">
        <v>123</v>
      </c>
      <c r="B98" s="455">
        <v>902</v>
      </c>
      <c r="C98" s="402" t="s">
        <v>116</v>
      </c>
      <c r="D98" s="402" t="s">
        <v>139</v>
      </c>
      <c r="E98" s="403" t="s">
        <v>556</v>
      </c>
      <c r="F98" s="402" t="s">
        <v>124</v>
      </c>
      <c r="G98" s="318">
        <f>G99</f>
        <v>0</v>
      </c>
      <c r="H98" s="318">
        <f>H99</f>
        <v>0</v>
      </c>
      <c r="I98" s="334"/>
      <c r="J98" s="321"/>
    </row>
    <row r="99" spans="1:10" ht="31.5" hidden="1" x14ac:dyDescent="0.25">
      <c r="A99" s="399" t="s">
        <v>125</v>
      </c>
      <c r="B99" s="455">
        <v>902</v>
      </c>
      <c r="C99" s="402" t="s">
        <v>116</v>
      </c>
      <c r="D99" s="402" t="s">
        <v>139</v>
      </c>
      <c r="E99" s="403" t="s">
        <v>335</v>
      </c>
      <c r="F99" s="402" t="s">
        <v>126</v>
      </c>
      <c r="G99" s="318">
        <v>0</v>
      </c>
      <c r="H99" s="318">
        <v>0</v>
      </c>
      <c r="I99" s="334"/>
      <c r="J99" s="321"/>
    </row>
    <row r="100" spans="1:10" ht="51" customHeight="1" x14ac:dyDescent="0.25">
      <c r="A100" s="461" t="s">
        <v>566</v>
      </c>
      <c r="B100" s="454">
        <v>902</v>
      </c>
      <c r="C100" s="414" t="s">
        <v>116</v>
      </c>
      <c r="D100" s="414" t="s">
        <v>139</v>
      </c>
      <c r="E100" s="407" t="s">
        <v>427</v>
      </c>
      <c r="F100" s="414"/>
      <c r="G100" s="314">
        <f t="shared" ref="G100:H102" si="3">G101</f>
        <v>0.5</v>
      </c>
      <c r="H100" s="314">
        <f t="shared" si="3"/>
        <v>0.5</v>
      </c>
      <c r="I100" s="334"/>
      <c r="J100" s="321"/>
    </row>
    <row r="101" spans="1:10" ht="31.5" x14ac:dyDescent="0.25">
      <c r="A101" s="462" t="s">
        <v>151</v>
      </c>
      <c r="B101" s="455">
        <v>902</v>
      </c>
      <c r="C101" s="402" t="s">
        <v>116</v>
      </c>
      <c r="D101" s="402" t="s">
        <v>139</v>
      </c>
      <c r="E101" s="403" t="s">
        <v>421</v>
      </c>
      <c r="F101" s="402" t="s">
        <v>1180</v>
      </c>
      <c r="G101" s="318">
        <f t="shared" si="3"/>
        <v>0.5</v>
      </c>
      <c r="H101" s="318">
        <f t="shared" si="3"/>
        <v>0.5</v>
      </c>
      <c r="I101" s="334"/>
      <c r="J101" s="321"/>
    </row>
    <row r="102" spans="1:10" ht="31.5" x14ac:dyDescent="0.25">
      <c r="A102" s="399" t="s">
        <v>123</v>
      </c>
      <c r="B102" s="455">
        <v>902</v>
      </c>
      <c r="C102" s="402" t="s">
        <v>116</v>
      </c>
      <c r="D102" s="402" t="s">
        <v>139</v>
      </c>
      <c r="E102" s="403" t="s">
        <v>421</v>
      </c>
      <c r="F102" s="402" t="s">
        <v>124</v>
      </c>
      <c r="G102" s="318">
        <f t="shared" si="3"/>
        <v>0.5</v>
      </c>
      <c r="H102" s="318">
        <f t="shared" si="3"/>
        <v>0.5</v>
      </c>
      <c r="I102" s="334"/>
      <c r="J102" s="321"/>
    </row>
    <row r="103" spans="1:10" ht="31.5" x14ac:dyDescent="0.25">
      <c r="A103" s="399" t="s">
        <v>125</v>
      </c>
      <c r="B103" s="455">
        <v>902</v>
      </c>
      <c r="C103" s="402" t="s">
        <v>116</v>
      </c>
      <c r="D103" s="402" t="s">
        <v>139</v>
      </c>
      <c r="E103" s="403" t="s">
        <v>421</v>
      </c>
      <c r="F103" s="402" t="s">
        <v>126</v>
      </c>
      <c r="G103" s="318">
        <v>0.5</v>
      </c>
      <c r="H103" s="318">
        <v>0.5</v>
      </c>
      <c r="I103" s="334"/>
      <c r="J103" s="321"/>
    </row>
    <row r="104" spans="1:10" ht="47.25" x14ac:dyDescent="0.25">
      <c r="A104" s="417" t="s">
        <v>117</v>
      </c>
      <c r="B104" s="454">
        <v>902</v>
      </c>
      <c r="C104" s="414" t="s">
        <v>116</v>
      </c>
      <c r="D104" s="414" t="s">
        <v>118</v>
      </c>
      <c r="E104" s="414"/>
      <c r="F104" s="402"/>
      <c r="G104" s="314">
        <f>G105</f>
        <v>1492</v>
      </c>
      <c r="H104" s="314">
        <f>H105</f>
        <v>1406</v>
      </c>
      <c r="I104" s="334"/>
      <c r="J104" s="321"/>
    </row>
    <row r="105" spans="1:10" ht="39.200000000000003" customHeight="1" x14ac:dyDescent="0.25">
      <c r="A105" s="417" t="s">
        <v>488</v>
      </c>
      <c r="B105" s="454">
        <v>902</v>
      </c>
      <c r="C105" s="414" t="s">
        <v>116</v>
      </c>
      <c r="D105" s="414" t="s">
        <v>118</v>
      </c>
      <c r="E105" s="414" t="s">
        <v>434</v>
      </c>
      <c r="F105" s="414"/>
      <c r="G105" s="314">
        <f>G106</f>
        <v>1492</v>
      </c>
      <c r="H105" s="314">
        <f>H106</f>
        <v>1406</v>
      </c>
      <c r="I105" s="334"/>
      <c r="J105" s="321"/>
    </row>
    <row r="106" spans="1:10" ht="15.75" x14ac:dyDescent="0.25">
      <c r="A106" s="417" t="s">
        <v>489</v>
      </c>
      <c r="B106" s="454">
        <v>902</v>
      </c>
      <c r="C106" s="414" t="s">
        <v>116</v>
      </c>
      <c r="D106" s="414" t="s">
        <v>118</v>
      </c>
      <c r="E106" s="414" t="s">
        <v>435</v>
      </c>
      <c r="F106" s="414"/>
      <c r="G106" s="314">
        <f>G107+G110</f>
        <v>1492</v>
      </c>
      <c r="H106" s="314">
        <f>H107+H110</f>
        <v>1406</v>
      </c>
      <c r="I106" s="334"/>
      <c r="J106" s="321"/>
    </row>
    <row r="107" spans="1:10" ht="31.5" x14ac:dyDescent="0.25">
      <c r="A107" s="399" t="s">
        <v>468</v>
      </c>
      <c r="B107" s="455">
        <v>902</v>
      </c>
      <c r="C107" s="402" t="s">
        <v>116</v>
      </c>
      <c r="D107" s="402" t="s">
        <v>118</v>
      </c>
      <c r="E107" s="402" t="s">
        <v>436</v>
      </c>
      <c r="F107" s="402"/>
      <c r="G107" s="318">
        <f>G108</f>
        <v>1406</v>
      </c>
      <c r="H107" s="318">
        <f>H108</f>
        <v>1406</v>
      </c>
      <c r="I107" s="334"/>
      <c r="J107" s="321"/>
    </row>
    <row r="108" spans="1:10" ht="63" x14ac:dyDescent="0.25">
      <c r="A108" s="399" t="s">
        <v>119</v>
      </c>
      <c r="B108" s="455">
        <v>902</v>
      </c>
      <c r="C108" s="402" t="s">
        <v>116</v>
      </c>
      <c r="D108" s="402" t="s">
        <v>118</v>
      </c>
      <c r="E108" s="402" t="s">
        <v>436</v>
      </c>
      <c r="F108" s="402" t="s">
        <v>120</v>
      </c>
      <c r="G108" s="318">
        <f>G109</f>
        <v>1406</v>
      </c>
      <c r="H108" s="318">
        <f>H109</f>
        <v>1406</v>
      </c>
      <c r="I108" s="334"/>
      <c r="J108" s="321"/>
    </row>
    <row r="109" spans="1:10" ht="31.5" x14ac:dyDescent="0.25">
      <c r="A109" s="399" t="s">
        <v>121</v>
      </c>
      <c r="B109" s="455">
        <v>902</v>
      </c>
      <c r="C109" s="402" t="s">
        <v>116</v>
      </c>
      <c r="D109" s="402" t="s">
        <v>118</v>
      </c>
      <c r="E109" s="402" t="s">
        <v>436</v>
      </c>
      <c r="F109" s="402" t="s">
        <v>122</v>
      </c>
      <c r="G109" s="20">
        <v>1406</v>
      </c>
      <c r="H109" s="20">
        <f>G109</f>
        <v>1406</v>
      </c>
      <c r="I109" s="334"/>
      <c r="J109" s="321"/>
    </row>
    <row r="110" spans="1:10" ht="31.7" customHeight="1" x14ac:dyDescent="0.25">
      <c r="A110" s="399" t="s">
        <v>416</v>
      </c>
      <c r="B110" s="455">
        <v>902</v>
      </c>
      <c r="C110" s="402" t="s">
        <v>116</v>
      </c>
      <c r="D110" s="402" t="s">
        <v>118</v>
      </c>
      <c r="E110" s="402" t="s">
        <v>438</v>
      </c>
      <c r="F110" s="402"/>
      <c r="G110" s="318">
        <f>G111</f>
        <v>86</v>
      </c>
      <c r="H110" s="318">
        <f>H111</f>
        <v>0</v>
      </c>
      <c r="I110" s="334"/>
      <c r="J110" s="321"/>
    </row>
    <row r="111" spans="1:10" ht="31.7" customHeight="1" x14ac:dyDescent="0.25">
      <c r="A111" s="399" t="s">
        <v>119</v>
      </c>
      <c r="B111" s="455">
        <v>902</v>
      </c>
      <c r="C111" s="402" t="s">
        <v>116</v>
      </c>
      <c r="D111" s="402" t="s">
        <v>118</v>
      </c>
      <c r="E111" s="402" t="s">
        <v>438</v>
      </c>
      <c r="F111" s="402" t="s">
        <v>120</v>
      </c>
      <c r="G111" s="318">
        <f>G112</f>
        <v>86</v>
      </c>
      <c r="H111" s="318">
        <f>H112</f>
        <v>0</v>
      </c>
      <c r="I111" s="334"/>
      <c r="J111" s="321"/>
    </row>
    <row r="112" spans="1:10" ht="34.5" customHeight="1" x14ac:dyDescent="0.25">
      <c r="A112" s="399" t="s">
        <v>121</v>
      </c>
      <c r="B112" s="455">
        <v>902</v>
      </c>
      <c r="C112" s="402" t="s">
        <v>116</v>
      </c>
      <c r="D112" s="402" t="s">
        <v>118</v>
      </c>
      <c r="E112" s="402" t="s">
        <v>438</v>
      </c>
      <c r="F112" s="402" t="s">
        <v>122</v>
      </c>
      <c r="G112" s="318">
        <v>86</v>
      </c>
      <c r="H112" s="318">
        <v>0</v>
      </c>
      <c r="I112" s="334"/>
      <c r="J112" s="321"/>
    </row>
    <row r="113" spans="1:11" ht="17.45" hidden="1" customHeight="1" x14ac:dyDescent="0.25">
      <c r="A113" s="417" t="s">
        <v>698</v>
      </c>
      <c r="B113" s="454">
        <v>902</v>
      </c>
      <c r="C113" s="414" t="s">
        <v>116</v>
      </c>
      <c r="D113" s="414" t="s">
        <v>187</v>
      </c>
      <c r="E113" s="414"/>
      <c r="F113" s="402"/>
      <c r="G113" s="314">
        <f t="shared" ref="G113:H115" si="4">G114</f>
        <v>0</v>
      </c>
      <c r="H113" s="314">
        <f t="shared" si="4"/>
        <v>0</v>
      </c>
      <c r="I113" s="334"/>
      <c r="J113" s="321"/>
    </row>
    <row r="114" spans="1:11" ht="21.75" hidden="1" customHeight="1" x14ac:dyDescent="0.25">
      <c r="A114" s="417" t="s">
        <v>133</v>
      </c>
      <c r="B114" s="454">
        <v>902</v>
      </c>
      <c r="C114" s="414" t="s">
        <v>116</v>
      </c>
      <c r="D114" s="414" t="s">
        <v>187</v>
      </c>
      <c r="E114" s="414" t="s">
        <v>442</v>
      </c>
      <c r="F114" s="402"/>
      <c r="G114" s="314">
        <f t="shared" si="4"/>
        <v>0</v>
      </c>
      <c r="H114" s="314">
        <f t="shared" si="4"/>
        <v>0</v>
      </c>
      <c r="I114" s="334"/>
      <c r="J114" s="321"/>
    </row>
    <row r="115" spans="1:11" ht="34.5" hidden="1" customHeight="1" x14ac:dyDescent="0.25">
      <c r="A115" s="417" t="s">
        <v>446</v>
      </c>
      <c r="B115" s="454">
        <v>902</v>
      </c>
      <c r="C115" s="414" t="s">
        <v>116</v>
      </c>
      <c r="D115" s="414" t="s">
        <v>187</v>
      </c>
      <c r="E115" s="414" t="s">
        <v>441</v>
      </c>
      <c r="F115" s="402"/>
      <c r="G115" s="314">
        <f t="shared" si="4"/>
        <v>0</v>
      </c>
      <c r="H115" s="314">
        <f t="shared" si="4"/>
        <v>0</v>
      </c>
      <c r="I115" s="334"/>
      <c r="J115" s="321"/>
    </row>
    <row r="116" spans="1:11" ht="18" hidden="1" customHeight="1" x14ac:dyDescent="0.25">
      <c r="A116" s="406" t="s">
        <v>154</v>
      </c>
      <c r="B116" s="455">
        <v>902</v>
      </c>
      <c r="C116" s="402" t="s">
        <v>116</v>
      </c>
      <c r="D116" s="402" t="s">
        <v>187</v>
      </c>
      <c r="E116" s="402" t="s">
        <v>697</v>
      </c>
      <c r="F116" s="402"/>
      <c r="G116" s="318">
        <f>G117+G119</f>
        <v>0</v>
      </c>
      <c r="H116" s="318">
        <f>H117+H119</f>
        <v>0</v>
      </c>
      <c r="I116" s="334"/>
      <c r="J116" s="321"/>
    </row>
    <row r="117" spans="1:11" ht="69.75" hidden="1" customHeight="1" x14ac:dyDescent="0.25">
      <c r="A117" s="399" t="s">
        <v>119</v>
      </c>
      <c r="B117" s="455">
        <v>902</v>
      </c>
      <c r="C117" s="402" t="s">
        <v>116</v>
      </c>
      <c r="D117" s="402" t="s">
        <v>187</v>
      </c>
      <c r="E117" s="402" t="s">
        <v>697</v>
      </c>
      <c r="F117" s="402" t="s">
        <v>120</v>
      </c>
      <c r="G117" s="318">
        <f>G118</f>
        <v>0</v>
      </c>
      <c r="H117" s="318">
        <f>H118</f>
        <v>0</v>
      </c>
      <c r="I117" s="334"/>
      <c r="J117" s="321"/>
    </row>
    <row r="118" spans="1:11" ht="34.5" hidden="1" customHeight="1" x14ac:dyDescent="0.25">
      <c r="A118" s="399" t="s">
        <v>121</v>
      </c>
      <c r="B118" s="455">
        <v>902</v>
      </c>
      <c r="C118" s="402" t="s">
        <v>116</v>
      </c>
      <c r="D118" s="402" t="s">
        <v>187</v>
      </c>
      <c r="E118" s="402" t="s">
        <v>697</v>
      </c>
      <c r="F118" s="402" t="s">
        <v>122</v>
      </c>
      <c r="G118" s="318">
        <v>0</v>
      </c>
      <c r="H118" s="318">
        <v>0</v>
      </c>
      <c r="I118" s="334"/>
      <c r="J118" s="321"/>
    </row>
    <row r="119" spans="1:11" ht="34.5" hidden="1" customHeight="1" x14ac:dyDescent="0.25">
      <c r="A119" s="399" t="s">
        <v>153</v>
      </c>
      <c r="B119" s="455">
        <v>902</v>
      </c>
      <c r="C119" s="402" t="s">
        <v>116</v>
      </c>
      <c r="D119" s="402" t="s">
        <v>187</v>
      </c>
      <c r="E119" s="402" t="s">
        <v>697</v>
      </c>
      <c r="F119" s="402" t="s">
        <v>124</v>
      </c>
      <c r="G119" s="318">
        <f>G120</f>
        <v>0</v>
      </c>
      <c r="H119" s="318">
        <f>H120</f>
        <v>0</v>
      </c>
      <c r="I119" s="334"/>
      <c r="J119" s="321"/>
    </row>
    <row r="120" spans="1:11" ht="34.5" hidden="1" customHeight="1" x14ac:dyDescent="0.25">
      <c r="A120" s="399" t="s">
        <v>125</v>
      </c>
      <c r="B120" s="455">
        <v>902</v>
      </c>
      <c r="C120" s="402" t="s">
        <v>116</v>
      </c>
      <c r="D120" s="402" t="s">
        <v>187</v>
      </c>
      <c r="E120" s="402" t="s">
        <v>697</v>
      </c>
      <c r="F120" s="402" t="s">
        <v>126</v>
      </c>
      <c r="G120" s="318">
        <v>0</v>
      </c>
      <c r="H120" s="318">
        <v>0</v>
      </c>
      <c r="I120" s="334"/>
      <c r="J120" s="321"/>
    </row>
    <row r="121" spans="1:11" ht="15.75" x14ac:dyDescent="0.25">
      <c r="A121" s="417" t="s">
        <v>131</v>
      </c>
      <c r="B121" s="454">
        <v>902</v>
      </c>
      <c r="C121" s="414" t="s">
        <v>116</v>
      </c>
      <c r="D121" s="414" t="s">
        <v>132</v>
      </c>
      <c r="E121" s="414"/>
      <c r="F121" s="414"/>
      <c r="G121" s="314">
        <f>G140+G149+G122+G159+G136+G154</f>
        <v>6400.6</v>
      </c>
      <c r="H121" s="314">
        <f>H140+H149+H122+H159+H136+H154</f>
        <v>6400.6</v>
      </c>
      <c r="I121" s="334"/>
      <c r="J121" s="321">
        <v>113</v>
      </c>
      <c r="K121" s="74">
        <f>G121+G248+G576+G610+G845+G936</f>
        <v>61313.8</v>
      </c>
    </row>
    <row r="122" spans="1:11" ht="19.5" hidden="1" customHeight="1" x14ac:dyDescent="0.25">
      <c r="A122" s="417" t="s">
        <v>133</v>
      </c>
      <c r="B122" s="454">
        <v>902</v>
      </c>
      <c r="C122" s="414" t="s">
        <v>116</v>
      </c>
      <c r="D122" s="414" t="s">
        <v>132</v>
      </c>
      <c r="E122" s="414" t="s">
        <v>442</v>
      </c>
      <c r="F122" s="414"/>
      <c r="G122" s="314">
        <f>G127+G123</f>
        <v>6181.6</v>
      </c>
      <c r="H122" s="314">
        <f>H127+H123</f>
        <v>6181.6</v>
      </c>
      <c r="I122" s="334"/>
      <c r="J122" s="321"/>
    </row>
    <row r="123" spans="1:11" ht="30.6" hidden="1" customHeight="1" x14ac:dyDescent="0.25">
      <c r="A123" s="417" t="s">
        <v>446</v>
      </c>
      <c r="B123" s="454">
        <v>902</v>
      </c>
      <c r="C123" s="414" t="s">
        <v>116</v>
      </c>
      <c r="D123" s="414" t="s">
        <v>132</v>
      </c>
      <c r="E123" s="414" t="s">
        <v>441</v>
      </c>
      <c r="F123" s="414"/>
      <c r="G123" s="314">
        <f t="shared" ref="G123:H125" si="5">G124</f>
        <v>0</v>
      </c>
      <c r="H123" s="314">
        <f t="shared" si="5"/>
        <v>0</v>
      </c>
      <c r="I123" s="334"/>
      <c r="J123" s="321"/>
    </row>
    <row r="124" spans="1:11" ht="19.5" hidden="1" customHeight="1" x14ac:dyDescent="0.25">
      <c r="A124" s="399" t="s">
        <v>154</v>
      </c>
      <c r="B124" s="455">
        <v>902</v>
      </c>
      <c r="C124" s="402" t="s">
        <v>116</v>
      </c>
      <c r="D124" s="402" t="s">
        <v>132</v>
      </c>
      <c r="E124" s="402" t="s">
        <v>697</v>
      </c>
      <c r="F124" s="402"/>
      <c r="G124" s="318">
        <f t="shared" si="5"/>
        <v>0</v>
      </c>
      <c r="H124" s="318">
        <f t="shared" si="5"/>
        <v>0</v>
      </c>
      <c r="I124" s="334"/>
      <c r="J124" s="321"/>
    </row>
    <row r="125" spans="1:11" ht="19.5" hidden="1" customHeight="1" x14ac:dyDescent="0.25">
      <c r="A125" s="399" t="s">
        <v>127</v>
      </c>
      <c r="B125" s="455">
        <v>902</v>
      </c>
      <c r="C125" s="402" t="s">
        <v>116</v>
      </c>
      <c r="D125" s="402" t="s">
        <v>132</v>
      </c>
      <c r="E125" s="402" t="s">
        <v>697</v>
      </c>
      <c r="F125" s="402" t="s">
        <v>134</v>
      </c>
      <c r="G125" s="318">
        <f t="shared" si="5"/>
        <v>0</v>
      </c>
      <c r="H125" s="318">
        <f t="shared" si="5"/>
        <v>0</v>
      </c>
      <c r="I125" s="334"/>
      <c r="J125" s="321"/>
    </row>
    <row r="126" spans="1:11" ht="19.5" hidden="1" customHeight="1" x14ac:dyDescent="0.25">
      <c r="A126" s="399" t="s">
        <v>280</v>
      </c>
      <c r="B126" s="455">
        <v>902</v>
      </c>
      <c r="C126" s="402" t="s">
        <v>116</v>
      </c>
      <c r="D126" s="402" t="s">
        <v>132</v>
      </c>
      <c r="E126" s="402" t="s">
        <v>697</v>
      </c>
      <c r="F126" s="402" t="s">
        <v>130</v>
      </c>
      <c r="G126" s="318"/>
      <c r="H126" s="318"/>
      <c r="I126" s="334"/>
      <c r="J126" s="321"/>
    </row>
    <row r="127" spans="1:11" ht="34.5" customHeight="1" x14ac:dyDescent="0.25">
      <c r="A127" s="417" t="s">
        <v>493</v>
      </c>
      <c r="B127" s="454">
        <v>902</v>
      </c>
      <c r="C127" s="414" t="s">
        <v>116</v>
      </c>
      <c r="D127" s="414" t="s">
        <v>132</v>
      </c>
      <c r="E127" s="414" t="s">
        <v>443</v>
      </c>
      <c r="F127" s="414"/>
      <c r="G127" s="314">
        <f>G128+G133</f>
        <v>6181.6</v>
      </c>
      <c r="H127" s="314">
        <f>H128+H133</f>
        <v>6181.6</v>
      </c>
      <c r="I127" s="334"/>
      <c r="J127" s="321"/>
    </row>
    <row r="128" spans="1:11" ht="21.75" customHeight="1" x14ac:dyDescent="0.25">
      <c r="A128" s="399" t="s">
        <v>499</v>
      </c>
      <c r="B128" s="455">
        <v>902</v>
      </c>
      <c r="C128" s="402" t="s">
        <v>116</v>
      </c>
      <c r="D128" s="402" t="s">
        <v>132</v>
      </c>
      <c r="E128" s="402" t="s">
        <v>444</v>
      </c>
      <c r="F128" s="402"/>
      <c r="G128" s="318">
        <f>G129+G131</f>
        <v>6052.6</v>
      </c>
      <c r="H128" s="318">
        <f>H129+H131</f>
        <v>6052.6</v>
      </c>
      <c r="I128" s="334"/>
      <c r="J128" s="321"/>
    </row>
    <row r="129" spans="1:15" ht="66.75" customHeight="1" x14ac:dyDescent="0.25">
      <c r="A129" s="399" t="s">
        <v>119</v>
      </c>
      <c r="B129" s="455">
        <v>902</v>
      </c>
      <c r="C129" s="402" t="s">
        <v>116</v>
      </c>
      <c r="D129" s="402" t="s">
        <v>132</v>
      </c>
      <c r="E129" s="402" t="s">
        <v>444</v>
      </c>
      <c r="F129" s="402" t="s">
        <v>120</v>
      </c>
      <c r="G129" s="318">
        <f>G130</f>
        <v>4703.3</v>
      </c>
      <c r="H129" s="318">
        <f>H130</f>
        <v>4703.3</v>
      </c>
      <c r="I129" s="334"/>
      <c r="J129" s="321"/>
    </row>
    <row r="130" spans="1:15" ht="40.5" customHeight="1" x14ac:dyDescent="0.25">
      <c r="A130" s="399" t="s">
        <v>121</v>
      </c>
      <c r="B130" s="455">
        <v>902</v>
      </c>
      <c r="C130" s="402" t="s">
        <v>116</v>
      </c>
      <c r="D130" s="402" t="s">
        <v>132</v>
      </c>
      <c r="E130" s="402" t="s">
        <v>444</v>
      </c>
      <c r="F130" s="402" t="s">
        <v>122</v>
      </c>
      <c r="G130" s="20">
        <f>4703.3</f>
        <v>4703.3</v>
      </c>
      <c r="H130" s="20">
        <f>G130</f>
        <v>4703.3</v>
      </c>
      <c r="I130" s="334"/>
      <c r="J130" s="321"/>
    </row>
    <row r="131" spans="1:15" ht="39.200000000000003" customHeight="1" x14ac:dyDescent="0.25">
      <c r="A131" s="399" t="s">
        <v>153</v>
      </c>
      <c r="B131" s="455">
        <v>902</v>
      </c>
      <c r="C131" s="402" t="s">
        <v>116</v>
      </c>
      <c r="D131" s="402" t="s">
        <v>132</v>
      </c>
      <c r="E131" s="402" t="s">
        <v>444</v>
      </c>
      <c r="F131" s="402" t="s">
        <v>124</v>
      </c>
      <c r="G131" s="318">
        <f>G132</f>
        <v>1349.3</v>
      </c>
      <c r="H131" s="318">
        <f>H132</f>
        <v>1349.3</v>
      </c>
      <c r="I131" s="334"/>
      <c r="J131" s="321"/>
    </row>
    <row r="132" spans="1:15" ht="39.200000000000003" customHeight="1" x14ac:dyDescent="0.25">
      <c r="A132" s="399" t="s">
        <v>125</v>
      </c>
      <c r="B132" s="455">
        <v>902</v>
      </c>
      <c r="C132" s="402" t="s">
        <v>116</v>
      </c>
      <c r="D132" s="402" t="s">
        <v>132</v>
      </c>
      <c r="E132" s="402" t="s">
        <v>444</v>
      </c>
      <c r="F132" s="402" t="s">
        <v>126</v>
      </c>
      <c r="G132" s="20">
        <f>1349.3</f>
        <v>1349.3</v>
      </c>
      <c r="H132" s="20">
        <f>1349.3</f>
        <v>1349.3</v>
      </c>
      <c r="I132" s="334"/>
      <c r="J132" s="321"/>
    </row>
    <row r="133" spans="1:15" ht="28.5" customHeight="1" x14ac:dyDescent="0.25">
      <c r="A133" s="399" t="s">
        <v>416</v>
      </c>
      <c r="B133" s="455">
        <v>902</v>
      </c>
      <c r="C133" s="402" t="s">
        <v>116</v>
      </c>
      <c r="D133" s="402" t="s">
        <v>132</v>
      </c>
      <c r="E133" s="402" t="s">
        <v>445</v>
      </c>
      <c r="F133" s="402"/>
      <c r="G133" s="318">
        <f>G134</f>
        <v>129</v>
      </c>
      <c r="H133" s="318">
        <f>H134</f>
        <v>129</v>
      </c>
      <c r="I133" s="334"/>
      <c r="J133" s="321"/>
    </row>
    <row r="134" spans="1:15" ht="63" customHeight="1" x14ac:dyDescent="0.25">
      <c r="A134" s="399" t="s">
        <v>119</v>
      </c>
      <c r="B134" s="455">
        <v>902</v>
      </c>
      <c r="C134" s="402" t="s">
        <v>116</v>
      </c>
      <c r="D134" s="402" t="s">
        <v>132</v>
      </c>
      <c r="E134" s="402" t="s">
        <v>445</v>
      </c>
      <c r="F134" s="402" t="s">
        <v>120</v>
      </c>
      <c r="G134" s="318">
        <f>G135</f>
        <v>129</v>
      </c>
      <c r="H134" s="318">
        <f>H135</f>
        <v>129</v>
      </c>
      <c r="I134" s="334"/>
      <c r="J134" s="321"/>
    </row>
    <row r="135" spans="1:15" ht="33" customHeight="1" x14ac:dyDescent="0.25">
      <c r="A135" s="399" t="s">
        <v>121</v>
      </c>
      <c r="B135" s="455">
        <v>902</v>
      </c>
      <c r="C135" s="402" t="s">
        <v>116</v>
      </c>
      <c r="D135" s="402" t="s">
        <v>132</v>
      </c>
      <c r="E135" s="402" t="s">
        <v>445</v>
      </c>
      <c r="F135" s="402" t="s">
        <v>122</v>
      </c>
      <c r="G135" s="318">
        <f>129</f>
        <v>129</v>
      </c>
      <c r="H135" s="318">
        <f>129</f>
        <v>129</v>
      </c>
      <c r="I135" s="334"/>
      <c r="J135" s="321"/>
      <c r="K135" s="345"/>
      <c r="M135" s="345"/>
      <c r="O135" s="345"/>
    </row>
    <row r="136" spans="1:15" ht="45" customHeight="1" x14ac:dyDescent="0.25">
      <c r="A136" s="417" t="s">
        <v>859</v>
      </c>
      <c r="B136" s="454">
        <v>902</v>
      </c>
      <c r="C136" s="414" t="s">
        <v>116</v>
      </c>
      <c r="D136" s="414" t="s">
        <v>132</v>
      </c>
      <c r="E136" s="414" t="s">
        <v>206</v>
      </c>
      <c r="F136" s="414"/>
      <c r="G136" s="314">
        <f t="shared" ref="G136:H138" si="6">G137</f>
        <v>12</v>
      </c>
      <c r="H136" s="314">
        <f t="shared" si="6"/>
        <v>12</v>
      </c>
      <c r="I136" s="334"/>
      <c r="J136" s="321"/>
      <c r="K136" s="345"/>
      <c r="M136" s="345"/>
      <c r="O136" s="345"/>
    </row>
    <row r="137" spans="1:15" ht="51" customHeight="1" x14ac:dyDescent="0.25">
      <c r="A137" s="399" t="s">
        <v>634</v>
      </c>
      <c r="B137" s="455">
        <v>902</v>
      </c>
      <c r="C137" s="402" t="s">
        <v>116</v>
      </c>
      <c r="D137" s="402" t="s">
        <v>132</v>
      </c>
      <c r="E137" s="402" t="s">
        <v>589</v>
      </c>
      <c r="F137" s="402"/>
      <c r="G137" s="318">
        <f t="shared" si="6"/>
        <v>12</v>
      </c>
      <c r="H137" s="318">
        <f t="shared" si="6"/>
        <v>12</v>
      </c>
      <c r="I137" s="334"/>
      <c r="J137" s="321"/>
      <c r="K137" s="345"/>
      <c r="M137" s="345"/>
      <c r="O137" s="345"/>
    </row>
    <row r="138" spans="1:15" ht="32.450000000000003" customHeight="1" x14ac:dyDescent="0.25">
      <c r="A138" s="399" t="s">
        <v>153</v>
      </c>
      <c r="B138" s="455">
        <v>902</v>
      </c>
      <c r="C138" s="402" t="s">
        <v>116</v>
      </c>
      <c r="D138" s="402" t="s">
        <v>132</v>
      </c>
      <c r="E138" s="402" t="s">
        <v>589</v>
      </c>
      <c r="F138" s="402" t="s">
        <v>124</v>
      </c>
      <c r="G138" s="318">
        <f t="shared" si="6"/>
        <v>12</v>
      </c>
      <c r="H138" s="318">
        <f t="shared" si="6"/>
        <v>12</v>
      </c>
      <c r="I138" s="334"/>
      <c r="J138" s="321"/>
      <c r="K138" s="345"/>
      <c r="M138" s="345"/>
      <c r="O138" s="345"/>
    </row>
    <row r="139" spans="1:15" ht="33.6" customHeight="1" x14ac:dyDescent="0.25">
      <c r="A139" s="399" t="s">
        <v>125</v>
      </c>
      <c r="B139" s="455">
        <v>902</v>
      </c>
      <c r="C139" s="402" t="s">
        <v>116</v>
      </c>
      <c r="D139" s="402" t="s">
        <v>132</v>
      </c>
      <c r="E139" s="402" t="s">
        <v>589</v>
      </c>
      <c r="F139" s="402" t="s">
        <v>126</v>
      </c>
      <c r="G139" s="318">
        <v>12</v>
      </c>
      <c r="H139" s="318">
        <v>12</v>
      </c>
      <c r="I139" s="334"/>
      <c r="J139" s="321"/>
      <c r="K139" s="345"/>
      <c r="M139" s="345"/>
      <c r="O139" s="345"/>
    </row>
    <row r="140" spans="1:15" ht="47.25" x14ac:dyDescent="0.25">
      <c r="A140" s="463" t="s">
        <v>844</v>
      </c>
      <c r="B140" s="454">
        <v>902</v>
      </c>
      <c r="C140" s="414" t="s">
        <v>116</v>
      </c>
      <c r="D140" s="414" t="s">
        <v>132</v>
      </c>
      <c r="E140" s="414" t="s">
        <v>339</v>
      </c>
      <c r="F140" s="464"/>
      <c r="G140" s="314">
        <f>G141+G145</f>
        <v>52</v>
      </c>
      <c r="H140" s="314">
        <f>H141+H145</f>
        <v>52</v>
      </c>
      <c r="I140" s="334"/>
      <c r="J140" s="321"/>
    </row>
    <row r="141" spans="1:15" ht="47.25" customHeight="1" x14ac:dyDescent="0.25">
      <c r="A141" s="465" t="s">
        <v>422</v>
      </c>
      <c r="B141" s="454">
        <v>902</v>
      </c>
      <c r="C141" s="414" t="s">
        <v>116</v>
      </c>
      <c r="D141" s="414" t="s">
        <v>132</v>
      </c>
      <c r="E141" s="414" t="s">
        <v>428</v>
      </c>
      <c r="F141" s="464"/>
      <c r="G141" s="314">
        <f t="shared" ref="G141:H143" si="7">G142</f>
        <v>37</v>
      </c>
      <c r="H141" s="314">
        <f t="shared" si="7"/>
        <v>37</v>
      </c>
      <c r="I141" s="334"/>
      <c r="J141" s="321"/>
    </row>
    <row r="142" spans="1:15" ht="36.75" customHeight="1" x14ac:dyDescent="0.25">
      <c r="A142" s="466" t="s">
        <v>355</v>
      </c>
      <c r="B142" s="455">
        <v>902</v>
      </c>
      <c r="C142" s="402" t="s">
        <v>116</v>
      </c>
      <c r="D142" s="402" t="s">
        <v>132</v>
      </c>
      <c r="E142" s="402" t="s">
        <v>423</v>
      </c>
      <c r="F142" s="467"/>
      <c r="G142" s="318">
        <f t="shared" si="7"/>
        <v>37</v>
      </c>
      <c r="H142" s="318">
        <f t="shared" si="7"/>
        <v>37</v>
      </c>
      <c r="I142" s="334"/>
      <c r="J142" s="321"/>
    </row>
    <row r="143" spans="1:15" ht="31.5" x14ac:dyDescent="0.25">
      <c r="A143" s="399" t="s">
        <v>123</v>
      </c>
      <c r="B143" s="455">
        <v>902</v>
      </c>
      <c r="C143" s="402" t="s">
        <v>116</v>
      </c>
      <c r="D143" s="402" t="s">
        <v>132</v>
      </c>
      <c r="E143" s="402" t="s">
        <v>423</v>
      </c>
      <c r="F143" s="467" t="s">
        <v>124</v>
      </c>
      <c r="G143" s="318">
        <f t="shared" si="7"/>
        <v>37</v>
      </c>
      <c r="H143" s="318">
        <f t="shared" si="7"/>
        <v>37</v>
      </c>
      <c r="I143" s="334"/>
      <c r="J143" s="321"/>
    </row>
    <row r="144" spans="1:15" ht="31.5" x14ac:dyDescent="0.25">
      <c r="A144" s="399" t="s">
        <v>125</v>
      </c>
      <c r="B144" s="455">
        <v>902</v>
      </c>
      <c r="C144" s="402" t="s">
        <v>116</v>
      </c>
      <c r="D144" s="402" t="s">
        <v>132</v>
      </c>
      <c r="E144" s="402" t="s">
        <v>423</v>
      </c>
      <c r="F144" s="467" t="s">
        <v>126</v>
      </c>
      <c r="G144" s="318">
        <v>37</v>
      </c>
      <c r="H144" s="318">
        <v>37</v>
      </c>
      <c r="I144" s="334"/>
      <c r="J144" s="321"/>
    </row>
    <row r="145" spans="1:10" ht="34.5" customHeight="1" x14ac:dyDescent="0.25">
      <c r="A145" s="468" t="s">
        <v>586</v>
      </c>
      <c r="B145" s="454">
        <v>902</v>
      </c>
      <c r="C145" s="414" t="s">
        <v>116</v>
      </c>
      <c r="D145" s="414" t="s">
        <v>132</v>
      </c>
      <c r="E145" s="414" t="s">
        <v>429</v>
      </c>
      <c r="F145" s="464"/>
      <c r="G145" s="314">
        <f t="shared" ref="G145:H147" si="8">G146</f>
        <v>15</v>
      </c>
      <c r="H145" s="314">
        <f t="shared" si="8"/>
        <v>15</v>
      </c>
      <c r="I145" s="334"/>
      <c r="J145" s="321"/>
    </row>
    <row r="146" spans="1:10" ht="39.200000000000003" customHeight="1" x14ac:dyDescent="0.25">
      <c r="A146" s="466" t="s">
        <v>356</v>
      </c>
      <c r="B146" s="455">
        <v>902</v>
      </c>
      <c r="C146" s="402" t="s">
        <v>116</v>
      </c>
      <c r="D146" s="402" t="s">
        <v>132</v>
      </c>
      <c r="E146" s="402" t="s">
        <v>424</v>
      </c>
      <c r="F146" s="467"/>
      <c r="G146" s="318">
        <f t="shared" si="8"/>
        <v>15</v>
      </c>
      <c r="H146" s="318">
        <f t="shared" si="8"/>
        <v>15</v>
      </c>
      <c r="I146" s="334"/>
      <c r="J146" s="321"/>
    </row>
    <row r="147" spans="1:10" ht="31.7" customHeight="1" x14ac:dyDescent="0.25">
      <c r="A147" s="399" t="s">
        <v>123</v>
      </c>
      <c r="B147" s="455">
        <v>902</v>
      </c>
      <c r="C147" s="402" t="s">
        <v>116</v>
      </c>
      <c r="D147" s="402" t="s">
        <v>132</v>
      </c>
      <c r="E147" s="402" t="s">
        <v>424</v>
      </c>
      <c r="F147" s="467" t="s">
        <v>124</v>
      </c>
      <c r="G147" s="318">
        <f t="shared" si="8"/>
        <v>15</v>
      </c>
      <c r="H147" s="318">
        <f t="shared" si="8"/>
        <v>15</v>
      </c>
      <c r="I147" s="334"/>
      <c r="J147" s="321"/>
    </row>
    <row r="148" spans="1:10" ht="32.25" customHeight="1" x14ac:dyDescent="0.25">
      <c r="A148" s="399" t="s">
        <v>125</v>
      </c>
      <c r="B148" s="455">
        <v>902</v>
      </c>
      <c r="C148" s="402" t="s">
        <v>116</v>
      </c>
      <c r="D148" s="402" t="s">
        <v>132</v>
      </c>
      <c r="E148" s="402" t="s">
        <v>424</v>
      </c>
      <c r="F148" s="467" t="s">
        <v>126</v>
      </c>
      <c r="G148" s="318">
        <v>15</v>
      </c>
      <c r="H148" s="318">
        <v>15</v>
      </c>
      <c r="I148" s="334"/>
      <c r="J148" s="321"/>
    </row>
    <row r="149" spans="1:10" ht="68.25" customHeight="1" x14ac:dyDescent="0.25">
      <c r="A149" s="463" t="s">
        <v>845</v>
      </c>
      <c r="B149" s="454">
        <v>902</v>
      </c>
      <c r="C149" s="469" t="s">
        <v>116</v>
      </c>
      <c r="D149" s="469" t="s">
        <v>132</v>
      </c>
      <c r="E149" s="470" t="s">
        <v>395</v>
      </c>
      <c r="F149" s="469"/>
      <c r="G149" s="314">
        <f>G151</f>
        <v>45</v>
      </c>
      <c r="H149" s="314">
        <f>H151</f>
        <v>45</v>
      </c>
      <c r="I149" s="334"/>
      <c r="J149" s="321"/>
    </row>
    <row r="150" spans="1:10" ht="35.450000000000003" customHeight="1" x14ac:dyDescent="0.25">
      <c r="A150" s="471" t="s">
        <v>430</v>
      </c>
      <c r="B150" s="454">
        <v>902</v>
      </c>
      <c r="C150" s="469" t="s">
        <v>116</v>
      </c>
      <c r="D150" s="469" t="s">
        <v>132</v>
      </c>
      <c r="E150" s="470" t="s">
        <v>630</v>
      </c>
      <c r="F150" s="469"/>
      <c r="G150" s="314">
        <f t="shared" ref="G150:H152" si="9">G151</f>
        <v>45</v>
      </c>
      <c r="H150" s="314">
        <f t="shared" si="9"/>
        <v>45</v>
      </c>
      <c r="I150" s="334"/>
      <c r="J150" s="321"/>
    </row>
    <row r="151" spans="1:10" ht="31.7" customHeight="1" x14ac:dyDescent="0.25">
      <c r="A151" s="472" t="s">
        <v>145</v>
      </c>
      <c r="B151" s="455">
        <v>902</v>
      </c>
      <c r="C151" s="473" t="s">
        <v>116</v>
      </c>
      <c r="D151" s="473" t="s">
        <v>132</v>
      </c>
      <c r="E151" s="404" t="s">
        <v>431</v>
      </c>
      <c r="F151" s="473"/>
      <c r="G151" s="318">
        <f t="shared" si="9"/>
        <v>45</v>
      </c>
      <c r="H151" s="318">
        <f t="shared" si="9"/>
        <v>45</v>
      </c>
      <c r="I151" s="334"/>
      <c r="J151" s="321"/>
    </row>
    <row r="152" spans="1:10" ht="35.450000000000003" customHeight="1" x14ac:dyDescent="0.25">
      <c r="A152" s="399" t="s">
        <v>123</v>
      </c>
      <c r="B152" s="455">
        <v>902</v>
      </c>
      <c r="C152" s="473" t="s">
        <v>116</v>
      </c>
      <c r="D152" s="473" t="s">
        <v>132</v>
      </c>
      <c r="E152" s="404" t="s">
        <v>431</v>
      </c>
      <c r="F152" s="473" t="s">
        <v>124</v>
      </c>
      <c r="G152" s="318">
        <f t="shared" si="9"/>
        <v>45</v>
      </c>
      <c r="H152" s="318">
        <f t="shared" si="9"/>
        <v>45</v>
      </c>
      <c r="I152" s="334"/>
      <c r="J152" s="321"/>
    </row>
    <row r="153" spans="1:10" ht="33" customHeight="1" x14ac:dyDescent="0.25">
      <c r="A153" s="399" t="s">
        <v>125</v>
      </c>
      <c r="B153" s="455">
        <v>902</v>
      </c>
      <c r="C153" s="473" t="s">
        <v>116</v>
      </c>
      <c r="D153" s="473" t="s">
        <v>132</v>
      </c>
      <c r="E153" s="404" t="s">
        <v>431</v>
      </c>
      <c r="F153" s="473" t="s">
        <v>126</v>
      </c>
      <c r="G153" s="318">
        <v>45</v>
      </c>
      <c r="H153" s="318">
        <v>45</v>
      </c>
      <c r="I153" s="334"/>
      <c r="J153" s="321"/>
    </row>
    <row r="154" spans="1:10" ht="63" x14ac:dyDescent="0.25">
      <c r="A154" s="359" t="s">
        <v>1317</v>
      </c>
      <c r="B154" s="454">
        <v>902</v>
      </c>
      <c r="C154" s="414" t="s">
        <v>116</v>
      </c>
      <c r="D154" s="414" t="s">
        <v>132</v>
      </c>
      <c r="E154" s="414" t="s">
        <v>1307</v>
      </c>
      <c r="F154" s="414"/>
      <c r="G154" s="314">
        <f t="shared" ref="G154:H157" si="10">G155</f>
        <v>30</v>
      </c>
      <c r="H154" s="314">
        <f t="shared" si="10"/>
        <v>30</v>
      </c>
      <c r="I154" s="334"/>
      <c r="J154" s="321"/>
    </row>
    <row r="155" spans="1:10" ht="33" customHeight="1" x14ac:dyDescent="0.25">
      <c r="A155" s="359" t="s">
        <v>1318</v>
      </c>
      <c r="B155" s="454">
        <v>902</v>
      </c>
      <c r="C155" s="414" t="s">
        <v>116</v>
      </c>
      <c r="D155" s="414" t="s">
        <v>132</v>
      </c>
      <c r="E155" s="414" t="s">
        <v>1308</v>
      </c>
      <c r="F155" s="414"/>
      <c r="G155" s="314">
        <f t="shared" si="10"/>
        <v>30</v>
      </c>
      <c r="H155" s="314">
        <f t="shared" si="10"/>
        <v>30</v>
      </c>
      <c r="I155" s="334"/>
      <c r="J155" s="321"/>
    </row>
    <row r="156" spans="1:10" ht="15.75" x14ac:dyDescent="0.25">
      <c r="A156" s="364" t="s">
        <v>1319</v>
      </c>
      <c r="B156" s="455">
        <v>902</v>
      </c>
      <c r="C156" s="402" t="s">
        <v>116</v>
      </c>
      <c r="D156" s="402" t="s">
        <v>132</v>
      </c>
      <c r="E156" s="402" t="s">
        <v>1309</v>
      </c>
      <c r="F156" s="402"/>
      <c r="G156" s="318">
        <f t="shared" si="10"/>
        <v>30</v>
      </c>
      <c r="H156" s="318">
        <f t="shared" si="10"/>
        <v>30</v>
      </c>
      <c r="I156" s="334"/>
      <c r="J156" s="321"/>
    </row>
    <row r="157" spans="1:10" ht="15.75" x14ac:dyDescent="0.25">
      <c r="A157" s="560" t="s">
        <v>177</v>
      </c>
      <c r="B157" s="455">
        <v>902</v>
      </c>
      <c r="C157" s="402" t="s">
        <v>116</v>
      </c>
      <c r="D157" s="402" t="s">
        <v>132</v>
      </c>
      <c r="E157" s="402" t="s">
        <v>1309</v>
      </c>
      <c r="F157" s="402" t="s">
        <v>178</v>
      </c>
      <c r="G157" s="318">
        <f t="shared" si="10"/>
        <v>30</v>
      </c>
      <c r="H157" s="318">
        <f t="shared" si="10"/>
        <v>30</v>
      </c>
      <c r="I157" s="334"/>
      <c r="J157" s="321"/>
    </row>
    <row r="158" spans="1:10" ht="15.75" x14ac:dyDescent="0.25">
      <c r="A158" s="364" t="s">
        <v>1320</v>
      </c>
      <c r="B158" s="455">
        <v>902</v>
      </c>
      <c r="C158" s="402" t="s">
        <v>116</v>
      </c>
      <c r="D158" s="402" t="s">
        <v>132</v>
      </c>
      <c r="E158" s="402" t="s">
        <v>1309</v>
      </c>
      <c r="F158" s="402" t="s">
        <v>1310</v>
      </c>
      <c r="G158" s="318">
        <v>30</v>
      </c>
      <c r="H158" s="318">
        <v>30</v>
      </c>
      <c r="I158" s="334" t="s">
        <v>1311</v>
      </c>
      <c r="J158" s="321"/>
    </row>
    <row r="159" spans="1:10" ht="63" x14ac:dyDescent="0.25">
      <c r="A159" s="463" t="s">
        <v>846</v>
      </c>
      <c r="B159" s="454">
        <v>902</v>
      </c>
      <c r="C159" s="469" t="s">
        <v>116</v>
      </c>
      <c r="D159" s="469" t="s">
        <v>132</v>
      </c>
      <c r="E159" s="470" t="s">
        <v>396</v>
      </c>
      <c r="F159" s="469"/>
      <c r="G159" s="314">
        <f>G161</f>
        <v>80</v>
      </c>
      <c r="H159" s="314">
        <f>H161</f>
        <v>80</v>
      </c>
      <c r="I159" s="334"/>
      <c r="J159" s="321"/>
    </row>
    <row r="160" spans="1:10" ht="31.5" x14ac:dyDescent="0.25">
      <c r="A160" s="474" t="s">
        <v>432</v>
      </c>
      <c r="B160" s="454">
        <v>902</v>
      </c>
      <c r="C160" s="469" t="s">
        <v>116</v>
      </c>
      <c r="D160" s="469" t="s">
        <v>132</v>
      </c>
      <c r="E160" s="470" t="s">
        <v>440</v>
      </c>
      <c r="F160" s="469"/>
      <c r="G160" s="314">
        <f t="shared" ref="G160:H162" si="11">G161</f>
        <v>80</v>
      </c>
      <c r="H160" s="314">
        <f t="shared" si="11"/>
        <v>80</v>
      </c>
      <c r="I160" s="334"/>
      <c r="J160" s="321"/>
    </row>
    <row r="161" spans="1:10" ht="15.75" x14ac:dyDescent="0.25">
      <c r="A161" s="406" t="s">
        <v>400</v>
      </c>
      <c r="B161" s="455">
        <v>902</v>
      </c>
      <c r="C161" s="473" t="s">
        <v>116</v>
      </c>
      <c r="D161" s="473" t="s">
        <v>132</v>
      </c>
      <c r="E161" s="404" t="s">
        <v>433</v>
      </c>
      <c r="F161" s="473"/>
      <c r="G161" s="318">
        <f t="shared" si="11"/>
        <v>80</v>
      </c>
      <c r="H161" s="318">
        <f t="shared" si="11"/>
        <v>80</v>
      </c>
      <c r="I161" s="334"/>
      <c r="J161" s="321"/>
    </row>
    <row r="162" spans="1:10" ht="31.5" x14ac:dyDescent="0.25">
      <c r="A162" s="399" t="s">
        <v>123</v>
      </c>
      <c r="B162" s="455">
        <v>902</v>
      </c>
      <c r="C162" s="473" t="s">
        <v>116</v>
      </c>
      <c r="D162" s="473" t="s">
        <v>132</v>
      </c>
      <c r="E162" s="404" t="s">
        <v>433</v>
      </c>
      <c r="F162" s="473" t="s">
        <v>124</v>
      </c>
      <c r="G162" s="318">
        <f t="shared" si="11"/>
        <v>80</v>
      </c>
      <c r="H162" s="318">
        <f t="shared" si="11"/>
        <v>80</v>
      </c>
      <c r="I162" s="334"/>
      <c r="J162" s="321"/>
    </row>
    <row r="163" spans="1:10" ht="31.5" x14ac:dyDescent="0.25">
      <c r="A163" s="399" t="s">
        <v>125</v>
      </c>
      <c r="B163" s="455">
        <v>902</v>
      </c>
      <c r="C163" s="473" t="s">
        <v>116</v>
      </c>
      <c r="D163" s="473" t="s">
        <v>132</v>
      </c>
      <c r="E163" s="404" t="s">
        <v>433</v>
      </c>
      <c r="F163" s="473" t="s">
        <v>126</v>
      </c>
      <c r="G163" s="318">
        <v>80</v>
      </c>
      <c r="H163" s="318">
        <v>80</v>
      </c>
      <c r="I163" s="334"/>
      <c r="J163" s="321"/>
    </row>
    <row r="164" spans="1:10" ht="15.75" hidden="1" customHeight="1" x14ac:dyDescent="0.25">
      <c r="A164" s="417" t="s">
        <v>157</v>
      </c>
      <c r="B164" s="454">
        <v>902</v>
      </c>
      <c r="C164" s="414" t="s">
        <v>158</v>
      </c>
      <c r="D164" s="414"/>
      <c r="E164" s="414"/>
      <c r="F164" s="414"/>
      <c r="G164" s="314">
        <f t="shared" ref="G164:H169" si="12">G165</f>
        <v>0</v>
      </c>
      <c r="H164" s="314">
        <f t="shared" si="12"/>
        <v>0</v>
      </c>
      <c r="I164" s="334"/>
      <c r="J164" s="321"/>
    </row>
    <row r="165" spans="1:10" ht="20.25" hidden="1" customHeight="1" x14ac:dyDescent="0.25">
      <c r="A165" s="417" t="s">
        <v>160</v>
      </c>
      <c r="B165" s="454">
        <v>902</v>
      </c>
      <c r="C165" s="414" t="s">
        <v>158</v>
      </c>
      <c r="D165" s="414" t="s">
        <v>161</v>
      </c>
      <c r="E165" s="414"/>
      <c r="F165" s="414"/>
      <c r="G165" s="314">
        <f t="shared" si="12"/>
        <v>0</v>
      </c>
      <c r="H165" s="314">
        <f t="shared" si="12"/>
        <v>0</v>
      </c>
      <c r="I165" s="334"/>
      <c r="J165" s="321"/>
    </row>
    <row r="166" spans="1:10" ht="15.75" hidden="1" customHeight="1" x14ac:dyDescent="0.25">
      <c r="A166" s="417" t="s">
        <v>133</v>
      </c>
      <c r="B166" s="454">
        <v>902</v>
      </c>
      <c r="C166" s="414" t="s">
        <v>158</v>
      </c>
      <c r="D166" s="414" t="s">
        <v>161</v>
      </c>
      <c r="E166" s="414" t="s">
        <v>442</v>
      </c>
      <c r="F166" s="414"/>
      <c r="G166" s="314">
        <f t="shared" si="12"/>
        <v>0</v>
      </c>
      <c r="H166" s="314">
        <f t="shared" si="12"/>
        <v>0</v>
      </c>
      <c r="I166" s="334"/>
      <c r="J166" s="321"/>
    </row>
    <row r="167" spans="1:10" ht="33.75" hidden="1" customHeight="1" x14ac:dyDescent="0.25">
      <c r="A167" s="417" t="s">
        <v>446</v>
      </c>
      <c r="B167" s="454">
        <v>902</v>
      </c>
      <c r="C167" s="414" t="s">
        <v>158</v>
      </c>
      <c r="D167" s="414" t="s">
        <v>161</v>
      </c>
      <c r="E167" s="414" t="s">
        <v>441</v>
      </c>
      <c r="F167" s="414"/>
      <c r="G167" s="314">
        <f t="shared" si="12"/>
        <v>0</v>
      </c>
      <c r="H167" s="314">
        <f t="shared" si="12"/>
        <v>0</v>
      </c>
      <c r="I167" s="334"/>
      <c r="J167" s="321"/>
    </row>
    <row r="168" spans="1:10" ht="15.75" hidden="1" customHeight="1" x14ac:dyDescent="0.25">
      <c r="A168" s="399" t="s">
        <v>162</v>
      </c>
      <c r="B168" s="455">
        <v>902</v>
      </c>
      <c r="C168" s="402" t="s">
        <v>158</v>
      </c>
      <c r="D168" s="402" t="s">
        <v>161</v>
      </c>
      <c r="E168" s="402" t="s">
        <v>447</v>
      </c>
      <c r="F168" s="402"/>
      <c r="G168" s="318">
        <f t="shared" si="12"/>
        <v>0</v>
      </c>
      <c r="H168" s="318">
        <f t="shared" si="12"/>
        <v>0</v>
      </c>
      <c r="I168" s="334"/>
      <c r="J168" s="321"/>
    </row>
    <row r="169" spans="1:10" ht="33.75" hidden="1" customHeight="1" x14ac:dyDescent="0.25">
      <c r="A169" s="399" t="s">
        <v>153</v>
      </c>
      <c r="B169" s="455">
        <v>902</v>
      </c>
      <c r="C169" s="402" t="s">
        <v>158</v>
      </c>
      <c r="D169" s="402" t="s">
        <v>161</v>
      </c>
      <c r="E169" s="402" t="s">
        <v>447</v>
      </c>
      <c r="F169" s="402" t="s">
        <v>124</v>
      </c>
      <c r="G169" s="318">
        <f t="shared" si="12"/>
        <v>0</v>
      </c>
      <c r="H169" s="318">
        <f t="shared" si="12"/>
        <v>0</v>
      </c>
      <c r="I169" s="334"/>
      <c r="J169" s="321"/>
    </row>
    <row r="170" spans="1:10" ht="40.700000000000003" hidden="1" customHeight="1" x14ac:dyDescent="0.25">
      <c r="A170" s="399" t="s">
        <v>125</v>
      </c>
      <c r="B170" s="455">
        <v>902</v>
      </c>
      <c r="C170" s="402" t="s">
        <v>158</v>
      </c>
      <c r="D170" s="402" t="s">
        <v>161</v>
      </c>
      <c r="E170" s="402" t="s">
        <v>447</v>
      </c>
      <c r="F170" s="402" t="s">
        <v>126</v>
      </c>
      <c r="G170" s="20">
        <v>0</v>
      </c>
      <c r="H170" s="20">
        <v>0</v>
      </c>
      <c r="I170" s="334"/>
      <c r="J170" s="321"/>
    </row>
    <row r="171" spans="1:10" ht="31.5" x14ac:dyDescent="0.25">
      <c r="A171" s="417" t="s">
        <v>163</v>
      </c>
      <c r="B171" s="454">
        <v>902</v>
      </c>
      <c r="C171" s="414" t="s">
        <v>159</v>
      </c>
      <c r="D171" s="414"/>
      <c r="E171" s="414"/>
      <c r="F171" s="414"/>
      <c r="G171" s="314">
        <f>G172</f>
        <v>8185.2</v>
      </c>
      <c r="H171" s="314">
        <f>H172</f>
        <v>8185.2</v>
      </c>
      <c r="I171" s="334"/>
      <c r="J171" s="321"/>
    </row>
    <row r="172" spans="1:10" ht="47.25" customHeight="1" x14ac:dyDescent="0.25">
      <c r="A172" s="417" t="s">
        <v>848</v>
      </c>
      <c r="B172" s="454">
        <v>902</v>
      </c>
      <c r="C172" s="414" t="s">
        <v>159</v>
      </c>
      <c r="D172" s="414" t="s">
        <v>174</v>
      </c>
      <c r="E172" s="402"/>
      <c r="F172" s="402"/>
      <c r="G172" s="314">
        <f>G173+G190</f>
        <v>8185.2</v>
      </c>
      <c r="H172" s="314">
        <f>H173+H190</f>
        <v>8185.2</v>
      </c>
      <c r="I172" s="334"/>
      <c r="J172" s="321"/>
    </row>
    <row r="173" spans="1:10" ht="15.75" x14ac:dyDescent="0.25">
      <c r="A173" s="417" t="s">
        <v>133</v>
      </c>
      <c r="B173" s="454">
        <v>902</v>
      </c>
      <c r="C173" s="414" t="s">
        <v>159</v>
      </c>
      <c r="D173" s="414" t="s">
        <v>174</v>
      </c>
      <c r="E173" s="414" t="s">
        <v>442</v>
      </c>
      <c r="F173" s="414"/>
      <c r="G173" s="314">
        <f>G174+G181</f>
        <v>8185.2</v>
      </c>
      <c r="H173" s="314">
        <f>H174+H181</f>
        <v>8185.2</v>
      </c>
      <c r="I173" s="334"/>
      <c r="J173" s="321"/>
    </row>
    <row r="174" spans="1:10" ht="31.5" x14ac:dyDescent="0.25">
      <c r="A174" s="417" t="s">
        <v>446</v>
      </c>
      <c r="B174" s="454">
        <v>902</v>
      </c>
      <c r="C174" s="414" t="s">
        <v>159</v>
      </c>
      <c r="D174" s="414" t="s">
        <v>174</v>
      </c>
      <c r="E174" s="414" t="s">
        <v>441</v>
      </c>
      <c r="F174" s="414"/>
      <c r="G174" s="314">
        <f>G175+G178</f>
        <v>1481.8</v>
      </c>
      <c r="H174" s="314">
        <f>H175+H178</f>
        <v>1481.8</v>
      </c>
      <c r="I174" s="334"/>
      <c r="J174" s="321"/>
    </row>
    <row r="175" spans="1:10" ht="31.5" x14ac:dyDescent="0.25">
      <c r="A175" s="399" t="s">
        <v>164</v>
      </c>
      <c r="B175" s="455">
        <v>902</v>
      </c>
      <c r="C175" s="402" t="s">
        <v>159</v>
      </c>
      <c r="D175" s="402" t="s">
        <v>174</v>
      </c>
      <c r="E175" s="402" t="s">
        <v>451</v>
      </c>
      <c r="F175" s="402"/>
      <c r="G175" s="318">
        <f>G176</f>
        <v>1284.8</v>
      </c>
      <c r="H175" s="318">
        <f>H176</f>
        <v>1284.8</v>
      </c>
      <c r="I175" s="334"/>
      <c r="J175" s="321"/>
    </row>
    <row r="176" spans="1:10" ht="31.5" x14ac:dyDescent="0.25">
      <c r="A176" s="399" t="s">
        <v>153</v>
      </c>
      <c r="B176" s="455">
        <v>902</v>
      </c>
      <c r="C176" s="402" t="s">
        <v>159</v>
      </c>
      <c r="D176" s="402" t="s">
        <v>174</v>
      </c>
      <c r="E176" s="402" t="s">
        <v>451</v>
      </c>
      <c r="F176" s="402" t="s">
        <v>124</v>
      </c>
      <c r="G176" s="318">
        <f>G177</f>
        <v>1284.8</v>
      </c>
      <c r="H176" s="318">
        <f>H177</f>
        <v>1284.8</v>
      </c>
      <c r="I176" s="334"/>
      <c r="J176" s="321"/>
    </row>
    <row r="177" spans="1:10" ht="31.5" x14ac:dyDescent="0.25">
      <c r="A177" s="399" t="s">
        <v>125</v>
      </c>
      <c r="B177" s="455">
        <v>902</v>
      </c>
      <c r="C177" s="402" t="s">
        <v>159</v>
      </c>
      <c r="D177" s="402" t="s">
        <v>174</v>
      </c>
      <c r="E177" s="402" t="s">
        <v>451</v>
      </c>
      <c r="F177" s="402" t="s">
        <v>126</v>
      </c>
      <c r="G177" s="564">
        <f>1285-0.2</f>
        <v>1284.8</v>
      </c>
      <c r="H177" s="564">
        <f>1285-0.2</f>
        <v>1284.8</v>
      </c>
      <c r="I177" s="334"/>
      <c r="J177" s="321"/>
    </row>
    <row r="178" spans="1:10" ht="15.75" x14ac:dyDescent="0.25">
      <c r="A178" s="399" t="s">
        <v>165</v>
      </c>
      <c r="B178" s="455">
        <v>902</v>
      </c>
      <c r="C178" s="402" t="s">
        <v>159</v>
      </c>
      <c r="D178" s="402" t="s">
        <v>174</v>
      </c>
      <c r="E178" s="402" t="s">
        <v>452</v>
      </c>
      <c r="F178" s="402"/>
      <c r="G178" s="20">
        <f>G179</f>
        <v>197</v>
      </c>
      <c r="H178" s="20">
        <f>H179</f>
        <v>197</v>
      </c>
      <c r="I178" s="334"/>
      <c r="J178" s="321"/>
    </row>
    <row r="179" spans="1:10" ht="31.5" x14ac:dyDescent="0.25">
      <c r="A179" s="399" t="s">
        <v>153</v>
      </c>
      <c r="B179" s="455">
        <v>902</v>
      </c>
      <c r="C179" s="402" t="s">
        <v>159</v>
      </c>
      <c r="D179" s="402" t="s">
        <v>174</v>
      </c>
      <c r="E179" s="402" t="s">
        <v>452</v>
      </c>
      <c r="F179" s="402" t="s">
        <v>124</v>
      </c>
      <c r="G179" s="20">
        <f>G180</f>
        <v>197</v>
      </c>
      <c r="H179" s="20">
        <f>H180</f>
        <v>197</v>
      </c>
      <c r="I179" s="334"/>
      <c r="J179" s="321"/>
    </row>
    <row r="180" spans="1:10" ht="31.5" x14ac:dyDescent="0.25">
      <c r="A180" s="399" t="s">
        <v>125</v>
      </c>
      <c r="B180" s="455">
        <v>902</v>
      </c>
      <c r="C180" s="402" t="s">
        <v>159</v>
      </c>
      <c r="D180" s="402" t="s">
        <v>174</v>
      </c>
      <c r="E180" s="402" t="s">
        <v>452</v>
      </c>
      <c r="F180" s="402" t="s">
        <v>126</v>
      </c>
      <c r="G180" s="20">
        <f>197</f>
        <v>197</v>
      </c>
      <c r="H180" s="20">
        <f>197</f>
        <v>197</v>
      </c>
      <c r="I180" s="334"/>
      <c r="J180" s="321"/>
    </row>
    <row r="181" spans="1:10" ht="34.5" customHeight="1" x14ac:dyDescent="0.25">
      <c r="A181" s="417" t="s">
        <v>494</v>
      </c>
      <c r="B181" s="454">
        <v>902</v>
      </c>
      <c r="C181" s="414" t="s">
        <v>159</v>
      </c>
      <c r="D181" s="414" t="s">
        <v>174</v>
      </c>
      <c r="E181" s="414" t="s">
        <v>448</v>
      </c>
      <c r="F181" s="414"/>
      <c r="G181" s="314">
        <f>G182+G187</f>
        <v>6703.4</v>
      </c>
      <c r="H181" s="314">
        <f>H182+H187</f>
        <v>6703.4</v>
      </c>
      <c r="I181" s="334"/>
      <c r="J181" s="321"/>
    </row>
    <row r="182" spans="1:10" ht="31.5" x14ac:dyDescent="0.25">
      <c r="A182" s="399" t="s">
        <v>498</v>
      </c>
      <c r="B182" s="455">
        <v>902</v>
      </c>
      <c r="C182" s="402" t="s">
        <v>159</v>
      </c>
      <c r="D182" s="402" t="s">
        <v>174</v>
      </c>
      <c r="E182" s="402" t="s">
        <v>449</v>
      </c>
      <c r="F182" s="402"/>
      <c r="G182" s="318">
        <f>G183+G185</f>
        <v>6445.4</v>
      </c>
      <c r="H182" s="318">
        <f>H183+H185</f>
        <v>6445.4</v>
      </c>
      <c r="I182" s="334"/>
      <c r="J182" s="321"/>
    </row>
    <row r="183" spans="1:10" ht="63" x14ac:dyDescent="0.25">
      <c r="A183" s="399" t="s">
        <v>119</v>
      </c>
      <c r="B183" s="455">
        <v>902</v>
      </c>
      <c r="C183" s="402" t="s">
        <v>159</v>
      </c>
      <c r="D183" s="402" t="s">
        <v>174</v>
      </c>
      <c r="E183" s="402" t="s">
        <v>449</v>
      </c>
      <c r="F183" s="402" t="s">
        <v>120</v>
      </c>
      <c r="G183" s="318">
        <f>G184</f>
        <v>6282.4</v>
      </c>
      <c r="H183" s="318">
        <f>H184</f>
        <v>6282.4</v>
      </c>
      <c r="I183" s="334"/>
      <c r="J183" s="321"/>
    </row>
    <row r="184" spans="1:10" ht="15.75" x14ac:dyDescent="0.25">
      <c r="A184" s="399" t="s">
        <v>155</v>
      </c>
      <c r="B184" s="455">
        <v>902</v>
      </c>
      <c r="C184" s="402" t="s">
        <v>159</v>
      </c>
      <c r="D184" s="402" t="s">
        <v>174</v>
      </c>
      <c r="E184" s="402" t="s">
        <v>449</v>
      </c>
      <c r="F184" s="402" t="s">
        <v>156</v>
      </c>
      <c r="G184" s="20">
        <f>6282.4</f>
        <v>6282.4</v>
      </c>
      <c r="H184" s="20">
        <f>G184</f>
        <v>6282.4</v>
      </c>
      <c r="I184" s="334"/>
      <c r="J184" s="321"/>
    </row>
    <row r="185" spans="1:10" ht="31.5" x14ac:dyDescent="0.25">
      <c r="A185" s="399" t="s">
        <v>153</v>
      </c>
      <c r="B185" s="455">
        <v>902</v>
      </c>
      <c r="C185" s="402" t="s">
        <v>159</v>
      </c>
      <c r="D185" s="402" t="s">
        <v>174</v>
      </c>
      <c r="E185" s="402" t="s">
        <v>449</v>
      </c>
      <c r="F185" s="402" t="s">
        <v>124</v>
      </c>
      <c r="G185" s="318">
        <f>G186</f>
        <v>163</v>
      </c>
      <c r="H185" s="318">
        <f>H186</f>
        <v>163</v>
      </c>
      <c r="I185" s="334"/>
      <c r="J185" s="321"/>
    </row>
    <row r="186" spans="1:10" ht="31.5" x14ac:dyDescent="0.25">
      <c r="A186" s="399" t="s">
        <v>125</v>
      </c>
      <c r="B186" s="455">
        <v>902</v>
      </c>
      <c r="C186" s="402" t="s">
        <v>159</v>
      </c>
      <c r="D186" s="402" t="s">
        <v>174</v>
      </c>
      <c r="E186" s="402" t="s">
        <v>449</v>
      </c>
      <c r="F186" s="402" t="s">
        <v>126</v>
      </c>
      <c r="G186" s="20">
        <f>163</f>
        <v>163</v>
      </c>
      <c r="H186" s="20">
        <f>163</f>
        <v>163</v>
      </c>
      <c r="I186" s="334"/>
      <c r="J186" s="321"/>
    </row>
    <row r="187" spans="1:10" ht="31.5" x14ac:dyDescent="0.25">
      <c r="A187" s="399" t="s">
        <v>416</v>
      </c>
      <c r="B187" s="455">
        <v>902</v>
      </c>
      <c r="C187" s="402" t="s">
        <v>159</v>
      </c>
      <c r="D187" s="402" t="s">
        <v>174</v>
      </c>
      <c r="E187" s="402" t="s">
        <v>450</v>
      </c>
      <c r="F187" s="402"/>
      <c r="G187" s="318">
        <f>G188</f>
        <v>258</v>
      </c>
      <c r="H187" s="318">
        <f>H188</f>
        <v>258</v>
      </c>
      <c r="I187" s="334"/>
      <c r="J187" s="321"/>
    </row>
    <row r="188" spans="1:10" ht="63" x14ac:dyDescent="0.25">
      <c r="A188" s="399" t="s">
        <v>119</v>
      </c>
      <c r="B188" s="455">
        <v>902</v>
      </c>
      <c r="C188" s="402" t="s">
        <v>159</v>
      </c>
      <c r="D188" s="402" t="s">
        <v>174</v>
      </c>
      <c r="E188" s="402" t="s">
        <v>450</v>
      </c>
      <c r="F188" s="402" t="s">
        <v>120</v>
      </c>
      <c r="G188" s="318">
        <f>G189</f>
        <v>258</v>
      </c>
      <c r="H188" s="318">
        <f>H189</f>
        <v>258</v>
      </c>
      <c r="I188" s="334"/>
      <c r="J188" s="321"/>
    </row>
    <row r="189" spans="1:10" ht="15.75" x14ac:dyDescent="0.25">
      <c r="A189" s="399" t="s">
        <v>155</v>
      </c>
      <c r="B189" s="455">
        <v>902</v>
      </c>
      <c r="C189" s="402" t="s">
        <v>159</v>
      </c>
      <c r="D189" s="402" t="s">
        <v>174</v>
      </c>
      <c r="E189" s="402" t="s">
        <v>450</v>
      </c>
      <c r="F189" s="402" t="s">
        <v>156</v>
      </c>
      <c r="G189" s="318">
        <f>258</f>
        <v>258</v>
      </c>
      <c r="H189" s="318">
        <f>258</f>
        <v>258</v>
      </c>
      <c r="I189" s="334"/>
      <c r="J189" s="321"/>
    </row>
    <row r="190" spans="1:10" ht="47.25" hidden="1" x14ac:dyDescent="0.25">
      <c r="A190" s="463" t="s">
        <v>844</v>
      </c>
      <c r="B190" s="454">
        <v>902</v>
      </c>
      <c r="C190" s="414" t="s">
        <v>159</v>
      </c>
      <c r="D190" s="414" t="s">
        <v>174</v>
      </c>
      <c r="E190" s="414" t="s">
        <v>339</v>
      </c>
      <c r="F190" s="402"/>
      <c r="G190" s="314">
        <f>G191</f>
        <v>0</v>
      </c>
      <c r="H190" s="314">
        <f>H191</f>
        <v>0</v>
      </c>
      <c r="I190" s="334"/>
      <c r="J190" s="321"/>
    </row>
    <row r="191" spans="1:10" ht="31.5" hidden="1" x14ac:dyDescent="0.25">
      <c r="A191" s="468" t="s">
        <v>1017</v>
      </c>
      <c r="B191" s="454">
        <v>902</v>
      </c>
      <c r="C191" s="414" t="s">
        <v>159</v>
      </c>
      <c r="D191" s="414" t="s">
        <v>174</v>
      </c>
      <c r="E191" s="414" t="s">
        <v>1018</v>
      </c>
      <c r="F191" s="464"/>
      <c r="G191" s="314">
        <f>G192+G195+G198</f>
        <v>0</v>
      </c>
      <c r="H191" s="314">
        <f>H192+H195+H198</f>
        <v>0</v>
      </c>
      <c r="I191" s="334"/>
      <c r="J191" s="321"/>
    </row>
    <row r="192" spans="1:10" ht="15.75" hidden="1" x14ac:dyDescent="0.25">
      <c r="A192" s="399" t="s">
        <v>165</v>
      </c>
      <c r="B192" s="455">
        <v>902</v>
      </c>
      <c r="C192" s="402" t="s">
        <v>159</v>
      </c>
      <c r="D192" s="402" t="s">
        <v>174</v>
      </c>
      <c r="E192" s="402" t="s">
        <v>1019</v>
      </c>
      <c r="F192" s="467"/>
      <c r="G192" s="318">
        <f>G193</f>
        <v>0</v>
      </c>
      <c r="H192" s="318">
        <f>H193</f>
        <v>0</v>
      </c>
      <c r="I192" s="334"/>
      <c r="J192" s="321"/>
    </row>
    <row r="193" spans="1:10" ht="31.5" hidden="1" x14ac:dyDescent="0.25">
      <c r="A193" s="399" t="s">
        <v>123</v>
      </c>
      <c r="B193" s="455">
        <v>902</v>
      </c>
      <c r="C193" s="402" t="s">
        <v>159</v>
      </c>
      <c r="D193" s="402" t="s">
        <v>174</v>
      </c>
      <c r="E193" s="402" t="s">
        <v>1019</v>
      </c>
      <c r="F193" s="467" t="s">
        <v>124</v>
      </c>
      <c r="G193" s="318">
        <f>G194</f>
        <v>0</v>
      </c>
      <c r="H193" s="318">
        <f>H194</f>
        <v>0</v>
      </c>
      <c r="I193" s="334"/>
      <c r="J193" s="321"/>
    </row>
    <row r="194" spans="1:10" ht="31.5" hidden="1" x14ac:dyDescent="0.25">
      <c r="A194" s="399" t="s">
        <v>125</v>
      </c>
      <c r="B194" s="455">
        <v>902</v>
      </c>
      <c r="C194" s="402" t="s">
        <v>159</v>
      </c>
      <c r="D194" s="402" t="s">
        <v>174</v>
      </c>
      <c r="E194" s="402" t="s">
        <v>1019</v>
      </c>
      <c r="F194" s="467" t="s">
        <v>126</v>
      </c>
      <c r="G194" s="318">
        <f>100-100</f>
        <v>0</v>
      </c>
      <c r="H194" s="318">
        <f>100-100</f>
        <v>0</v>
      </c>
      <c r="I194" s="334"/>
      <c r="J194" s="321"/>
    </row>
    <row r="195" spans="1:10" ht="31.5" hidden="1" x14ac:dyDescent="0.25">
      <c r="A195" s="399" t="s">
        <v>1052</v>
      </c>
      <c r="B195" s="455">
        <v>902</v>
      </c>
      <c r="C195" s="402" t="s">
        <v>159</v>
      </c>
      <c r="D195" s="402" t="s">
        <v>174</v>
      </c>
      <c r="E195" s="402" t="s">
        <v>1053</v>
      </c>
      <c r="F195" s="467"/>
      <c r="G195" s="318">
        <f>G196+G199</f>
        <v>0</v>
      </c>
      <c r="H195" s="318">
        <f>H196+H199</f>
        <v>0</v>
      </c>
      <c r="I195" s="334"/>
      <c r="J195" s="321"/>
    </row>
    <row r="196" spans="1:10" ht="31.5" hidden="1" x14ac:dyDescent="0.25">
      <c r="A196" s="399" t="s">
        <v>123</v>
      </c>
      <c r="B196" s="455">
        <v>902</v>
      </c>
      <c r="C196" s="402" t="s">
        <v>159</v>
      </c>
      <c r="D196" s="402" t="s">
        <v>174</v>
      </c>
      <c r="E196" s="402" t="s">
        <v>1053</v>
      </c>
      <c r="F196" s="467" t="s">
        <v>124</v>
      </c>
      <c r="G196" s="318">
        <f>G197</f>
        <v>0</v>
      </c>
      <c r="H196" s="318">
        <f>H197</f>
        <v>0</v>
      </c>
      <c r="I196" s="334"/>
      <c r="J196" s="321"/>
    </row>
    <row r="197" spans="1:10" ht="31.5" hidden="1" x14ac:dyDescent="0.25">
      <c r="A197" s="399" t="s">
        <v>125</v>
      </c>
      <c r="B197" s="455">
        <v>902</v>
      </c>
      <c r="C197" s="402" t="s">
        <v>159</v>
      </c>
      <c r="D197" s="402" t="s">
        <v>174</v>
      </c>
      <c r="E197" s="402" t="s">
        <v>1053</v>
      </c>
      <c r="F197" s="467" t="s">
        <v>126</v>
      </c>
      <c r="G197" s="318">
        <f>448+100-548</f>
        <v>0</v>
      </c>
      <c r="H197" s="318">
        <f>448+100-548</f>
        <v>0</v>
      </c>
      <c r="I197" s="334"/>
      <c r="J197" s="321"/>
    </row>
    <row r="198" spans="1:10" ht="31.5" hidden="1" x14ac:dyDescent="0.25">
      <c r="A198" s="399" t="s">
        <v>1052</v>
      </c>
      <c r="B198" s="455">
        <v>902</v>
      </c>
      <c r="C198" s="402" t="s">
        <v>159</v>
      </c>
      <c r="D198" s="402" t="s">
        <v>174</v>
      </c>
      <c r="E198" s="402" t="s">
        <v>1053</v>
      </c>
      <c r="F198" s="467"/>
      <c r="G198" s="318"/>
      <c r="H198" s="318"/>
      <c r="I198" s="334"/>
      <c r="J198" s="321"/>
    </row>
    <row r="199" spans="1:10" ht="15.75" hidden="1" x14ac:dyDescent="0.25">
      <c r="A199" s="399" t="s">
        <v>177</v>
      </c>
      <c r="B199" s="455">
        <v>902</v>
      </c>
      <c r="C199" s="402" t="s">
        <v>159</v>
      </c>
      <c r="D199" s="402" t="s">
        <v>174</v>
      </c>
      <c r="E199" s="402" t="s">
        <v>1053</v>
      </c>
      <c r="F199" s="467" t="s">
        <v>178</v>
      </c>
      <c r="G199" s="318">
        <f>G200</f>
        <v>0</v>
      </c>
      <c r="H199" s="318">
        <f>H200</f>
        <v>0</v>
      </c>
      <c r="I199" s="334"/>
      <c r="J199" s="321"/>
    </row>
    <row r="200" spans="1:10" ht="30" hidden="1" customHeight="1" x14ac:dyDescent="0.25">
      <c r="A200" s="399" t="s">
        <v>179</v>
      </c>
      <c r="B200" s="455">
        <v>902</v>
      </c>
      <c r="C200" s="402" t="s">
        <v>159</v>
      </c>
      <c r="D200" s="402" t="s">
        <v>174</v>
      </c>
      <c r="E200" s="402" t="s">
        <v>1053</v>
      </c>
      <c r="F200" s="467" t="s">
        <v>180</v>
      </c>
      <c r="G200" s="318"/>
      <c r="H200" s="318"/>
      <c r="I200" s="334"/>
      <c r="J200" s="321"/>
    </row>
    <row r="201" spans="1:10" ht="15.75" x14ac:dyDescent="0.25">
      <c r="A201" s="417" t="s">
        <v>166</v>
      </c>
      <c r="B201" s="454">
        <v>902</v>
      </c>
      <c r="C201" s="414" t="s">
        <v>139</v>
      </c>
      <c r="D201" s="414"/>
      <c r="E201" s="414"/>
      <c r="F201" s="402"/>
      <c r="G201" s="314">
        <f>G212+G202</f>
        <v>497.59999999999997</v>
      </c>
      <c r="H201" s="314">
        <f>H212+H202</f>
        <v>765.9</v>
      </c>
      <c r="I201" s="334"/>
      <c r="J201" s="321"/>
    </row>
    <row r="202" spans="1:10" ht="15.75" x14ac:dyDescent="0.25">
      <c r="A202" s="417" t="s">
        <v>167</v>
      </c>
      <c r="B202" s="454">
        <v>902</v>
      </c>
      <c r="C202" s="414" t="s">
        <v>139</v>
      </c>
      <c r="D202" s="414" t="s">
        <v>168</v>
      </c>
      <c r="E202" s="414"/>
      <c r="F202" s="402"/>
      <c r="G202" s="314">
        <f>G203</f>
        <v>19.199999999999989</v>
      </c>
      <c r="H202" s="314">
        <f>H203</f>
        <v>274.2</v>
      </c>
      <c r="I202" s="334"/>
      <c r="J202" s="321"/>
    </row>
    <row r="203" spans="1:10" ht="42.4" customHeight="1" x14ac:dyDescent="0.25">
      <c r="A203" s="413" t="s">
        <v>847</v>
      </c>
      <c r="B203" s="454">
        <v>902</v>
      </c>
      <c r="C203" s="414" t="s">
        <v>139</v>
      </c>
      <c r="D203" s="414" t="s">
        <v>168</v>
      </c>
      <c r="E203" s="470" t="s">
        <v>147</v>
      </c>
      <c r="F203" s="464"/>
      <c r="G203" s="314">
        <f>G204+G208</f>
        <v>19.199999999999989</v>
      </c>
      <c r="H203" s="314">
        <f>H204+H208</f>
        <v>274.2</v>
      </c>
      <c r="I203" s="334"/>
      <c r="J203" s="321"/>
    </row>
    <row r="204" spans="1:10" ht="35.450000000000003" customHeight="1" x14ac:dyDescent="0.25">
      <c r="A204" s="413" t="s">
        <v>569</v>
      </c>
      <c r="B204" s="454">
        <v>902</v>
      </c>
      <c r="C204" s="414" t="s">
        <v>139</v>
      </c>
      <c r="D204" s="414" t="s">
        <v>168</v>
      </c>
      <c r="E204" s="475" t="s">
        <v>453</v>
      </c>
      <c r="F204" s="464"/>
      <c r="G204" s="314">
        <f t="shared" ref="G204:H206" si="13">G205</f>
        <v>19.199999999999989</v>
      </c>
      <c r="H204" s="314">
        <f t="shared" si="13"/>
        <v>274.2</v>
      </c>
      <c r="I204" s="334"/>
      <c r="J204" s="321"/>
    </row>
    <row r="205" spans="1:10" ht="31.5" x14ac:dyDescent="0.25">
      <c r="A205" s="399" t="s">
        <v>169</v>
      </c>
      <c r="B205" s="455">
        <v>902</v>
      </c>
      <c r="C205" s="402" t="s">
        <v>139</v>
      </c>
      <c r="D205" s="402" t="s">
        <v>168</v>
      </c>
      <c r="E205" s="402" t="s">
        <v>469</v>
      </c>
      <c r="F205" s="467"/>
      <c r="G205" s="318">
        <f t="shared" si="13"/>
        <v>19.199999999999989</v>
      </c>
      <c r="H205" s="318">
        <f t="shared" si="13"/>
        <v>274.2</v>
      </c>
      <c r="I205" s="334"/>
      <c r="J205" s="321"/>
    </row>
    <row r="206" spans="1:10" ht="15.75" x14ac:dyDescent="0.25">
      <c r="A206" s="459" t="s">
        <v>127</v>
      </c>
      <c r="B206" s="455">
        <v>902</v>
      </c>
      <c r="C206" s="402" t="s">
        <v>139</v>
      </c>
      <c r="D206" s="402" t="s">
        <v>168</v>
      </c>
      <c r="E206" s="402" t="s">
        <v>469</v>
      </c>
      <c r="F206" s="467" t="s">
        <v>134</v>
      </c>
      <c r="G206" s="318">
        <f t="shared" si="13"/>
        <v>19.199999999999989</v>
      </c>
      <c r="H206" s="318">
        <f t="shared" si="13"/>
        <v>274.2</v>
      </c>
      <c r="I206" s="334"/>
      <c r="J206" s="321"/>
    </row>
    <row r="207" spans="1:10" ht="47.25" x14ac:dyDescent="0.25">
      <c r="A207" s="459" t="s">
        <v>148</v>
      </c>
      <c r="B207" s="455">
        <v>902</v>
      </c>
      <c r="C207" s="402" t="s">
        <v>139</v>
      </c>
      <c r="D207" s="402" t="s">
        <v>168</v>
      </c>
      <c r="E207" s="402" t="s">
        <v>469</v>
      </c>
      <c r="F207" s="467" t="s">
        <v>142</v>
      </c>
      <c r="G207" s="318">
        <f>19.2+255-255</f>
        <v>19.199999999999989</v>
      </c>
      <c r="H207" s="318">
        <f>19.2+255</f>
        <v>274.2</v>
      </c>
      <c r="I207" s="334" t="s">
        <v>1207</v>
      </c>
      <c r="J207" s="321"/>
    </row>
    <row r="208" spans="1:10" ht="31.5" hidden="1" x14ac:dyDescent="0.25">
      <c r="A208" s="476" t="s">
        <v>570</v>
      </c>
      <c r="B208" s="454">
        <v>902</v>
      </c>
      <c r="C208" s="414" t="s">
        <v>139</v>
      </c>
      <c r="D208" s="414" t="s">
        <v>168</v>
      </c>
      <c r="E208" s="470" t="s">
        <v>455</v>
      </c>
      <c r="F208" s="464"/>
      <c r="G208" s="314">
        <f t="shared" ref="G208:H210" si="14">G209</f>
        <v>0</v>
      </c>
      <c r="H208" s="314">
        <f t="shared" si="14"/>
        <v>0</v>
      </c>
      <c r="I208" s="334"/>
      <c r="J208" s="321"/>
    </row>
    <row r="209" spans="1:10" ht="15.75" hidden="1" x14ac:dyDescent="0.25">
      <c r="A209" s="399" t="s">
        <v>454</v>
      </c>
      <c r="B209" s="455">
        <v>902</v>
      </c>
      <c r="C209" s="402" t="s">
        <v>139</v>
      </c>
      <c r="D209" s="402" t="s">
        <v>168</v>
      </c>
      <c r="E209" s="404" t="s">
        <v>470</v>
      </c>
      <c r="F209" s="467"/>
      <c r="G209" s="318">
        <f t="shared" si="14"/>
        <v>0</v>
      </c>
      <c r="H209" s="318">
        <f t="shared" si="14"/>
        <v>0</v>
      </c>
      <c r="I209" s="334"/>
      <c r="J209" s="321"/>
    </row>
    <row r="210" spans="1:10" ht="15.75" hidden="1" x14ac:dyDescent="0.25">
      <c r="A210" s="459" t="s">
        <v>127</v>
      </c>
      <c r="B210" s="455">
        <v>902</v>
      </c>
      <c r="C210" s="402" t="s">
        <v>139</v>
      </c>
      <c r="D210" s="402" t="s">
        <v>168</v>
      </c>
      <c r="E210" s="404" t="s">
        <v>470</v>
      </c>
      <c r="F210" s="467" t="s">
        <v>134</v>
      </c>
      <c r="G210" s="318">
        <f t="shared" si="14"/>
        <v>0</v>
      </c>
      <c r="H210" s="318">
        <f t="shared" si="14"/>
        <v>0</v>
      </c>
      <c r="I210" s="334"/>
      <c r="J210" s="321"/>
    </row>
    <row r="211" spans="1:10" ht="47.25" hidden="1" x14ac:dyDescent="0.25">
      <c r="A211" s="459" t="s">
        <v>148</v>
      </c>
      <c r="B211" s="455">
        <v>902</v>
      </c>
      <c r="C211" s="402" t="s">
        <v>139</v>
      </c>
      <c r="D211" s="402" t="s">
        <v>168</v>
      </c>
      <c r="E211" s="404" t="s">
        <v>470</v>
      </c>
      <c r="F211" s="467" t="s">
        <v>142</v>
      </c>
      <c r="G211" s="318">
        <v>0</v>
      </c>
      <c r="H211" s="318">
        <v>0</v>
      </c>
      <c r="I211" s="334"/>
      <c r="J211" s="321"/>
    </row>
    <row r="212" spans="1:10" ht="15.75" x14ac:dyDescent="0.25">
      <c r="A212" s="417" t="s">
        <v>170</v>
      </c>
      <c r="B212" s="454">
        <v>902</v>
      </c>
      <c r="C212" s="414" t="s">
        <v>139</v>
      </c>
      <c r="D212" s="414" t="s">
        <v>171</v>
      </c>
      <c r="E212" s="414"/>
      <c r="F212" s="414"/>
      <c r="G212" s="314">
        <f>G213+G220</f>
        <v>478.4</v>
      </c>
      <c r="H212" s="314">
        <f>H213+H220</f>
        <v>491.7</v>
      </c>
      <c r="I212" s="334"/>
      <c r="J212" s="321"/>
    </row>
    <row r="213" spans="1:10" ht="31.5" x14ac:dyDescent="0.25">
      <c r="A213" s="417" t="s">
        <v>488</v>
      </c>
      <c r="B213" s="454">
        <v>902</v>
      </c>
      <c r="C213" s="414" t="s">
        <v>139</v>
      </c>
      <c r="D213" s="414" t="s">
        <v>171</v>
      </c>
      <c r="E213" s="414" t="s">
        <v>434</v>
      </c>
      <c r="F213" s="414"/>
      <c r="G213" s="314">
        <f>G214</f>
        <v>328.4</v>
      </c>
      <c r="H213" s="314">
        <f>H214</f>
        <v>341.7</v>
      </c>
      <c r="I213" s="334"/>
      <c r="J213" s="321"/>
    </row>
    <row r="214" spans="1:10" ht="31.5" x14ac:dyDescent="0.25">
      <c r="A214" s="417" t="s">
        <v>460</v>
      </c>
      <c r="B214" s="454">
        <v>902</v>
      </c>
      <c r="C214" s="414" t="s">
        <v>139</v>
      </c>
      <c r="D214" s="414" t="s">
        <v>171</v>
      </c>
      <c r="E214" s="414" t="s">
        <v>439</v>
      </c>
      <c r="F214" s="414"/>
      <c r="G214" s="314">
        <f>G215</f>
        <v>328.4</v>
      </c>
      <c r="H214" s="314">
        <f>H215</f>
        <v>341.7</v>
      </c>
      <c r="I214" s="334"/>
      <c r="J214" s="321"/>
    </row>
    <row r="215" spans="1:10" ht="69.75" customHeight="1" x14ac:dyDescent="0.25">
      <c r="A215" s="401" t="s">
        <v>172</v>
      </c>
      <c r="B215" s="455">
        <v>902</v>
      </c>
      <c r="C215" s="402" t="s">
        <v>139</v>
      </c>
      <c r="D215" s="402" t="s">
        <v>171</v>
      </c>
      <c r="E215" s="402" t="s">
        <v>495</v>
      </c>
      <c r="F215" s="402"/>
      <c r="G215" s="318">
        <f>G216+G218</f>
        <v>328.4</v>
      </c>
      <c r="H215" s="318">
        <f>H216+H218</f>
        <v>341.7</v>
      </c>
      <c r="I215" s="334"/>
      <c r="J215" s="321"/>
    </row>
    <row r="216" spans="1:10" ht="63" x14ac:dyDescent="0.25">
      <c r="A216" s="399" t="s">
        <v>119</v>
      </c>
      <c r="B216" s="455">
        <v>902</v>
      </c>
      <c r="C216" s="402" t="s">
        <v>139</v>
      </c>
      <c r="D216" s="402" t="s">
        <v>171</v>
      </c>
      <c r="E216" s="402" t="s">
        <v>495</v>
      </c>
      <c r="F216" s="402" t="s">
        <v>120</v>
      </c>
      <c r="G216" s="318">
        <f>G217</f>
        <v>298.5</v>
      </c>
      <c r="H216" s="318">
        <f>H217</f>
        <v>310.59999999999997</v>
      </c>
      <c r="I216" s="334"/>
      <c r="J216" s="321"/>
    </row>
    <row r="217" spans="1:10" ht="31.5" x14ac:dyDescent="0.25">
      <c r="A217" s="399" t="s">
        <v>121</v>
      </c>
      <c r="B217" s="455">
        <v>902</v>
      </c>
      <c r="C217" s="402" t="s">
        <v>139</v>
      </c>
      <c r="D217" s="402" t="s">
        <v>171</v>
      </c>
      <c r="E217" s="402" t="s">
        <v>495</v>
      </c>
      <c r="F217" s="402" t="s">
        <v>122</v>
      </c>
      <c r="G217" s="318">
        <v>298.5</v>
      </c>
      <c r="H217" s="318">
        <f>310.4+0.2</f>
        <v>310.59999999999997</v>
      </c>
      <c r="I217" s="334" t="s">
        <v>1339</v>
      </c>
      <c r="J217" s="321"/>
    </row>
    <row r="218" spans="1:10" ht="31.5" x14ac:dyDescent="0.25">
      <c r="A218" s="399" t="s">
        <v>123</v>
      </c>
      <c r="B218" s="455">
        <v>902</v>
      </c>
      <c r="C218" s="402" t="s">
        <v>139</v>
      </c>
      <c r="D218" s="402" t="s">
        <v>171</v>
      </c>
      <c r="E218" s="402" t="s">
        <v>495</v>
      </c>
      <c r="F218" s="402" t="s">
        <v>124</v>
      </c>
      <c r="G218" s="318">
        <f>G219</f>
        <v>29.9</v>
      </c>
      <c r="H218" s="318">
        <f>H219</f>
        <v>31.1</v>
      </c>
      <c r="I218" s="334"/>
      <c r="J218" s="321"/>
    </row>
    <row r="219" spans="1:10" ht="31.5" x14ac:dyDescent="0.25">
      <c r="A219" s="399" t="s">
        <v>125</v>
      </c>
      <c r="B219" s="455">
        <v>902</v>
      </c>
      <c r="C219" s="402" t="s">
        <v>139</v>
      </c>
      <c r="D219" s="402" t="s">
        <v>171</v>
      </c>
      <c r="E219" s="402" t="s">
        <v>495</v>
      </c>
      <c r="F219" s="402" t="s">
        <v>126</v>
      </c>
      <c r="G219" s="318">
        <f>30-0.1</f>
        <v>29.9</v>
      </c>
      <c r="H219" s="318">
        <f>31.3-0.2</f>
        <v>31.1</v>
      </c>
      <c r="I219" s="334" t="s">
        <v>1341</v>
      </c>
      <c r="J219" s="321"/>
    </row>
    <row r="220" spans="1:10" ht="33.4" customHeight="1" x14ac:dyDescent="0.25">
      <c r="A220" s="417" t="s">
        <v>839</v>
      </c>
      <c r="B220" s="454">
        <v>902</v>
      </c>
      <c r="C220" s="414" t="s">
        <v>139</v>
      </c>
      <c r="D220" s="414" t="s">
        <v>171</v>
      </c>
      <c r="E220" s="414" t="s">
        <v>141</v>
      </c>
      <c r="F220" s="414"/>
      <c r="G220" s="314">
        <f t="shared" ref="G220:H223" si="15">G221</f>
        <v>150</v>
      </c>
      <c r="H220" s="314">
        <f t="shared" si="15"/>
        <v>150</v>
      </c>
      <c r="I220" s="334"/>
      <c r="J220" s="321"/>
    </row>
    <row r="221" spans="1:10" ht="31.5" x14ac:dyDescent="0.25">
      <c r="A221" s="417" t="s">
        <v>621</v>
      </c>
      <c r="B221" s="454">
        <v>902</v>
      </c>
      <c r="C221" s="414" t="s">
        <v>139</v>
      </c>
      <c r="D221" s="414" t="s">
        <v>171</v>
      </c>
      <c r="E221" s="414" t="s">
        <v>619</v>
      </c>
      <c r="F221" s="414"/>
      <c r="G221" s="314">
        <f t="shared" si="15"/>
        <v>150</v>
      </c>
      <c r="H221" s="314">
        <f t="shared" si="15"/>
        <v>150</v>
      </c>
      <c r="I221" s="334"/>
      <c r="J221" s="321"/>
    </row>
    <row r="222" spans="1:10" ht="31.5" x14ac:dyDescent="0.25">
      <c r="A222" s="399" t="s">
        <v>622</v>
      </c>
      <c r="B222" s="455">
        <v>902</v>
      </c>
      <c r="C222" s="402" t="s">
        <v>139</v>
      </c>
      <c r="D222" s="402" t="s">
        <v>171</v>
      </c>
      <c r="E222" s="402" t="s">
        <v>620</v>
      </c>
      <c r="F222" s="402"/>
      <c r="G222" s="318">
        <f t="shared" si="15"/>
        <v>150</v>
      </c>
      <c r="H222" s="318">
        <f t="shared" si="15"/>
        <v>150</v>
      </c>
      <c r="I222" s="334"/>
      <c r="J222" s="321"/>
    </row>
    <row r="223" spans="1:10" ht="15.75" x14ac:dyDescent="0.25">
      <c r="A223" s="399" t="s">
        <v>127</v>
      </c>
      <c r="B223" s="455">
        <v>902</v>
      </c>
      <c r="C223" s="402" t="s">
        <v>139</v>
      </c>
      <c r="D223" s="402" t="s">
        <v>171</v>
      </c>
      <c r="E223" s="402" t="s">
        <v>620</v>
      </c>
      <c r="F223" s="402" t="s">
        <v>134</v>
      </c>
      <c r="G223" s="318">
        <f t="shared" si="15"/>
        <v>150</v>
      </c>
      <c r="H223" s="318">
        <f t="shared" si="15"/>
        <v>150</v>
      </c>
      <c r="I223" s="334"/>
      <c r="J223" s="321"/>
    </row>
    <row r="224" spans="1:10" ht="47.25" x14ac:dyDescent="0.25">
      <c r="A224" s="399" t="s">
        <v>148</v>
      </c>
      <c r="B224" s="455">
        <v>902</v>
      </c>
      <c r="C224" s="402" t="s">
        <v>139</v>
      </c>
      <c r="D224" s="402" t="s">
        <v>171</v>
      </c>
      <c r="E224" s="402" t="s">
        <v>620</v>
      </c>
      <c r="F224" s="402" t="s">
        <v>142</v>
      </c>
      <c r="G224" s="318">
        <v>150</v>
      </c>
      <c r="H224" s="318">
        <v>150</v>
      </c>
      <c r="I224" s="334"/>
      <c r="J224" s="321"/>
    </row>
    <row r="225" spans="1:10" ht="16.5" customHeight="1" x14ac:dyDescent="0.25">
      <c r="A225" s="417" t="s">
        <v>173</v>
      </c>
      <c r="B225" s="454">
        <v>902</v>
      </c>
      <c r="C225" s="414" t="s">
        <v>174</v>
      </c>
      <c r="D225" s="414"/>
      <c r="E225" s="414"/>
      <c r="F225" s="414"/>
      <c r="G225" s="314">
        <f>G226+G232+G238</f>
        <v>13614.2</v>
      </c>
      <c r="H225" s="314">
        <f>H226+H232+H238</f>
        <v>13765</v>
      </c>
      <c r="I225" s="334"/>
      <c r="J225" s="321"/>
    </row>
    <row r="226" spans="1:10" ht="15.75" x14ac:dyDescent="0.25">
      <c r="A226" s="417" t="s">
        <v>175</v>
      </c>
      <c r="B226" s="454">
        <v>902</v>
      </c>
      <c r="C226" s="414" t="s">
        <v>174</v>
      </c>
      <c r="D226" s="414" t="s">
        <v>116</v>
      </c>
      <c r="E226" s="414"/>
      <c r="F226" s="414"/>
      <c r="G226" s="314">
        <f t="shared" ref="G226:H230" si="16">G227</f>
        <v>9913.5</v>
      </c>
      <c r="H226" s="314">
        <f t="shared" si="16"/>
        <v>9913.5</v>
      </c>
      <c r="I226" s="334"/>
      <c r="J226" s="321"/>
    </row>
    <row r="227" spans="1:10" ht="15.75" x14ac:dyDescent="0.25">
      <c r="A227" s="417" t="s">
        <v>133</v>
      </c>
      <c r="B227" s="454">
        <v>902</v>
      </c>
      <c r="C227" s="414" t="s">
        <v>174</v>
      </c>
      <c r="D227" s="414" t="s">
        <v>116</v>
      </c>
      <c r="E227" s="414" t="s">
        <v>442</v>
      </c>
      <c r="F227" s="414"/>
      <c r="G227" s="314">
        <f t="shared" si="16"/>
        <v>9913.5</v>
      </c>
      <c r="H227" s="314">
        <f t="shared" si="16"/>
        <v>9913.5</v>
      </c>
      <c r="I227" s="334"/>
      <c r="J227" s="321"/>
    </row>
    <row r="228" spans="1:10" ht="31.5" x14ac:dyDescent="0.25">
      <c r="A228" s="417" t="s">
        <v>446</v>
      </c>
      <c r="B228" s="454">
        <v>902</v>
      </c>
      <c r="C228" s="414" t="s">
        <v>174</v>
      </c>
      <c r="D228" s="414" t="s">
        <v>116</v>
      </c>
      <c r="E228" s="414" t="s">
        <v>441</v>
      </c>
      <c r="F228" s="414"/>
      <c r="G228" s="314">
        <f t="shared" si="16"/>
        <v>9913.5</v>
      </c>
      <c r="H228" s="314">
        <f t="shared" si="16"/>
        <v>9913.5</v>
      </c>
      <c r="I228" s="334"/>
      <c r="J228" s="321"/>
    </row>
    <row r="229" spans="1:10" ht="15.75" x14ac:dyDescent="0.25">
      <c r="A229" s="399" t="s">
        <v>176</v>
      </c>
      <c r="B229" s="455">
        <v>902</v>
      </c>
      <c r="C229" s="402" t="s">
        <v>174</v>
      </c>
      <c r="D229" s="402" t="s">
        <v>116</v>
      </c>
      <c r="E229" s="402" t="s">
        <v>456</v>
      </c>
      <c r="F229" s="402"/>
      <c r="G229" s="318">
        <f t="shared" si="16"/>
        <v>9913.5</v>
      </c>
      <c r="H229" s="318">
        <f t="shared" si="16"/>
        <v>9913.5</v>
      </c>
      <c r="I229" s="334"/>
      <c r="J229" s="321"/>
    </row>
    <row r="230" spans="1:10" ht="15.75" x14ac:dyDescent="0.25">
      <c r="A230" s="399" t="s">
        <v>177</v>
      </c>
      <c r="B230" s="455">
        <v>902</v>
      </c>
      <c r="C230" s="402" t="s">
        <v>174</v>
      </c>
      <c r="D230" s="402" t="s">
        <v>116</v>
      </c>
      <c r="E230" s="402" t="s">
        <v>456</v>
      </c>
      <c r="F230" s="402" t="s">
        <v>178</v>
      </c>
      <c r="G230" s="318">
        <f t="shared" si="16"/>
        <v>9913.5</v>
      </c>
      <c r="H230" s="318">
        <f t="shared" si="16"/>
        <v>9913.5</v>
      </c>
      <c r="I230" s="334"/>
      <c r="J230" s="321"/>
    </row>
    <row r="231" spans="1:10" ht="15.75" x14ac:dyDescent="0.25">
      <c r="A231" s="399" t="s">
        <v>216</v>
      </c>
      <c r="B231" s="455">
        <v>902</v>
      </c>
      <c r="C231" s="402" t="s">
        <v>174</v>
      </c>
      <c r="D231" s="402" t="s">
        <v>116</v>
      </c>
      <c r="E231" s="402" t="s">
        <v>456</v>
      </c>
      <c r="F231" s="402" t="s">
        <v>217</v>
      </c>
      <c r="G231" s="20">
        <v>9913.5</v>
      </c>
      <c r="H231" s="20">
        <v>9913.5</v>
      </c>
      <c r="I231" s="334"/>
      <c r="J231" s="321"/>
    </row>
    <row r="232" spans="1:10" ht="15.75" x14ac:dyDescent="0.25">
      <c r="A232" s="417" t="s">
        <v>181</v>
      </c>
      <c r="B232" s="454">
        <v>902</v>
      </c>
      <c r="C232" s="414" t="s">
        <v>174</v>
      </c>
      <c r="D232" s="414" t="s">
        <v>159</v>
      </c>
      <c r="E232" s="402"/>
      <c r="F232" s="402"/>
      <c r="G232" s="314">
        <f t="shared" ref="G232:H236" si="17">G233</f>
        <v>10</v>
      </c>
      <c r="H232" s="314">
        <f t="shared" si="17"/>
        <v>10</v>
      </c>
      <c r="I232" s="334"/>
      <c r="J232" s="321"/>
    </row>
    <row r="233" spans="1:10" ht="47.25" x14ac:dyDescent="0.25">
      <c r="A233" s="417" t="s">
        <v>849</v>
      </c>
      <c r="B233" s="454">
        <v>902</v>
      </c>
      <c r="C233" s="414" t="s">
        <v>174</v>
      </c>
      <c r="D233" s="414" t="s">
        <v>159</v>
      </c>
      <c r="E233" s="414" t="s">
        <v>182</v>
      </c>
      <c r="F233" s="414"/>
      <c r="G233" s="314">
        <f t="shared" si="17"/>
        <v>10</v>
      </c>
      <c r="H233" s="314">
        <f t="shared" si="17"/>
        <v>10</v>
      </c>
      <c r="I233" s="334"/>
      <c r="J233" s="321"/>
    </row>
    <row r="234" spans="1:10" ht="31.5" x14ac:dyDescent="0.25">
      <c r="A234" s="413" t="s">
        <v>459</v>
      </c>
      <c r="B234" s="454">
        <v>902</v>
      </c>
      <c r="C234" s="414" t="s">
        <v>174</v>
      </c>
      <c r="D234" s="414" t="s">
        <v>159</v>
      </c>
      <c r="E234" s="414" t="s">
        <v>457</v>
      </c>
      <c r="F234" s="414"/>
      <c r="G234" s="314">
        <f t="shared" si="17"/>
        <v>10</v>
      </c>
      <c r="H234" s="314">
        <f t="shared" si="17"/>
        <v>10</v>
      </c>
      <c r="I234" s="334"/>
      <c r="J234" s="321"/>
    </row>
    <row r="235" spans="1:10" ht="28.5" customHeight="1" x14ac:dyDescent="0.25">
      <c r="A235" s="399" t="s">
        <v>730</v>
      </c>
      <c r="B235" s="455">
        <v>902</v>
      </c>
      <c r="C235" s="402" t="s">
        <v>174</v>
      </c>
      <c r="D235" s="402" t="s">
        <v>159</v>
      </c>
      <c r="E235" s="402" t="s">
        <v>728</v>
      </c>
      <c r="F235" s="402"/>
      <c r="G235" s="318">
        <f t="shared" si="17"/>
        <v>10</v>
      </c>
      <c r="H235" s="318">
        <f t="shared" si="17"/>
        <v>10</v>
      </c>
      <c r="I235" s="334"/>
      <c r="J235" s="321"/>
    </row>
    <row r="236" spans="1:10" ht="19.5" customHeight="1" x14ac:dyDescent="0.25">
      <c r="A236" s="399" t="s">
        <v>177</v>
      </c>
      <c r="B236" s="455">
        <v>902</v>
      </c>
      <c r="C236" s="402" t="s">
        <v>174</v>
      </c>
      <c r="D236" s="402" t="s">
        <v>159</v>
      </c>
      <c r="E236" s="402" t="s">
        <v>728</v>
      </c>
      <c r="F236" s="402" t="s">
        <v>178</v>
      </c>
      <c r="G236" s="318">
        <f t="shared" si="17"/>
        <v>10</v>
      </c>
      <c r="H236" s="318">
        <f t="shared" si="17"/>
        <v>10</v>
      </c>
      <c r="I236" s="334"/>
      <c r="J236" s="321"/>
    </row>
    <row r="237" spans="1:10" ht="31.5" x14ac:dyDescent="0.25">
      <c r="A237" s="399" t="s">
        <v>179</v>
      </c>
      <c r="B237" s="455">
        <v>902</v>
      </c>
      <c r="C237" s="402" t="s">
        <v>174</v>
      </c>
      <c r="D237" s="402" t="s">
        <v>159</v>
      </c>
      <c r="E237" s="402" t="s">
        <v>728</v>
      </c>
      <c r="F237" s="402" t="s">
        <v>180</v>
      </c>
      <c r="G237" s="318">
        <v>10</v>
      </c>
      <c r="H237" s="318">
        <v>10</v>
      </c>
      <c r="I237" s="334"/>
      <c r="J237" s="321"/>
    </row>
    <row r="238" spans="1:10" ht="15.75" x14ac:dyDescent="0.25">
      <c r="A238" s="417" t="s">
        <v>183</v>
      </c>
      <c r="B238" s="454">
        <v>902</v>
      </c>
      <c r="C238" s="414" t="s">
        <v>174</v>
      </c>
      <c r="D238" s="414" t="s">
        <v>118</v>
      </c>
      <c r="E238" s="414"/>
      <c r="F238" s="414"/>
      <c r="G238" s="314">
        <f t="shared" ref="G238:H240" si="18">G239</f>
        <v>3690.7000000000003</v>
      </c>
      <c r="H238" s="314">
        <f t="shared" si="18"/>
        <v>3841.5</v>
      </c>
      <c r="I238" s="334"/>
      <c r="J238" s="321"/>
    </row>
    <row r="239" spans="1:10" ht="31.5" x14ac:dyDescent="0.25">
      <c r="A239" s="417" t="s">
        <v>488</v>
      </c>
      <c r="B239" s="454">
        <v>902</v>
      </c>
      <c r="C239" s="414" t="s">
        <v>174</v>
      </c>
      <c r="D239" s="414" t="s">
        <v>118</v>
      </c>
      <c r="E239" s="414" t="s">
        <v>434</v>
      </c>
      <c r="F239" s="414"/>
      <c r="G239" s="314">
        <f t="shared" si="18"/>
        <v>3690.7000000000003</v>
      </c>
      <c r="H239" s="314">
        <f t="shared" si="18"/>
        <v>3841.5</v>
      </c>
      <c r="I239" s="334"/>
      <c r="J239" s="321"/>
    </row>
    <row r="240" spans="1:10" ht="31.5" x14ac:dyDescent="0.25">
      <c r="A240" s="417" t="s">
        <v>460</v>
      </c>
      <c r="B240" s="454">
        <v>902</v>
      </c>
      <c r="C240" s="414" t="s">
        <v>174</v>
      </c>
      <c r="D240" s="414" t="s">
        <v>118</v>
      </c>
      <c r="E240" s="414" t="s">
        <v>439</v>
      </c>
      <c r="F240" s="414"/>
      <c r="G240" s="314">
        <f t="shared" si="18"/>
        <v>3690.7000000000003</v>
      </c>
      <c r="H240" s="314">
        <f t="shared" si="18"/>
        <v>3841.5</v>
      </c>
      <c r="I240" s="334"/>
      <c r="J240" s="321"/>
    </row>
    <row r="241" spans="1:10" ht="47.25" customHeight="1" x14ac:dyDescent="0.25">
      <c r="A241" s="401" t="s">
        <v>184</v>
      </c>
      <c r="B241" s="455">
        <v>902</v>
      </c>
      <c r="C241" s="402" t="s">
        <v>174</v>
      </c>
      <c r="D241" s="402" t="s">
        <v>118</v>
      </c>
      <c r="E241" s="402" t="s">
        <v>496</v>
      </c>
      <c r="F241" s="402"/>
      <c r="G241" s="318">
        <f>G242+G244</f>
        <v>3690.7000000000003</v>
      </c>
      <c r="H241" s="318">
        <f>H242+H244</f>
        <v>3841.5</v>
      </c>
      <c r="I241" s="334"/>
      <c r="J241" s="321"/>
    </row>
    <row r="242" spans="1:10" ht="63" x14ac:dyDescent="0.25">
      <c r="A242" s="399" t="s">
        <v>119</v>
      </c>
      <c r="B242" s="455">
        <v>902</v>
      </c>
      <c r="C242" s="402" t="s">
        <v>174</v>
      </c>
      <c r="D242" s="402" t="s">
        <v>118</v>
      </c>
      <c r="E242" s="402" t="s">
        <v>496</v>
      </c>
      <c r="F242" s="402" t="s">
        <v>120</v>
      </c>
      <c r="G242" s="318">
        <f>G243</f>
        <v>3555.4</v>
      </c>
      <c r="H242" s="318">
        <f>H243</f>
        <v>3689.8</v>
      </c>
      <c r="I242" s="334"/>
      <c r="J242" s="321"/>
    </row>
    <row r="243" spans="1:10" ht="31.5" x14ac:dyDescent="0.25">
      <c r="A243" s="399" t="s">
        <v>121</v>
      </c>
      <c r="B243" s="455">
        <v>902</v>
      </c>
      <c r="C243" s="402" t="s">
        <v>174</v>
      </c>
      <c r="D243" s="402" t="s">
        <v>118</v>
      </c>
      <c r="E243" s="402" t="s">
        <v>496</v>
      </c>
      <c r="F243" s="402" t="s">
        <v>122</v>
      </c>
      <c r="G243" s="20">
        <f>3558.4-3</f>
        <v>3555.4</v>
      </c>
      <c r="H243" s="20">
        <v>3689.8</v>
      </c>
      <c r="I243" s="334" t="s">
        <v>1342</v>
      </c>
      <c r="J243" s="321"/>
    </row>
    <row r="244" spans="1:10" ht="31.5" x14ac:dyDescent="0.25">
      <c r="A244" s="399" t="s">
        <v>123</v>
      </c>
      <c r="B244" s="455">
        <v>902</v>
      </c>
      <c r="C244" s="402" t="s">
        <v>174</v>
      </c>
      <c r="D244" s="402" t="s">
        <v>118</v>
      </c>
      <c r="E244" s="402" t="s">
        <v>496</v>
      </c>
      <c r="F244" s="402" t="s">
        <v>124</v>
      </c>
      <c r="G244" s="318">
        <f>G245</f>
        <v>135.30000000000001</v>
      </c>
      <c r="H244" s="318">
        <f>H245</f>
        <v>151.69999999999999</v>
      </c>
      <c r="I244" s="334"/>
      <c r="J244" s="321"/>
    </row>
    <row r="245" spans="1:10" ht="31.5" x14ac:dyDescent="0.25">
      <c r="A245" s="399" t="s">
        <v>125</v>
      </c>
      <c r="B245" s="455">
        <v>902</v>
      </c>
      <c r="C245" s="402" t="s">
        <v>174</v>
      </c>
      <c r="D245" s="402" t="s">
        <v>118</v>
      </c>
      <c r="E245" s="402" t="s">
        <v>496</v>
      </c>
      <c r="F245" s="402" t="s">
        <v>126</v>
      </c>
      <c r="G245" s="20">
        <v>135.30000000000001</v>
      </c>
      <c r="H245" s="20">
        <v>151.69999999999999</v>
      </c>
      <c r="I245" s="334"/>
      <c r="J245" s="321"/>
    </row>
    <row r="246" spans="1:10" ht="48.75" customHeight="1" x14ac:dyDescent="0.25">
      <c r="A246" s="454" t="s">
        <v>185</v>
      </c>
      <c r="B246" s="454">
        <v>903</v>
      </c>
      <c r="C246" s="402"/>
      <c r="D246" s="402"/>
      <c r="E246" s="402"/>
      <c r="F246" s="402"/>
      <c r="G246" s="314">
        <f>G303+G372+G496+G247+G283+G521</f>
        <v>112789.65999999999</v>
      </c>
      <c r="H246" s="314">
        <f>H303+H372+H496+H247+H283+H521</f>
        <v>112757.90999999999</v>
      </c>
      <c r="I246" s="334"/>
      <c r="J246" s="321"/>
    </row>
    <row r="247" spans="1:10" ht="15.75" x14ac:dyDescent="0.25">
      <c r="A247" s="417" t="s">
        <v>115</v>
      </c>
      <c r="B247" s="454">
        <v>903</v>
      </c>
      <c r="C247" s="414" t="s">
        <v>116</v>
      </c>
      <c r="D247" s="402"/>
      <c r="E247" s="402"/>
      <c r="F247" s="402"/>
      <c r="G247" s="314">
        <f>G248</f>
        <v>681.9</v>
      </c>
      <c r="H247" s="314">
        <f>H248</f>
        <v>681.9</v>
      </c>
      <c r="I247" s="334"/>
      <c r="J247" s="321"/>
    </row>
    <row r="248" spans="1:10" ht="15.75" x14ac:dyDescent="0.25">
      <c r="A248" s="417" t="s">
        <v>131</v>
      </c>
      <c r="B248" s="454">
        <v>903</v>
      </c>
      <c r="C248" s="414" t="s">
        <v>116</v>
      </c>
      <c r="D248" s="414" t="s">
        <v>132</v>
      </c>
      <c r="E248" s="402"/>
      <c r="F248" s="402"/>
      <c r="G248" s="314">
        <f>G249+G261+G278</f>
        <v>681.9</v>
      </c>
      <c r="H248" s="314">
        <f>H249+H261+H278</f>
        <v>681.9</v>
      </c>
      <c r="I248" s="334"/>
      <c r="J248" s="321"/>
    </row>
    <row r="249" spans="1:10" ht="47.25" x14ac:dyDescent="0.25">
      <c r="A249" s="417" t="s">
        <v>850</v>
      </c>
      <c r="B249" s="454">
        <v>903</v>
      </c>
      <c r="C249" s="469" t="s">
        <v>116</v>
      </c>
      <c r="D249" s="469" t="s">
        <v>132</v>
      </c>
      <c r="E249" s="470" t="s">
        <v>213</v>
      </c>
      <c r="F249" s="469"/>
      <c r="G249" s="314">
        <f>G250</f>
        <v>655.9</v>
      </c>
      <c r="H249" s="314">
        <f>H250</f>
        <v>655.9</v>
      </c>
      <c r="I249" s="334"/>
      <c r="J249" s="321"/>
    </row>
    <row r="250" spans="1:10" ht="73.5" customHeight="1" x14ac:dyDescent="0.25">
      <c r="A250" s="463" t="s">
        <v>851</v>
      </c>
      <c r="B250" s="454">
        <v>903</v>
      </c>
      <c r="C250" s="407" t="s">
        <v>116</v>
      </c>
      <c r="D250" s="407" t="s">
        <v>132</v>
      </c>
      <c r="E250" s="407" t="s">
        <v>222</v>
      </c>
      <c r="F250" s="407"/>
      <c r="G250" s="314">
        <f>G251</f>
        <v>655.9</v>
      </c>
      <c r="H250" s="314">
        <f>H251</f>
        <v>655.9</v>
      </c>
      <c r="I250" s="334"/>
      <c r="J250" s="321"/>
    </row>
    <row r="251" spans="1:10" ht="47.25" x14ac:dyDescent="0.25">
      <c r="A251" s="477" t="s">
        <v>606</v>
      </c>
      <c r="B251" s="454">
        <v>903</v>
      </c>
      <c r="C251" s="407" t="s">
        <v>116</v>
      </c>
      <c r="D251" s="407" t="s">
        <v>132</v>
      </c>
      <c r="E251" s="407" t="s">
        <v>480</v>
      </c>
      <c r="F251" s="407"/>
      <c r="G251" s="314">
        <f>G252+G255+G258</f>
        <v>655.9</v>
      </c>
      <c r="H251" s="314">
        <f>H252+H255+H258</f>
        <v>655.9</v>
      </c>
      <c r="I251" s="334"/>
      <c r="J251" s="321"/>
    </row>
    <row r="252" spans="1:10" ht="47.25" x14ac:dyDescent="0.25">
      <c r="A252" s="466" t="s">
        <v>1127</v>
      </c>
      <c r="B252" s="455">
        <v>903</v>
      </c>
      <c r="C252" s="403" t="s">
        <v>116</v>
      </c>
      <c r="D252" s="403" t="s">
        <v>132</v>
      </c>
      <c r="E252" s="403" t="s">
        <v>738</v>
      </c>
      <c r="F252" s="403"/>
      <c r="G252" s="318">
        <f>G253</f>
        <v>440.8</v>
      </c>
      <c r="H252" s="318">
        <f>H253</f>
        <v>440.8</v>
      </c>
      <c r="I252" s="334"/>
      <c r="J252" s="321"/>
    </row>
    <row r="253" spans="1:10" ht="31.5" x14ac:dyDescent="0.25">
      <c r="A253" s="459" t="s">
        <v>123</v>
      </c>
      <c r="B253" s="455">
        <v>903</v>
      </c>
      <c r="C253" s="403" t="s">
        <v>116</v>
      </c>
      <c r="D253" s="403" t="s">
        <v>132</v>
      </c>
      <c r="E253" s="403" t="s">
        <v>738</v>
      </c>
      <c r="F253" s="403" t="s">
        <v>124</v>
      </c>
      <c r="G253" s="318">
        <f>G254</f>
        <v>440.8</v>
      </c>
      <c r="H253" s="318">
        <f>H254</f>
        <v>440.8</v>
      </c>
      <c r="I253" s="334"/>
      <c r="J253" s="321"/>
    </row>
    <row r="254" spans="1:10" ht="31.5" x14ac:dyDescent="0.25">
      <c r="A254" s="459" t="s">
        <v>125</v>
      </c>
      <c r="B254" s="455">
        <v>903</v>
      </c>
      <c r="C254" s="403" t="s">
        <v>116</v>
      </c>
      <c r="D254" s="403" t="s">
        <v>132</v>
      </c>
      <c r="E254" s="403" t="s">
        <v>738</v>
      </c>
      <c r="F254" s="403" t="s">
        <v>126</v>
      </c>
      <c r="G254" s="318">
        <f>247.3+200-6.5</f>
        <v>440.8</v>
      </c>
      <c r="H254" s="318">
        <f>247.3+200-6.5</f>
        <v>440.8</v>
      </c>
      <c r="I254" s="334"/>
      <c r="J254" s="321"/>
    </row>
    <row r="255" spans="1:10" ht="31.5" x14ac:dyDescent="0.25">
      <c r="A255" s="406" t="s">
        <v>1016</v>
      </c>
      <c r="B255" s="455">
        <v>903</v>
      </c>
      <c r="C255" s="403" t="s">
        <v>116</v>
      </c>
      <c r="D255" s="403" t="s">
        <v>132</v>
      </c>
      <c r="E255" s="403" t="s">
        <v>1049</v>
      </c>
      <c r="F255" s="403"/>
      <c r="G255" s="318">
        <f>G256</f>
        <v>215.1</v>
      </c>
      <c r="H255" s="318">
        <f>H256</f>
        <v>215.1</v>
      </c>
      <c r="I255" s="334"/>
      <c r="J255" s="321"/>
    </row>
    <row r="256" spans="1:10" ht="31.5" x14ac:dyDescent="0.25">
      <c r="A256" s="459" t="s">
        <v>123</v>
      </c>
      <c r="B256" s="455">
        <v>903</v>
      </c>
      <c r="C256" s="403" t="s">
        <v>116</v>
      </c>
      <c r="D256" s="403" t="s">
        <v>132</v>
      </c>
      <c r="E256" s="403" t="s">
        <v>1049</v>
      </c>
      <c r="F256" s="403" t="s">
        <v>124</v>
      </c>
      <c r="G256" s="318">
        <f>G257</f>
        <v>215.1</v>
      </c>
      <c r="H256" s="318">
        <f>H257</f>
        <v>215.1</v>
      </c>
      <c r="I256" s="334"/>
      <c r="J256" s="321"/>
    </row>
    <row r="257" spans="1:10" ht="31.5" x14ac:dyDescent="0.25">
      <c r="A257" s="459" t="s">
        <v>125</v>
      </c>
      <c r="B257" s="455">
        <v>903</v>
      </c>
      <c r="C257" s="403" t="s">
        <v>116</v>
      </c>
      <c r="D257" s="403" t="s">
        <v>132</v>
      </c>
      <c r="E257" s="403" t="s">
        <v>1049</v>
      </c>
      <c r="F257" s="403" t="s">
        <v>126</v>
      </c>
      <c r="G257" s="318">
        <f>200+8.6+6.5</f>
        <v>215.1</v>
      </c>
      <c r="H257" s="318">
        <f>200+8.6+6.5</f>
        <v>215.1</v>
      </c>
      <c r="I257" s="334"/>
      <c r="J257" s="321"/>
    </row>
    <row r="258" spans="1:10" ht="30.6" hidden="1" customHeight="1" x14ac:dyDescent="0.25">
      <c r="A258" s="459" t="s">
        <v>1131</v>
      </c>
      <c r="B258" s="455">
        <v>903</v>
      </c>
      <c r="C258" s="403" t="s">
        <v>116</v>
      </c>
      <c r="D258" s="403" t="s">
        <v>132</v>
      </c>
      <c r="E258" s="473" t="s">
        <v>1132</v>
      </c>
      <c r="F258" s="403"/>
      <c r="G258" s="318">
        <f>G260</f>
        <v>0</v>
      </c>
      <c r="H258" s="318">
        <f>H260</f>
        <v>0</v>
      </c>
      <c r="I258" s="334"/>
      <c r="J258" s="321"/>
    </row>
    <row r="259" spans="1:10" ht="31.5" hidden="1" x14ac:dyDescent="0.25">
      <c r="A259" s="459" t="s">
        <v>123</v>
      </c>
      <c r="B259" s="455">
        <v>903</v>
      </c>
      <c r="C259" s="403" t="s">
        <v>116</v>
      </c>
      <c r="D259" s="403" t="s">
        <v>132</v>
      </c>
      <c r="E259" s="473" t="s">
        <v>1132</v>
      </c>
      <c r="F259" s="403" t="s">
        <v>124</v>
      </c>
      <c r="G259" s="318">
        <f>G260</f>
        <v>0</v>
      </c>
      <c r="H259" s="318">
        <f>H260</f>
        <v>0</v>
      </c>
      <c r="I259" s="334"/>
      <c r="J259" s="321"/>
    </row>
    <row r="260" spans="1:10" ht="31.5" hidden="1" x14ac:dyDescent="0.25">
      <c r="A260" s="459" t="s">
        <v>125</v>
      </c>
      <c r="B260" s="455">
        <v>903</v>
      </c>
      <c r="C260" s="403" t="s">
        <v>116</v>
      </c>
      <c r="D260" s="403" t="s">
        <v>132</v>
      </c>
      <c r="E260" s="473" t="s">
        <v>1132</v>
      </c>
      <c r="F260" s="403" t="s">
        <v>126</v>
      </c>
      <c r="G260" s="318"/>
      <c r="H260" s="318"/>
      <c r="I260" s="334"/>
      <c r="J260" s="321"/>
    </row>
    <row r="261" spans="1:10" ht="31.5" x14ac:dyDescent="0.25">
      <c r="A261" s="417" t="s">
        <v>852</v>
      </c>
      <c r="B261" s="454">
        <v>903</v>
      </c>
      <c r="C261" s="414" t="s">
        <v>116</v>
      </c>
      <c r="D261" s="414" t="s">
        <v>132</v>
      </c>
      <c r="E261" s="414" t="s">
        <v>209</v>
      </c>
      <c r="F261" s="414"/>
      <c r="G261" s="314">
        <f>G262</f>
        <v>20</v>
      </c>
      <c r="H261" s="314">
        <f>H262</f>
        <v>20</v>
      </c>
      <c r="I261" s="334"/>
      <c r="J261" s="321"/>
    </row>
    <row r="262" spans="1:10" ht="31.5" x14ac:dyDescent="0.25">
      <c r="A262" s="417" t="s">
        <v>610</v>
      </c>
      <c r="B262" s="454">
        <v>903</v>
      </c>
      <c r="C262" s="414" t="s">
        <v>116</v>
      </c>
      <c r="D262" s="414" t="s">
        <v>132</v>
      </c>
      <c r="E262" s="414" t="s">
        <v>611</v>
      </c>
      <c r="F262" s="414"/>
      <c r="G262" s="314">
        <f>G263+G266+G269+G272+G275</f>
        <v>20</v>
      </c>
      <c r="H262" s="314">
        <f>H263+H266+H269+H272+H275</f>
        <v>20</v>
      </c>
      <c r="I262" s="334"/>
      <c r="J262" s="321"/>
    </row>
    <row r="263" spans="1:10" ht="31.5" hidden="1" x14ac:dyDescent="0.25">
      <c r="A263" s="472" t="s">
        <v>210</v>
      </c>
      <c r="B263" s="455">
        <v>903</v>
      </c>
      <c r="C263" s="402" t="s">
        <v>116</v>
      </c>
      <c r="D263" s="402" t="s">
        <v>132</v>
      </c>
      <c r="E263" s="402" t="s">
        <v>612</v>
      </c>
      <c r="F263" s="402"/>
      <c r="G263" s="318">
        <f>G264</f>
        <v>0</v>
      </c>
      <c r="H263" s="318">
        <f>H264</f>
        <v>0</v>
      </c>
      <c r="I263" s="334"/>
      <c r="J263" s="321"/>
    </row>
    <row r="264" spans="1:10" ht="31.5" hidden="1" x14ac:dyDescent="0.25">
      <c r="A264" s="399" t="s">
        <v>123</v>
      </c>
      <c r="B264" s="455">
        <v>903</v>
      </c>
      <c r="C264" s="402" t="s">
        <v>116</v>
      </c>
      <c r="D264" s="402" t="s">
        <v>132</v>
      </c>
      <c r="E264" s="402" t="s">
        <v>612</v>
      </c>
      <c r="F264" s="402" t="s">
        <v>124</v>
      </c>
      <c r="G264" s="318">
        <f>G265</f>
        <v>0</v>
      </c>
      <c r="H264" s="318">
        <f>H265</f>
        <v>0</v>
      </c>
      <c r="I264" s="334"/>
      <c r="J264" s="321"/>
    </row>
    <row r="265" spans="1:10" ht="31.5" hidden="1" x14ac:dyDescent="0.25">
      <c r="A265" s="399" t="s">
        <v>125</v>
      </c>
      <c r="B265" s="455">
        <v>903</v>
      </c>
      <c r="C265" s="402" t="s">
        <v>116</v>
      </c>
      <c r="D265" s="402" t="s">
        <v>132</v>
      </c>
      <c r="E265" s="402" t="s">
        <v>612</v>
      </c>
      <c r="F265" s="402" t="s">
        <v>126</v>
      </c>
      <c r="G265" s="318">
        <v>0</v>
      </c>
      <c r="H265" s="318">
        <v>0</v>
      </c>
      <c r="I265" s="334"/>
      <c r="J265" s="321"/>
    </row>
    <row r="266" spans="1:10" ht="15.75" x14ac:dyDescent="0.25">
      <c r="A266" s="399" t="s">
        <v>211</v>
      </c>
      <c r="B266" s="455">
        <v>903</v>
      </c>
      <c r="C266" s="402" t="s">
        <v>116</v>
      </c>
      <c r="D266" s="402" t="s">
        <v>132</v>
      </c>
      <c r="E266" s="402" t="s">
        <v>613</v>
      </c>
      <c r="F266" s="402"/>
      <c r="G266" s="318">
        <f>G267</f>
        <v>20</v>
      </c>
      <c r="H266" s="318">
        <f>H267</f>
        <v>20</v>
      </c>
      <c r="I266" s="334"/>
      <c r="J266" s="321"/>
    </row>
    <row r="267" spans="1:10" ht="31.5" x14ac:dyDescent="0.25">
      <c r="A267" s="399" t="s">
        <v>123</v>
      </c>
      <c r="B267" s="455">
        <v>903</v>
      </c>
      <c r="C267" s="402" t="s">
        <v>116</v>
      </c>
      <c r="D267" s="402" t="s">
        <v>132</v>
      </c>
      <c r="E267" s="402" t="s">
        <v>613</v>
      </c>
      <c r="F267" s="402" t="s">
        <v>124</v>
      </c>
      <c r="G267" s="318">
        <f>G268</f>
        <v>20</v>
      </c>
      <c r="H267" s="318">
        <f>H268</f>
        <v>20</v>
      </c>
      <c r="I267" s="334"/>
      <c r="J267" s="321"/>
    </row>
    <row r="268" spans="1:10" ht="31.5" x14ac:dyDescent="0.25">
      <c r="A268" s="399" t="s">
        <v>125</v>
      </c>
      <c r="B268" s="455">
        <v>903</v>
      </c>
      <c r="C268" s="402" t="s">
        <v>116</v>
      </c>
      <c r="D268" s="402" t="s">
        <v>132</v>
      </c>
      <c r="E268" s="402" t="s">
        <v>613</v>
      </c>
      <c r="F268" s="402" t="s">
        <v>126</v>
      </c>
      <c r="G268" s="318">
        <v>20</v>
      </c>
      <c r="H268" s="318">
        <v>20</v>
      </c>
      <c r="I268" s="334"/>
      <c r="J268" s="321"/>
    </row>
    <row r="269" spans="1:10" ht="36.75" hidden="1" customHeight="1" x14ac:dyDescent="0.25">
      <c r="A269" s="401" t="s">
        <v>351</v>
      </c>
      <c r="B269" s="455">
        <v>903</v>
      </c>
      <c r="C269" s="402" t="s">
        <v>116</v>
      </c>
      <c r="D269" s="402" t="s">
        <v>132</v>
      </c>
      <c r="E269" s="402" t="s">
        <v>614</v>
      </c>
      <c r="F269" s="402"/>
      <c r="G269" s="318">
        <f>G270</f>
        <v>0</v>
      </c>
      <c r="H269" s="318">
        <f>H270</f>
        <v>0</v>
      </c>
      <c r="I269" s="334"/>
      <c r="J269" s="321"/>
    </row>
    <row r="270" spans="1:10" ht="31.15" hidden="1" customHeight="1" x14ac:dyDescent="0.25">
      <c r="A270" s="399" t="s">
        <v>123</v>
      </c>
      <c r="B270" s="455">
        <v>903</v>
      </c>
      <c r="C270" s="402" t="s">
        <v>116</v>
      </c>
      <c r="D270" s="402" t="s">
        <v>132</v>
      </c>
      <c r="E270" s="402" t="s">
        <v>614</v>
      </c>
      <c r="F270" s="402" t="s">
        <v>124</v>
      </c>
      <c r="G270" s="318">
        <f>G271</f>
        <v>0</v>
      </c>
      <c r="H270" s="318">
        <f>H271</f>
        <v>0</v>
      </c>
      <c r="I270" s="334"/>
      <c r="J270" s="321"/>
    </row>
    <row r="271" spans="1:10" ht="31.15" hidden="1" customHeight="1" x14ac:dyDescent="0.25">
      <c r="A271" s="399" t="s">
        <v>125</v>
      </c>
      <c r="B271" s="455">
        <v>903</v>
      </c>
      <c r="C271" s="402" t="s">
        <v>116</v>
      </c>
      <c r="D271" s="402" t="s">
        <v>132</v>
      </c>
      <c r="E271" s="402" t="s">
        <v>614</v>
      </c>
      <c r="F271" s="402" t="s">
        <v>126</v>
      </c>
      <c r="G271" s="318">
        <v>0</v>
      </c>
      <c r="H271" s="318">
        <v>0</v>
      </c>
      <c r="I271" s="334"/>
      <c r="J271" s="321"/>
    </row>
    <row r="272" spans="1:10" ht="15.6" hidden="1" customHeight="1" x14ac:dyDescent="0.25">
      <c r="A272" s="399" t="s">
        <v>557</v>
      </c>
      <c r="B272" s="455">
        <v>903</v>
      </c>
      <c r="C272" s="402" t="s">
        <v>116</v>
      </c>
      <c r="D272" s="402" t="s">
        <v>132</v>
      </c>
      <c r="E272" s="402" t="s">
        <v>615</v>
      </c>
      <c r="F272" s="402"/>
      <c r="G272" s="318">
        <f>G273</f>
        <v>0</v>
      </c>
      <c r="H272" s="318">
        <f>H273</f>
        <v>0</v>
      </c>
      <c r="I272" s="334"/>
      <c r="J272" s="321"/>
    </row>
    <row r="273" spans="1:10" ht="31.15" hidden="1" customHeight="1" x14ac:dyDescent="0.25">
      <c r="A273" s="399" t="s">
        <v>123</v>
      </c>
      <c r="B273" s="455">
        <v>903</v>
      </c>
      <c r="C273" s="402" t="s">
        <v>116</v>
      </c>
      <c r="D273" s="402" t="s">
        <v>132</v>
      </c>
      <c r="E273" s="402" t="s">
        <v>615</v>
      </c>
      <c r="F273" s="402" t="s">
        <v>124</v>
      </c>
      <c r="G273" s="318">
        <f>G274</f>
        <v>0</v>
      </c>
      <c r="H273" s="318">
        <f>H274</f>
        <v>0</v>
      </c>
      <c r="I273" s="334"/>
      <c r="J273" s="321"/>
    </row>
    <row r="274" spans="1:10" ht="31.15" hidden="1" customHeight="1" x14ac:dyDescent="0.25">
      <c r="A274" s="399" t="s">
        <v>125</v>
      </c>
      <c r="B274" s="455">
        <v>903</v>
      </c>
      <c r="C274" s="402" t="s">
        <v>116</v>
      </c>
      <c r="D274" s="402" t="s">
        <v>132</v>
      </c>
      <c r="E274" s="402" t="s">
        <v>615</v>
      </c>
      <c r="F274" s="402" t="s">
        <v>126</v>
      </c>
      <c r="G274" s="318">
        <v>0</v>
      </c>
      <c r="H274" s="318">
        <v>0</v>
      </c>
      <c r="I274" s="334"/>
      <c r="J274" s="321"/>
    </row>
    <row r="275" spans="1:10" ht="40.700000000000003" hidden="1" customHeight="1" x14ac:dyDescent="0.25">
      <c r="A275" s="401" t="s">
        <v>352</v>
      </c>
      <c r="B275" s="455">
        <v>903</v>
      </c>
      <c r="C275" s="402" t="s">
        <v>116</v>
      </c>
      <c r="D275" s="402" t="s">
        <v>132</v>
      </c>
      <c r="E275" s="402" t="s">
        <v>616</v>
      </c>
      <c r="F275" s="402"/>
      <c r="G275" s="318">
        <f>G276</f>
        <v>0</v>
      </c>
      <c r="H275" s="318">
        <f>H276</f>
        <v>0</v>
      </c>
      <c r="I275" s="334"/>
      <c r="J275" s="321"/>
    </row>
    <row r="276" spans="1:10" ht="31.15" hidden="1" customHeight="1" x14ac:dyDescent="0.25">
      <c r="A276" s="399" t="s">
        <v>123</v>
      </c>
      <c r="B276" s="455">
        <v>903</v>
      </c>
      <c r="C276" s="402" t="s">
        <v>116</v>
      </c>
      <c r="D276" s="402" t="s">
        <v>132</v>
      </c>
      <c r="E276" s="402" t="s">
        <v>616</v>
      </c>
      <c r="F276" s="402" t="s">
        <v>124</v>
      </c>
      <c r="G276" s="318">
        <f>G277</f>
        <v>0</v>
      </c>
      <c r="H276" s="318">
        <f>H277</f>
        <v>0</v>
      </c>
      <c r="I276" s="334"/>
      <c r="J276" s="321"/>
    </row>
    <row r="277" spans="1:10" ht="31.15" hidden="1" customHeight="1" x14ac:dyDescent="0.25">
      <c r="A277" s="399" t="s">
        <v>125</v>
      </c>
      <c r="B277" s="455">
        <v>903</v>
      </c>
      <c r="C277" s="402" t="s">
        <v>116</v>
      </c>
      <c r="D277" s="402" t="s">
        <v>132</v>
      </c>
      <c r="E277" s="402" t="s">
        <v>616</v>
      </c>
      <c r="F277" s="402" t="s">
        <v>126</v>
      </c>
      <c r="G277" s="318">
        <v>0</v>
      </c>
      <c r="H277" s="318">
        <v>0</v>
      </c>
      <c r="I277" s="334"/>
      <c r="J277" s="321"/>
    </row>
    <row r="278" spans="1:10" ht="47.25" x14ac:dyDescent="0.25">
      <c r="A278" s="463" t="s">
        <v>853</v>
      </c>
      <c r="B278" s="454">
        <v>903</v>
      </c>
      <c r="C278" s="414" t="s">
        <v>116</v>
      </c>
      <c r="D278" s="414" t="s">
        <v>132</v>
      </c>
      <c r="E278" s="414" t="s">
        <v>339</v>
      </c>
      <c r="F278" s="414"/>
      <c r="G278" s="314">
        <f>G280</f>
        <v>6</v>
      </c>
      <c r="H278" s="314">
        <f>H280</f>
        <v>6</v>
      </c>
      <c r="I278" s="334"/>
      <c r="J278" s="321"/>
    </row>
    <row r="279" spans="1:10" ht="44.45" customHeight="1" x14ac:dyDescent="0.25">
      <c r="A279" s="465" t="s">
        <v>422</v>
      </c>
      <c r="B279" s="454">
        <v>903</v>
      </c>
      <c r="C279" s="414" t="s">
        <v>116</v>
      </c>
      <c r="D279" s="414" t="s">
        <v>132</v>
      </c>
      <c r="E279" s="414" t="s">
        <v>428</v>
      </c>
      <c r="F279" s="414"/>
      <c r="G279" s="314">
        <f t="shared" ref="G279:H281" si="19">G280</f>
        <v>6</v>
      </c>
      <c r="H279" s="314">
        <f t="shared" si="19"/>
        <v>6</v>
      </c>
      <c r="I279" s="334"/>
      <c r="J279" s="321"/>
    </row>
    <row r="280" spans="1:10" ht="31.5" x14ac:dyDescent="0.25">
      <c r="A280" s="466" t="s">
        <v>355</v>
      </c>
      <c r="B280" s="455">
        <v>903</v>
      </c>
      <c r="C280" s="402" t="s">
        <v>116</v>
      </c>
      <c r="D280" s="402" t="s">
        <v>132</v>
      </c>
      <c r="E280" s="402" t="s">
        <v>423</v>
      </c>
      <c r="F280" s="402"/>
      <c r="G280" s="318">
        <f t="shared" si="19"/>
        <v>6</v>
      </c>
      <c r="H280" s="318">
        <f t="shared" si="19"/>
        <v>6</v>
      </c>
      <c r="I280" s="334"/>
      <c r="J280" s="321"/>
    </row>
    <row r="281" spans="1:10" ht="31.5" x14ac:dyDescent="0.25">
      <c r="A281" s="399" t="s">
        <v>123</v>
      </c>
      <c r="B281" s="455">
        <v>903</v>
      </c>
      <c r="C281" s="402" t="s">
        <v>116</v>
      </c>
      <c r="D281" s="402" t="s">
        <v>132</v>
      </c>
      <c r="E281" s="402" t="s">
        <v>423</v>
      </c>
      <c r="F281" s="402" t="s">
        <v>124</v>
      </c>
      <c r="G281" s="318">
        <f t="shared" si="19"/>
        <v>6</v>
      </c>
      <c r="H281" s="318">
        <f t="shared" si="19"/>
        <v>6</v>
      </c>
      <c r="I281" s="334"/>
      <c r="J281" s="321"/>
    </row>
    <row r="282" spans="1:10" ht="31.5" x14ac:dyDescent="0.25">
      <c r="A282" s="399" t="s">
        <v>125</v>
      </c>
      <c r="B282" s="455">
        <v>903</v>
      </c>
      <c r="C282" s="402" t="s">
        <v>116</v>
      </c>
      <c r="D282" s="402" t="s">
        <v>132</v>
      </c>
      <c r="E282" s="402" t="s">
        <v>423</v>
      </c>
      <c r="F282" s="402" t="s">
        <v>126</v>
      </c>
      <c r="G282" s="318">
        <v>6</v>
      </c>
      <c r="H282" s="318">
        <v>6</v>
      </c>
      <c r="I282" s="334"/>
      <c r="J282" s="321"/>
    </row>
    <row r="283" spans="1:10" ht="21.2" customHeight="1" x14ac:dyDescent="0.25">
      <c r="A283" s="478" t="s">
        <v>166</v>
      </c>
      <c r="B283" s="454">
        <v>903</v>
      </c>
      <c r="C283" s="414" t="s">
        <v>139</v>
      </c>
      <c r="D283" s="402"/>
      <c r="E283" s="402"/>
      <c r="F283" s="467"/>
      <c r="G283" s="314">
        <f t="shared" ref="G283:H285" si="20">G284</f>
        <v>215.06</v>
      </c>
      <c r="H283" s="314">
        <f t="shared" si="20"/>
        <v>215.06</v>
      </c>
      <c r="I283" s="334"/>
      <c r="J283" s="321"/>
    </row>
    <row r="284" spans="1:10" ht="21.2" customHeight="1" x14ac:dyDescent="0.25">
      <c r="A284" s="417" t="s">
        <v>170</v>
      </c>
      <c r="B284" s="454">
        <v>903</v>
      </c>
      <c r="C284" s="414" t="s">
        <v>139</v>
      </c>
      <c r="D284" s="414" t="s">
        <v>171</v>
      </c>
      <c r="E284" s="402"/>
      <c r="F284" s="467"/>
      <c r="G284" s="314">
        <f t="shared" si="20"/>
        <v>215.06</v>
      </c>
      <c r="H284" s="314">
        <f t="shared" si="20"/>
        <v>215.06</v>
      </c>
      <c r="I284" s="334"/>
      <c r="J284" s="321"/>
    </row>
    <row r="285" spans="1:10" ht="54" customHeight="1" x14ac:dyDescent="0.25">
      <c r="A285" s="417" t="s">
        <v>850</v>
      </c>
      <c r="B285" s="454">
        <v>903</v>
      </c>
      <c r="C285" s="414" t="s">
        <v>139</v>
      </c>
      <c r="D285" s="414" t="s">
        <v>171</v>
      </c>
      <c r="E285" s="414" t="s">
        <v>213</v>
      </c>
      <c r="F285" s="464"/>
      <c r="G285" s="314">
        <f t="shared" si="20"/>
        <v>215.06</v>
      </c>
      <c r="H285" s="314">
        <f t="shared" si="20"/>
        <v>215.06</v>
      </c>
      <c r="I285" s="334"/>
      <c r="J285" s="321"/>
    </row>
    <row r="286" spans="1:10" ht="53.45" customHeight="1" x14ac:dyDescent="0.25">
      <c r="A286" s="417" t="s">
        <v>224</v>
      </c>
      <c r="B286" s="454">
        <v>903</v>
      </c>
      <c r="C286" s="414" t="s">
        <v>139</v>
      </c>
      <c r="D286" s="414" t="s">
        <v>171</v>
      </c>
      <c r="E286" s="414" t="s">
        <v>221</v>
      </c>
      <c r="F286" s="414"/>
      <c r="G286" s="314">
        <f>G287+G291+G295+G299</f>
        <v>215.06</v>
      </c>
      <c r="H286" s="314">
        <f>H287+H291+H295+H299</f>
        <v>215.06</v>
      </c>
      <c r="I286" s="334"/>
      <c r="J286" s="321"/>
    </row>
    <row r="287" spans="1:10" ht="33" hidden="1" customHeight="1" x14ac:dyDescent="0.25">
      <c r="A287" s="479" t="s">
        <v>604</v>
      </c>
      <c r="B287" s="454">
        <v>903</v>
      </c>
      <c r="C287" s="414" t="s">
        <v>139</v>
      </c>
      <c r="D287" s="414" t="s">
        <v>171</v>
      </c>
      <c r="E287" s="414" t="s">
        <v>478</v>
      </c>
      <c r="F287" s="414"/>
      <c r="G287" s="314">
        <f t="shared" ref="G287:H289" si="21">G288</f>
        <v>0</v>
      </c>
      <c r="H287" s="314">
        <f t="shared" si="21"/>
        <v>0</v>
      </c>
      <c r="I287" s="334"/>
      <c r="J287" s="321"/>
    </row>
    <row r="288" spans="1:10" ht="47.25" hidden="1" customHeight="1" x14ac:dyDescent="0.25">
      <c r="A288" s="399" t="s">
        <v>647</v>
      </c>
      <c r="B288" s="455">
        <v>903</v>
      </c>
      <c r="C288" s="402" t="s">
        <v>139</v>
      </c>
      <c r="D288" s="402" t="s">
        <v>171</v>
      </c>
      <c r="E288" s="402" t="s">
        <v>824</v>
      </c>
      <c r="F288" s="402"/>
      <c r="G288" s="318">
        <f t="shared" si="21"/>
        <v>0</v>
      </c>
      <c r="H288" s="318">
        <f t="shared" si="21"/>
        <v>0</v>
      </c>
      <c r="I288" s="334"/>
      <c r="J288" s="321"/>
    </row>
    <row r="289" spans="1:10" ht="21.2" hidden="1" customHeight="1" x14ac:dyDescent="0.25">
      <c r="A289" s="399" t="s">
        <v>177</v>
      </c>
      <c r="B289" s="455">
        <v>903</v>
      </c>
      <c r="C289" s="402" t="s">
        <v>139</v>
      </c>
      <c r="D289" s="402" t="s">
        <v>171</v>
      </c>
      <c r="E289" s="402" t="s">
        <v>824</v>
      </c>
      <c r="F289" s="402" t="s">
        <v>178</v>
      </c>
      <c r="G289" s="318">
        <f t="shared" si="21"/>
        <v>0</v>
      </c>
      <c r="H289" s="318">
        <f t="shared" si="21"/>
        <v>0</v>
      </c>
      <c r="I289" s="334"/>
      <c r="J289" s="321"/>
    </row>
    <row r="290" spans="1:10" ht="29.25" hidden="1" customHeight="1" x14ac:dyDescent="0.25">
      <c r="A290" s="399" t="s">
        <v>179</v>
      </c>
      <c r="B290" s="455">
        <v>903</v>
      </c>
      <c r="C290" s="402" t="s">
        <v>139</v>
      </c>
      <c r="D290" s="402" t="s">
        <v>171</v>
      </c>
      <c r="E290" s="402" t="s">
        <v>824</v>
      </c>
      <c r="F290" s="402" t="s">
        <v>180</v>
      </c>
      <c r="G290" s="318">
        <v>0</v>
      </c>
      <c r="H290" s="318">
        <v>0</v>
      </c>
      <c r="I290" s="334"/>
      <c r="J290" s="321"/>
    </row>
    <row r="291" spans="1:10" ht="33" customHeight="1" x14ac:dyDescent="0.25">
      <c r="A291" s="417" t="s">
        <v>603</v>
      </c>
      <c r="B291" s="454">
        <v>903</v>
      </c>
      <c r="C291" s="414" t="s">
        <v>139</v>
      </c>
      <c r="D291" s="414" t="s">
        <v>171</v>
      </c>
      <c r="E291" s="414" t="s">
        <v>739</v>
      </c>
      <c r="F291" s="414"/>
      <c r="G291" s="314">
        <f t="shared" ref="G291:H293" si="22">G292</f>
        <v>215.06</v>
      </c>
      <c r="H291" s="314">
        <f t="shared" si="22"/>
        <v>215.06</v>
      </c>
      <c r="I291" s="334"/>
      <c r="J291" s="321"/>
    </row>
    <row r="292" spans="1:10" ht="94.5" x14ac:dyDescent="0.25">
      <c r="A292" s="399" t="s">
        <v>226</v>
      </c>
      <c r="B292" s="455">
        <v>903</v>
      </c>
      <c r="C292" s="402" t="s">
        <v>139</v>
      </c>
      <c r="D292" s="402" t="s">
        <v>171</v>
      </c>
      <c r="E292" s="402" t="s">
        <v>740</v>
      </c>
      <c r="F292" s="402"/>
      <c r="G292" s="318">
        <f t="shared" si="22"/>
        <v>215.06</v>
      </c>
      <c r="H292" s="318">
        <f t="shared" si="22"/>
        <v>215.06</v>
      </c>
      <c r="I292" s="334"/>
      <c r="J292" s="321"/>
    </row>
    <row r="293" spans="1:10" ht="31.5" x14ac:dyDescent="0.25">
      <c r="A293" s="399" t="s">
        <v>191</v>
      </c>
      <c r="B293" s="455">
        <v>903</v>
      </c>
      <c r="C293" s="402" t="s">
        <v>139</v>
      </c>
      <c r="D293" s="402" t="s">
        <v>171</v>
      </c>
      <c r="E293" s="402" t="s">
        <v>740</v>
      </c>
      <c r="F293" s="402" t="s">
        <v>192</v>
      </c>
      <c r="G293" s="318">
        <f t="shared" si="22"/>
        <v>215.06</v>
      </c>
      <c r="H293" s="318">
        <f t="shared" si="22"/>
        <v>215.06</v>
      </c>
      <c r="I293" s="334"/>
      <c r="J293" s="321"/>
    </row>
    <row r="294" spans="1:10" ht="63" x14ac:dyDescent="0.25">
      <c r="A294" s="399" t="s">
        <v>643</v>
      </c>
      <c r="B294" s="455">
        <v>903</v>
      </c>
      <c r="C294" s="402" t="s">
        <v>139</v>
      </c>
      <c r="D294" s="402" t="s">
        <v>171</v>
      </c>
      <c r="E294" s="402" t="s">
        <v>740</v>
      </c>
      <c r="F294" s="402" t="s">
        <v>225</v>
      </c>
      <c r="G294" s="318">
        <f>200+15.06</f>
        <v>215.06</v>
      </c>
      <c r="H294" s="318">
        <f>200+15.06</f>
        <v>215.06</v>
      </c>
      <c r="I294" s="334" t="s">
        <v>1208</v>
      </c>
      <c r="J294" s="321"/>
    </row>
    <row r="295" spans="1:10" ht="21.2" hidden="1" customHeight="1" x14ac:dyDescent="0.25">
      <c r="A295" s="417" t="s">
        <v>558</v>
      </c>
      <c r="B295" s="454">
        <v>903</v>
      </c>
      <c r="C295" s="414" t="s">
        <v>139</v>
      </c>
      <c r="D295" s="414" t="s">
        <v>171</v>
      </c>
      <c r="E295" s="414" t="s">
        <v>821</v>
      </c>
      <c r="F295" s="414"/>
      <c r="G295" s="314">
        <f t="shared" ref="G295:H297" si="23">G296</f>
        <v>0</v>
      </c>
      <c r="H295" s="314">
        <f t="shared" si="23"/>
        <v>0</v>
      </c>
      <c r="I295" s="334"/>
      <c r="J295" s="321"/>
    </row>
    <row r="296" spans="1:10" ht="41.25" hidden="1" customHeight="1" x14ac:dyDescent="0.25">
      <c r="A296" s="399" t="s">
        <v>228</v>
      </c>
      <c r="B296" s="455">
        <v>903</v>
      </c>
      <c r="C296" s="402" t="s">
        <v>139</v>
      </c>
      <c r="D296" s="402" t="s">
        <v>171</v>
      </c>
      <c r="E296" s="402" t="s">
        <v>822</v>
      </c>
      <c r="F296" s="402"/>
      <c r="G296" s="318">
        <f t="shared" si="23"/>
        <v>0</v>
      </c>
      <c r="H296" s="318">
        <f t="shared" si="23"/>
        <v>0</v>
      </c>
      <c r="I296" s="334"/>
      <c r="J296" s="321"/>
    </row>
    <row r="297" spans="1:10" ht="29.25" hidden="1" customHeight="1" x14ac:dyDescent="0.25">
      <c r="A297" s="399" t="s">
        <v>123</v>
      </c>
      <c r="B297" s="455">
        <v>903</v>
      </c>
      <c r="C297" s="402" t="s">
        <v>139</v>
      </c>
      <c r="D297" s="402" t="s">
        <v>171</v>
      </c>
      <c r="E297" s="402" t="s">
        <v>822</v>
      </c>
      <c r="F297" s="402" t="s">
        <v>124</v>
      </c>
      <c r="G297" s="318">
        <f t="shared" si="23"/>
        <v>0</v>
      </c>
      <c r="H297" s="318">
        <f t="shared" si="23"/>
        <v>0</v>
      </c>
      <c r="I297" s="334"/>
      <c r="J297" s="321"/>
    </row>
    <row r="298" spans="1:10" ht="29.25" hidden="1" customHeight="1" x14ac:dyDescent="0.25">
      <c r="A298" s="399" t="s">
        <v>125</v>
      </c>
      <c r="B298" s="455">
        <v>903</v>
      </c>
      <c r="C298" s="402" t="s">
        <v>139</v>
      </c>
      <c r="D298" s="402" t="s">
        <v>171</v>
      </c>
      <c r="E298" s="402" t="s">
        <v>822</v>
      </c>
      <c r="F298" s="402" t="s">
        <v>126</v>
      </c>
      <c r="G298" s="318">
        <v>0</v>
      </c>
      <c r="H298" s="318">
        <v>0</v>
      </c>
      <c r="I298" s="334"/>
      <c r="J298" s="321"/>
    </row>
    <row r="299" spans="1:10" ht="33.75" hidden="1" customHeight="1" x14ac:dyDescent="0.25">
      <c r="A299" s="468" t="s">
        <v>656</v>
      </c>
      <c r="B299" s="454">
        <v>903</v>
      </c>
      <c r="C299" s="414" t="s">
        <v>139</v>
      </c>
      <c r="D299" s="414" t="s">
        <v>171</v>
      </c>
      <c r="E299" s="414" t="s">
        <v>741</v>
      </c>
      <c r="F299" s="414"/>
      <c r="G299" s="314">
        <f t="shared" ref="G299:H301" si="24">G300</f>
        <v>0</v>
      </c>
      <c r="H299" s="314">
        <f t="shared" si="24"/>
        <v>0</v>
      </c>
      <c r="I299" s="334"/>
      <c r="J299" s="321"/>
    </row>
    <row r="300" spans="1:10" ht="29.25" hidden="1" customHeight="1" x14ac:dyDescent="0.25">
      <c r="A300" s="480" t="s">
        <v>699</v>
      </c>
      <c r="B300" s="455">
        <v>903</v>
      </c>
      <c r="C300" s="402" t="s">
        <v>139</v>
      </c>
      <c r="D300" s="402" t="s">
        <v>171</v>
      </c>
      <c r="E300" s="402" t="s">
        <v>742</v>
      </c>
      <c r="F300" s="402"/>
      <c r="G300" s="318">
        <f t="shared" si="24"/>
        <v>0</v>
      </c>
      <c r="H300" s="318">
        <f t="shared" si="24"/>
        <v>0</v>
      </c>
      <c r="I300" s="334"/>
      <c r="J300" s="321"/>
    </row>
    <row r="301" spans="1:10" ht="29.25" hidden="1" customHeight="1" x14ac:dyDescent="0.25">
      <c r="A301" s="399" t="s">
        <v>123</v>
      </c>
      <c r="B301" s="455">
        <v>903</v>
      </c>
      <c r="C301" s="402" t="s">
        <v>139</v>
      </c>
      <c r="D301" s="402" t="s">
        <v>171</v>
      </c>
      <c r="E301" s="402" t="s">
        <v>742</v>
      </c>
      <c r="F301" s="402" t="s">
        <v>124</v>
      </c>
      <c r="G301" s="318">
        <f t="shared" si="24"/>
        <v>0</v>
      </c>
      <c r="H301" s="318">
        <f t="shared" si="24"/>
        <v>0</v>
      </c>
      <c r="I301" s="334"/>
      <c r="J301" s="321"/>
    </row>
    <row r="302" spans="1:10" ht="29.25" hidden="1" customHeight="1" x14ac:dyDescent="0.25">
      <c r="A302" s="399" t="s">
        <v>125</v>
      </c>
      <c r="B302" s="455">
        <v>903</v>
      </c>
      <c r="C302" s="402" t="s">
        <v>139</v>
      </c>
      <c r="D302" s="402" t="s">
        <v>171</v>
      </c>
      <c r="E302" s="402" t="s">
        <v>742</v>
      </c>
      <c r="F302" s="402" t="s">
        <v>126</v>
      </c>
      <c r="G302" s="318">
        <v>0</v>
      </c>
      <c r="H302" s="318">
        <v>0</v>
      </c>
      <c r="I302" s="334"/>
      <c r="J302" s="321"/>
    </row>
    <row r="303" spans="1:10" ht="15.75" x14ac:dyDescent="0.25">
      <c r="A303" s="417" t="s">
        <v>186</v>
      </c>
      <c r="B303" s="454">
        <v>903</v>
      </c>
      <c r="C303" s="414" t="s">
        <v>187</v>
      </c>
      <c r="D303" s="402"/>
      <c r="E303" s="402"/>
      <c r="F303" s="402"/>
      <c r="G303" s="314">
        <f>G304+G347+G367</f>
        <v>21757.1</v>
      </c>
      <c r="H303" s="314">
        <f>H304+H347+H367</f>
        <v>21757.1</v>
      </c>
      <c r="I303" s="334"/>
      <c r="J303" s="321"/>
    </row>
    <row r="304" spans="1:10" ht="15.75" x14ac:dyDescent="0.25">
      <c r="A304" s="417" t="s">
        <v>188</v>
      </c>
      <c r="B304" s="454">
        <v>903</v>
      </c>
      <c r="C304" s="414" t="s">
        <v>187</v>
      </c>
      <c r="D304" s="414" t="s">
        <v>159</v>
      </c>
      <c r="E304" s="414"/>
      <c r="F304" s="414"/>
      <c r="G304" s="314">
        <f>G305+G342+G337</f>
        <v>20997</v>
      </c>
      <c r="H304" s="314">
        <f>H305+H342+H337</f>
        <v>20997</v>
      </c>
      <c r="I304" s="334"/>
      <c r="J304" s="321"/>
    </row>
    <row r="305" spans="1:10" ht="31.5" x14ac:dyDescent="0.25">
      <c r="A305" s="417" t="s">
        <v>854</v>
      </c>
      <c r="B305" s="454">
        <v>903</v>
      </c>
      <c r="C305" s="414" t="s">
        <v>187</v>
      </c>
      <c r="D305" s="414" t="s">
        <v>159</v>
      </c>
      <c r="E305" s="414" t="s">
        <v>189</v>
      </c>
      <c r="F305" s="414"/>
      <c r="G305" s="314">
        <f>G306+G317+G326+G330</f>
        <v>20500.099999999999</v>
      </c>
      <c r="H305" s="314">
        <f>H306+H317+H326+H330</f>
        <v>20500.099999999999</v>
      </c>
      <c r="I305" s="334"/>
      <c r="J305" s="321"/>
    </row>
    <row r="306" spans="1:10" ht="31.5" x14ac:dyDescent="0.25">
      <c r="A306" s="417" t="s">
        <v>814</v>
      </c>
      <c r="B306" s="454">
        <v>903</v>
      </c>
      <c r="C306" s="414" t="s">
        <v>187</v>
      </c>
      <c r="D306" s="414" t="s">
        <v>159</v>
      </c>
      <c r="E306" s="414" t="s">
        <v>743</v>
      </c>
      <c r="F306" s="414"/>
      <c r="G306" s="30">
        <f>G307+G314</f>
        <v>19489.8</v>
      </c>
      <c r="H306" s="30">
        <f>H307+H314</f>
        <v>19489.8</v>
      </c>
      <c r="I306" s="334"/>
      <c r="J306" s="321"/>
    </row>
    <row r="307" spans="1:10" ht="15.75" x14ac:dyDescent="0.25">
      <c r="A307" s="399" t="s">
        <v>378</v>
      </c>
      <c r="B307" s="455">
        <v>903</v>
      </c>
      <c r="C307" s="402" t="s">
        <v>187</v>
      </c>
      <c r="D307" s="402" t="s">
        <v>159</v>
      </c>
      <c r="E307" s="402" t="s">
        <v>744</v>
      </c>
      <c r="F307" s="402"/>
      <c r="G307" s="20">
        <f>G308+G310+G312</f>
        <v>19489.8</v>
      </c>
      <c r="H307" s="20">
        <f>H308+H310+H312</f>
        <v>19489.8</v>
      </c>
      <c r="I307" s="334"/>
      <c r="J307" s="321"/>
    </row>
    <row r="308" spans="1:10" ht="63" x14ac:dyDescent="0.25">
      <c r="A308" s="399" t="s">
        <v>119</v>
      </c>
      <c r="B308" s="455">
        <v>903</v>
      </c>
      <c r="C308" s="402" t="s">
        <v>187</v>
      </c>
      <c r="D308" s="402" t="s">
        <v>159</v>
      </c>
      <c r="E308" s="402" t="s">
        <v>744</v>
      </c>
      <c r="F308" s="402" t="s">
        <v>120</v>
      </c>
      <c r="G308" s="20">
        <f>G309</f>
        <v>17566.099999999999</v>
      </c>
      <c r="H308" s="20">
        <f>H309</f>
        <v>17566.099999999999</v>
      </c>
      <c r="I308" s="334"/>
      <c r="J308" s="321"/>
    </row>
    <row r="309" spans="1:10" ht="15.75" x14ac:dyDescent="0.25">
      <c r="A309" s="481" t="s">
        <v>212</v>
      </c>
      <c r="B309" s="455">
        <v>903</v>
      </c>
      <c r="C309" s="402" t="s">
        <v>187</v>
      </c>
      <c r="D309" s="402" t="s">
        <v>159</v>
      </c>
      <c r="E309" s="402" t="s">
        <v>744</v>
      </c>
      <c r="F309" s="402" t="s">
        <v>156</v>
      </c>
      <c r="G309" s="20">
        <v>17566.099999999999</v>
      </c>
      <c r="H309" s="20">
        <f>G309</f>
        <v>17566.099999999999</v>
      </c>
      <c r="I309" s="334"/>
      <c r="J309" s="321"/>
    </row>
    <row r="310" spans="1:10" ht="31.5" x14ac:dyDescent="0.25">
      <c r="A310" s="399" t="s">
        <v>123</v>
      </c>
      <c r="B310" s="455">
        <v>903</v>
      </c>
      <c r="C310" s="402" t="s">
        <v>187</v>
      </c>
      <c r="D310" s="402" t="s">
        <v>159</v>
      </c>
      <c r="E310" s="402" t="s">
        <v>744</v>
      </c>
      <c r="F310" s="402" t="s">
        <v>124</v>
      </c>
      <c r="G310" s="20">
        <f>G311</f>
        <v>1850.7</v>
      </c>
      <c r="H310" s="20">
        <f>H311</f>
        <v>1850.7</v>
      </c>
      <c r="I310" s="334"/>
      <c r="J310" s="321"/>
    </row>
    <row r="311" spans="1:10" ht="31.5" x14ac:dyDescent="0.25">
      <c r="A311" s="399" t="s">
        <v>125</v>
      </c>
      <c r="B311" s="455">
        <v>903</v>
      </c>
      <c r="C311" s="402" t="s">
        <v>187</v>
      </c>
      <c r="D311" s="402" t="s">
        <v>159</v>
      </c>
      <c r="E311" s="402" t="s">
        <v>744</v>
      </c>
      <c r="F311" s="402" t="s">
        <v>126</v>
      </c>
      <c r="G311" s="20">
        <v>1850.7</v>
      </c>
      <c r="H311" s="20">
        <v>1850.7</v>
      </c>
      <c r="I311" s="334"/>
      <c r="J311" s="321"/>
    </row>
    <row r="312" spans="1:10" ht="15.75" x14ac:dyDescent="0.25">
      <c r="A312" s="399" t="s">
        <v>127</v>
      </c>
      <c r="B312" s="455">
        <v>903</v>
      </c>
      <c r="C312" s="402" t="s">
        <v>187</v>
      </c>
      <c r="D312" s="402" t="s">
        <v>159</v>
      </c>
      <c r="E312" s="402" t="s">
        <v>744</v>
      </c>
      <c r="F312" s="402" t="s">
        <v>134</v>
      </c>
      <c r="G312" s="20">
        <f>G313</f>
        <v>73</v>
      </c>
      <c r="H312" s="20">
        <f>H313</f>
        <v>73</v>
      </c>
      <c r="I312" s="334"/>
      <c r="J312" s="321"/>
    </row>
    <row r="313" spans="1:10" ht="15.75" x14ac:dyDescent="0.25">
      <c r="A313" s="399" t="s">
        <v>338</v>
      </c>
      <c r="B313" s="455">
        <v>903</v>
      </c>
      <c r="C313" s="402" t="s">
        <v>187</v>
      </c>
      <c r="D313" s="402" t="s">
        <v>159</v>
      </c>
      <c r="E313" s="402" t="s">
        <v>744</v>
      </c>
      <c r="F313" s="402" t="s">
        <v>130</v>
      </c>
      <c r="G313" s="20">
        <v>73</v>
      </c>
      <c r="H313" s="20">
        <v>73</v>
      </c>
      <c r="I313" s="334"/>
      <c r="J313" s="321"/>
    </row>
    <row r="314" spans="1:10" ht="22.7" hidden="1" customHeight="1" x14ac:dyDescent="0.25">
      <c r="A314" s="401" t="s">
        <v>968</v>
      </c>
      <c r="B314" s="455">
        <v>903</v>
      </c>
      <c r="C314" s="402" t="s">
        <v>187</v>
      </c>
      <c r="D314" s="402" t="s">
        <v>159</v>
      </c>
      <c r="E314" s="402" t="s">
        <v>962</v>
      </c>
      <c r="F314" s="402"/>
      <c r="G314" s="318">
        <f>G315</f>
        <v>0</v>
      </c>
      <c r="H314" s="318">
        <f>H315</f>
        <v>0</v>
      </c>
      <c r="I314" s="334"/>
      <c r="J314" s="321"/>
    </row>
    <row r="315" spans="1:10" ht="63" hidden="1" x14ac:dyDescent="0.25">
      <c r="A315" s="399" t="s">
        <v>119</v>
      </c>
      <c r="B315" s="455">
        <v>903</v>
      </c>
      <c r="C315" s="402" t="s">
        <v>187</v>
      </c>
      <c r="D315" s="402" t="s">
        <v>159</v>
      </c>
      <c r="E315" s="402" t="s">
        <v>962</v>
      </c>
      <c r="F315" s="402" t="s">
        <v>120</v>
      </c>
      <c r="G315" s="318">
        <f>G316</f>
        <v>0</v>
      </c>
      <c r="H315" s="318">
        <f>H316</f>
        <v>0</v>
      </c>
      <c r="I315" s="334"/>
      <c r="J315" s="321"/>
    </row>
    <row r="316" spans="1:10" ht="15.75" hidden="1" x14ac:dyDescent="0.25">
      <c r="A316" s="399" t="s">
        <v>155</v>
      </c>
      <c r="B316" s="455">
        <v>903</v>
      </c>
      <c r="C316" s="402" t="s">
        <v>187</v>
      </c>
      <c r="D316" s="402" t="s">
        <v>159</v>
      </c>
      <c r="E316" s="402" t="s">
        <v>962</v>
      </c>
      <c r="F316" s="402" t="s">
        <v>156</v>
      </c>
      <c r="G316" s="318"/>
      <c r="H316" s="318"/>
      <c r="I316" s="334"/>
      <c r="J316" s="321"/>
    </row>
    <row r="317" spans="1:10" ht="29.25" customHeight="1" x14ac:dyDescent="0.25">
      <c r="A317" s="456" t="s">
        <v>817</v>
      </c>
      <c r="B317" s="454">
        <v>903</v>
      </c>
      <c r="C317" s="414" t="s">
        <v>187</v>
      </c>
      <c r="D317" s="414" t="s">
        <v>159</v>
      </c>
      <c r="E317" s="414" t="s">
        <v>745</v>
      </c>
      <c r="F317" s="414"/>
      <c r="G317" s="30">
        <f>G318+G321</f>
        <v>292</v>
      </c>
      <c r="H317" s="30">
        <f>H318+H321</f>
        <v>292</v>
      </c>
      <c r="I317" s="334"/>
      <c r="J317" s="321"/>
    </row>
    <row r="318" spans="1:10" ht="15.75" x14ac:dyDescent="0.25">
      <c r="A318" s="482" t="s">
        <v>377</v>
      </c>
      <c r="B318" s="455">
        <v>903</v>
      </c>
      <c r="C318" s="402" t="s">
        <v>187</v>
      </c>
      <c r="D318" s="402" t="s">
        <v>159</v>
      </c>
      <c r="E318" s="402" t="s">
        <v>746</v>
      </c>
      <c r="F318" s="402"/>
      <c r="G318" s="20">
        <f>G319</f>
        <v>42</v>
      </c>
      <c r="H318" s="20">
        <f>H319</f>
        <v>42</v>
      </c>
      <c r="I318" s="334"/>
      <c r="J318" s="321"/>
    </row>
    <row r="319" spans="1:10" ht="15.75" x14ac:dyDescent="0.25">
      <c r="A319" s="399" t="s">
        <v>177</v>
      </c>
      <c r="B319" s="455">
        <v>903</v>
      </c>
      <c r="C319" s="402" t="s">
        <v>187</v>
      </c>
      <c r="D319" s="402" t="s">
        <v>159</v>
      </c>
      <c r="E319" s="402" t="s">
        <v>746</v>
      </c>
      <c r="F319" s="402" t="s">
        <v>178</v>
      </c>
      <c r="G319" s="20">
        <f>G320</f>
        <v>42</v>
      </c>
      <c r="H319" s="20">
        <f>H320</f>
        <v>42</v>
      </c>
      <c r="I319" s="334"/>
      <c r="J319" s="321"/>
    </row>
    <row r="320" spans="1:10" ht="15.75" x14ac:dyDescent="0.25">
      <c r="A320" s="399" t="s">
        <v>398</v>
      </c>
      <c r="B320" s="455">
        <v>903</v>
      </c>
      <c r="C320" s="402" t="s">
        <v>187</v>
      </c>
      <c r="D320" s="402" t="s">
        <v>159</v>
      </c>
      <c r="E320" s="402" t="s">
        <v>746</v>
      </c>
      <c r="F320" s="402" t="s">
        <v>397</v>
      </c>
      <c r="G320" s="20">
        <v>42</v>
      </c>
      <c r="H320" s="20">
        <v>42</v>
      </c>
      <c r="I320" s="334"/>
      <c r="J320" s="321"/>
    </row>
    <row r="321" spans="1:10" ht="36" customHeight="1" x14ac:dyDescent="0.25">
      <c r="A321" s="401" t="s">
        <v>394</v>
      </c>
      <c r="B321" s="455">
        <v>903</v>
      </c>
      <c r="C321" s="402" t="s">
        <v>187</v>
      </c>
      <c r="D321" s="402" t="s">
        <v>159</v>
      </c>
      <c r="E321" s="402" t="s">
        <v>747</v>
      </c>
      <c r="F321" s="402"/>
      <c r="G321" s="20">
        <f>G324+G322</f>
        <v>250</v>
      </c>
      <c r="H321" s="20">
        <f>H324+H322</f>
        <v>250</v>
      </c>
      <c r="I321" s="334"/>
      <c r="J321" s="321"/>
    </row>
    <row r="322" spans="1:10" ht="63" x14ac:dyDescent="0.25">
      <c r="A322" s="399" t="s">
        <v>119</v>
      </c>
      <c r="B322" s="455">
        <v>903</v>
      </c>
      <c r="C322" s="402" t="s">
        <v>187</v>
      </c>
      <c r="D322" s="402" t="s">
        <v>159</v>
      </c>
      <c r="E322" s="402" t="s">
        <v>747</v>
      </c>
      <c r="F322" s="402" t="s">
        <v>120</v>
      </c>
      <c r="G322" s="20">
        <f>G323</f>
        <v>250</v>
      </c>
      <c r="H322" s="20">
        <f>H323</f>
        <v>250</v>
      </c>
      <c r="I322" s="334"/>
      <c r="J322" s="321"/>
    </row>
    <row r="323" spans="1:10" ht="24.75" customHeight="1" x14ac:dyDescent="0.25">
      <c r="A323" s="481" t="s">
        <v>212</v>
      </c>
      <c r="B323" s="455">
        <v>903</v>
      </c>
      <c r="C323" s="402" t="s">
        <v>187</v>
      </c>
      <c r="D323" s="402" t="s">
        <v>159</v>
      </c>
      <c r="E323" s="402" t="s">
        <v>747</v>
      </c>
      <c r="F323" s="402" t="s">
        <v>156</v>
      </c>
      <c r="G323" s="20">
        <v>250</v>
      </c>
      <c r="H323" s="20">
        <v>250</v>
      </c>
      <c r="I323" s="334"/>
      <c r="J323" s="321"/>
    </row>
    <row r="324" spans="1:10" ht="30.75" hidden="1" customHeight="1" x14ac:dyDescent="0.25">
      <c r="A324" s="399" t="s">
        <v>123</v>
      </c>
      <c r="B324" s="455">
        <v>903</v>
      </c>
      <c r="C324" s="402" t="s">
        <v>187</v>
      </c>
      <c r="D324" s="402" t="s">
        <v>159</v>
      </c>
      <c r="E324" s="402" t="s">
        <v>747</v>
      </c>
      <c r="F324" s="402" t="s">
        <v>124</v>
      </c>
      <c r="G324" s="20">
        <f>G325</f>
        <v>0</v>
      </c>
      <c r="H324" s="20">
        <f>H325</f>
        <v>0</v>
      </c>
      <c r="I324" s="334"/>
      <c r="J324" s="321"/>
    </row>
    <row r="325" spans="1:10" ht="39.200000000000003" hidden="1" customHeight="1" x14ac:dyDescent="0.25">
      <c r="A325" s="399" t="s">
        <v>125</v>
      </c>
      <c r="B325" s="455">
        <v>903</v>
      </c>
      <c r="C325" s="402" t="s">
        <v>187</v>
      </c>
      <c r="D325" s="402" t="s">
        <v>159</v>
      </c>
      <c r="E325" s="402" t="s">
        <v>747</v>
      </c>
      <c r="F325" s="402" t="s">
        <v>126</v>
      </c>
      <c r="G325" s="20"/>
      <c r="H325" s="20"/>
      <c r="I325" s="334"/>
      <c r="J325" s="321"/>
    </row>
    <row r="326" spans="1:10" ht="39.200000000000003" customHeight="1" x14ac:dyDescent="0.25">
      <c r="A326" s="417" t="s">
        <v>514</v>
      </c>
      <c r="B326" s="454">
        <v>903</v>
      </c>
      <c r="C326" s="414" t="s">
        <v>187</v>
      </c>
      <c r="D326" s="414" t="s">
        <v>159</v>
      </c>
      <c r="E326" s="414" t="s">
        <v>748</v>
      </c>
      <c r="F326" s="414"/>
      <c r="G326" s="30">
        <f t="shared" ref="G326:H328" si="25">G327</f>
        <v>473</v>
      </c>
      <c r="H326" s="30">
        <f t="shared" si="25"/>
        <v>473</v>
      </c>
      <c r="I326" s="334"/>
      <c r="J326" s="321"/>
    </row>
    <row r="327" spans="1:10" ht="39.200000000000003" customHeight="1" x14ac:dyDescent="0.25">
      <c r="A327" s="399" t="s">
        <v>416</v>
      </c>
      <c r="B327" s="455">
        <v>903</v>
      </c>
      <c r="C327" s="402" t="s">
        <v>187</v>
      </c>
      <c r="D327" s="402" t="s">
        <v>159</v>
      </c>
      <c r="E327" s="402" t="s">
        <v>749</v>
      </c>
      <c r="F327" s="402"/>
      <c r="G327" s="318">
        <f t="shared" si="25"/>
        <v>473</v>
      </c>
      <c r="H327" s="318">
        <f t="shared" si="25"/>
        <v>473</v>
      </c>
      <c r="I327" s="334"/>
      <c r="J327" s="321"/>
    </row>
    <row r="328" spans="1:10" ht="70.5" customHeight="1" x14ac:dyDescent="0.25">
      <c r="A328" s="399" t="s">
        <v>119</v>
      </c>
      <c r="B328" s="455">
        <v>903</v>
      </c>
      <c r="C328" s="402" t="s">
        <v>187</v>
      </c>
      <c r="D328" s="402" t="s">
        <v>159</v>
      </c>
      <c r="E328" s="402" t="s">
        <v>749</v>
      </c>
      <c r="F328" s="402" t="s">
        <v>120</v>
      </c>
      <c r="G328" s="318">
        <f t="shared" si="25"/>
        <v>473</v>
      </c>
      <c r="H328" s="318">
        <f t="shared" si="25"/>
        <v>473</v>
      </c>
      <c r="I328" s="334"/>
      <c r="J328" s="321"/>
    </row>
    <row r="329" spans="1:10" ht="19.7" customHeight="1" x14ac:dyDescent="0.25">
      <c r="A329" s="399" t="s">
        <v>212</v>
      </c>
      <c r="B329" s="455">
        <v>903</v>
      </c>
      <c r="C329" s="402" t="s">
        <v>187</v>
      </c>
      <c r="D329" s="402" t="s">
        <v>159</v>
      </c>
      <c r="E329" s="402" t="s">
        <v>749</v>
      </c>
      <c r="F329" s="402" t="s">
        <v>156</v>
      </c>
      <c r="G329" s="318">
        <v>473</v>
      </c>
      <c r="H329" s="318">
        <v>473</v>
      </c>
      <c r="I329" s="334"/>
      <c r="J329" s="321"/>
    </row>
    <row r="330" spans="1:10" ht="39.200000000000003" customHeight="1" x14ac:dyDescent="0.25">
      <c r="A330" s="417" t="s">
        <v>471</v>
      </c>
      <c r="B330" s="454">
        <v>903</v>
      </c>
      <c r="C330" s="414" t="s">
        <v>187</v>
      </c>
      <c r="D330" s="414" t="s">
        <v>159</v>
      </c>
      <c r="E330" s="414" t="s">
        <v>750</v>
      </c>
      <c r="F330" s="414"/>
      <c r="G330" s="30">
        <f>G331+G334</f>
        <v>245.29999999999998</v>
      </c>
      <c r="H330" s="30">
        <f>H331+H334</f>
        <v>245.29999999999998</v>
      </c>
      <c r="I330" s="334"/>
      <c r="J330" s="321"/>
    </row>
    <row r="331" spans="1:10" ht="85.7" customHeight="1" x14ac:dyDescent="0.25">
      <c r="A331" s="401" t="s">
        <v>200</v>
      </c>
      <c r="B331" s="455">
        <v>903</v>
      </c>
      <c r="C331" s="402" t="s">
        <v>187</v>
      </c>
      <c r="D331" s="402" t="s">
        <v>159</v>
      </c>
      <c r="E331" s="402" t="s">
        <v>897</v>
      </c>
      <c r="F331" s="402"/>
      <c r="G331" s="318">
        <f>G332</f>
        <v>0</v>
      </c>
      <c r="H331" s="318">
        <f>H332</f>
        <v>0</v>
      </c>
      <c r="I331" s="334"/>
      <c r="J331" s="321"/>
    </row>
    <row r="332" spans="1:10" ht="61.15" customHeight="1" x14ac:dyDescent="0.25">
      <c r="A332" s="399" t="s">
        <v>119</v>
      </c>
      <c r="B332" s="455">
        <v>903</v>
      </c>
      <c r="C332" s="402" t="s">
        <v>187</v>
      </c>
      <c r="D332" s="402" t="s">
        <v>159</v>
      </c>
      <c r="E332" s="402" t="s">
        <v>897</v>
      </c>
      <c r="F332" s="402" t="s">
        <v>120</v>
      </c>
      <c r="G332" s="318">
        <f>G333</f>
        <v>0</v>
      </c>
      <c r="H332" s="318">
        <f>H333</f>
        <v>0</v>
      </c>
      <c r="I332" s="334"/>
      <c r="J332" s="321"/>
    </row>
    <row r="333" spans="1:10" ht="19.149999999999999" customHeight="1" x14ac:dyDescent="0.25">
      <c r="A333" s="481" t="s">
        <v>212</v>
      </c>
      <c r="B333" s="455">
        <v>903</v>
      </c>
      <c r="C333" s="402" t="s">
        <v>187</v>
      </c>
      <c r="D333" s="402" t="s">
        <v>159</v>
      </c>
      <c r="E333" s="402" t="s">
        <v>897</v>
      </c>
      <c r="F333" s="402" t="s">
        <v>156</v>
      </c>
      <c r="G333" s="318">
        <f>511-511</f>
        <v>0</v>
      </c>
      <c r="H333" s="318">
        <f>511-511</f>
        <v>0</v>
      </c>
      <c r="I333" s="334" t="s">
        <v>1333</v>
      </c>
      <c r="J333" s="321"/>
    </row>
    <row r="334" spans="1:10" ht="31.5" x14ac:dyDescent="0.25">
      <c r="A334" s="399" t="s">
        <v>1147</v>
      </c>
      <c r="B334" s="455">
        <v>903</v>
      </c>
      <c r="C334" s="402" t="s">
        <v>187</v>
      </c>
      <c r="D334" s="402" t="s">
        <v>159</v>
      </c>
      <c r="E334" s="402" t="s">
        <v>1149</v>
      </c>
      <c r="F334" s="402"/>
      <c r="G334" s="318">
        <f>G335</f>
        <v>245.29999999999998</v>
      </c>
      <c r="H334" s="318">
        <f>H335</f>
        <v>245.29999999999998</v>
      </c>
      <c r="I334" s="334"/>
      <c r="J334" s="321"/>
    </row>
    <row r="335" spans="1:10" ht="69.75" customHeight="1" x14ac:dyDescent="0.25">
      <c r="A335" s="399" t="s">
        <v>119</v>
      </c>
      <c r="B335" s="455">
        <v>903</v>
      </c>
      <c r="C335" s="402" t="s">
        <v>187</v>
      </c>
      <c r="D335" s="402" t="s">
        <v>159</v>
      </c>
      <c r="E335" s="402" t="s">
        <v>1149</v>
      </c>
      <c r="F335" s="402" t="s">
        <v>120</v>
      </c>
      <c r="G335" s="318">
        <f>G336</f>
        <v>245.29999999999998</v>
      </c>
      <c r="H335" s="318">
        <f>H336</f>
        <v>245.29999999999998</v>
      </c>
      <c r="I335" s="334"/>
      <c r="J335" s="321"/>
    </row>
    <row r="336" spans="1:10" ht="21.2" customHeight="1" x14ac:dyDescent="0.25">
      <c r="A336" s="481" t="s">
        <v>212</v>
      </c>
      <c r="B336" s="455">
        <v>903</v>
      </c>
      <c r="C336" s="402" t="s">
        <v>187</v>
      </c>
      <c r="D336" s="402" t="s">
        <v>159</v>
      </c>
      <c r="E336" s="402" t="s">
        <v>1149</v>
      </c>
      <c r="F336" s="402" t="s">
        <v>156</v>
      </c>
      <c r="G336" s="318">
        <f>404.4-159.1</f>
        <v>245.29999999999998</v>
      </c>
      <c r="H336" s="318">
        <f>404.4-159.1</f>
        <v>245.29999999999998</v>
      </c>
      <c r="I336" s="334" t="s">
        <v>1329</v>
      </c>
      <c r="J336" s="321"/>
    </row>
    <row r="337" spans="1:10" ht="50.25" customHeight="1" x14ac:dyDescent="0.25">
      <c r="A337" s="413" t="s">
        <v>859</v>
      </c>
      <c r="B337" s="454">
        <v>903</v>
      </c>
      <c r="C337" s="414" t="s">
        <v>187</v>
      </c>
      <c r="D337" s="414" t="s">
        <v>159</v>
      </c>
      <c r="E337" s="414" t="s">
        <v>206</v>
      </c>
      <c r="F337" s="414"/>
      <c r="G337" s="314">
        <f>G339</f>
        <v>6</v>
      </c>
      <c r="H337" s="314">
        <f>H339</f>
        <v>6</v>
      </c>
      <c r="I337" s="334"/>
      <c r="J337" s="321"/>
    </row>
    <row r="338" spans="1:10" ht="49.7" customHeight="1" x14ac:dyDescent="0.25">
      <c r="A338" s="413" t="s">
        <v>588</v>
      </c>
      <c r="B338" s="454">
        <v>903</v>
      </c>
      <c r="C338" s="414" t="s">
        <v>187</v>
      </c>
      <c r="D338" s="414" t="s">
        <v>159</v>
      </c>
      <c r="E338" s="414" t="s">
        <v>504</v>
      </c>
      <c r="F338" s="414"/>
      <c r="G338" s="314">
        <f>G341</f>
        <v>6</v>
      </c>
      <c r="H338" s="314">
        <f>H341</f>
        <v>6</v>
      </c>
      <c r="I338" s="334"/>
      <c r="J338" s="321"/>
    </row>
    <row r="339" spans="1:10" ht="48.2" customHeight="1" x14ac:dyDescent="0.25">
      <c r="A339" s="401" t="s">
        <v>634</v>
      </c>
      <c r="B339" s="455">
        <v>903</v>
      </c>
      <c r="C339" s="402" t="s">
        <v>187</v>
      </c>
      <c r="D339" s="402" t="s">
        <v>159</v>
      </c>
      <c r="E339" s="402" t="s">
        <v>589</v>
      </c>
      <c r="F339" s="402"/>
      <c r="G339" s="318">
        <f>G340</f>
        <v>6</v>
      </c>
      <c r="H339" s="318">
        <f>H340</f>
        <v>6</v>
      </c>
      <c r="I339" s="334"/>
      <c r="J339" s="321"/>
    </row>
    <row r="340" spans="1:10" ht="31.9" customHeight="1" x14ac:dyDescent="0.25">
      <c r="A340" s="399" t="s">
        <v>123</v>
      </c>
      <c r="B340" s="455">
        <v>903</v>
      </c>
      <c r="C340" s="402" t="s">
        <v>187</v>
      </c>
      <c r="D340" s="402" t="s">
        <v>159</v>
      </c>
      <c r="E340" s="402" t="s">
        <v>589</v>
      </c>
      <c r="F340" s="402" t="s">
        <v>124</v>
      </c>
      <c r="G340" s="318">
        <f>G341</f>
        <v>6</v>
      </c>
      <c r="H340" s="318">
        <f>H341</f>
        <v>6</v>
      </c>
      <c r="I340" s="334"/>
      <c r="J340" s="321"/>
    </row>
    <row r="341" spans="1:10" ht="34.700000000000003" customHeight="1" x14ac:dyDescent="0.25">
      <c r="A341" s="399" t="s">
        <v>125</v>
      </c>
      <c r="B341" s="455">
        <v>903</v>
      </c>
      <c r="C341" s="402" t="s">
        <v>187</v>
      </c>
      <c r="D341" s="402" t="s">
        <v>159</v>
      </c>
      <c r="E341" s="402" t="s">
        <v>589</v>
      </c>
      <c r="F341" s="402" t="s">
        <v>126</v>
      </c>
      <c r="G341" s="318">
        <v>6</v>
      </c>
      <c r="H341" s="318">
        <v>6</v>
      </c>
      <c r="I341" s="334"/>
      <c r="J341" s="321"/>
    </row>
    <row r="342" spans="1:10" ht="51" customHeight="1" x14ac:dyDescent="0.25">
      <c r="A342" s="463" t="s">
        <v>855</v>
      </c>
      <c r="B342" s="454">
        <v>903</v>
      </c>
      <c r="C342" s="414" t="s">
        <v>187</v>
      </c>
      <c r="D342" s="414" t="s">
        <v>159</v>
      </c>
      <c r="E342" s="414" t="s">
        <v>339</v>
      </c>
      <c r="F342" s="414"/>
      <c r="G342" s="314">
        <f>G344</f>
        <v>490.9</v>
      </c>
      <c r="H342" s="314">
        <f>H344</f>
        <v>490.9</v>
      </c>
      <c r="I342" s="334"/>
      <c r="J342" s="321"/>
    </row>
    <row r="343" spans="1:10" ht="48.75" customHeight="1" x14ac:dyDescent="0.25">
      <c r="A343" s="463" t="s">
        <v>463</v>
      </c>
      <c r="B343" s="454">
        <v>903</v>
      </c>
      <c r="C343" s="414" t="s">
        <v>187</v>
      </c>
      <c r="D343" s="414" t="s">
        <v>159</v>
      </c>
      <c r="E343" s="414" t="s">
        <v>461</v>
      </c>
      <c r="F343" s="414"/>
      <c r="G343" s="314">
        <f t="shared" ref="G343:H345" si="26">G344</f>
        <v>490.9</v>
      </c>
      <c r="H343" s="314">
        <f t="shared" si="26"/>
        <v>490.9</v>
      </c>
      <c r="I343" s="334"/>
      <c r="J343" s="321"/>
    </row>
    <row r="344" spans="1:10" ht="32.25" customHeight="1" x14ac:dyDescent="0.25">
      <c r="A344" s="466" t="s">
        <v>567</v>
      </c>
      <c r="B344" s="402" t="s">
        <v>305</v>
      </c>
      <c r="C344" s="402" t="s">
        <v>187</v>
      </c>
      <c r="D344" s="402" t="s">
        <v>159</v>
      </c>
      <c r="E344" s="402" t="s">
        <v>462</v>
      </c>
      <c r="F344" s="467"/>
      <c r="G344" s="318">
        <f t="shared" si="26"/>
        <v>490.9</v>
      </c>
      <c r="H344" s="318">
        <f t="shared" si="26"/>
        <v>490.9</v>
      </c>
      <c r="I344" s="334"/>
      <c r="J344" s="321"/>
    </row>
    <row r="345" spans="1:10" ht="33" customHeight="1" x14ac:dyDescent="0.25">
      <c r="A345" s="399" t="s">
        <v>123</v>
      </c>
      <c r="B345" s="455">
        <v>903</v>
      </c>
      <c r="C345" s="402" t="s">
        <v>187</v>
      </c>
      <c r="D345" s="402" t="s">
        <v>159</v>
      </c>
      <c r="E345" s="402" t="s">
        <v>462</v>
      </c>
      <c r="F345" s="467" t="s">
        <v>124</v>
      </c>
      <c r="G345" s="318">
        <f t="shared" si="26"/>
        <v>490.9</v>
      </c>
      <c r="H345" s="318">
        <f t="shared" si="26"/>
        <v>490.9</v>
      </c>
      <c r="I345" s="334"/>
      <c r="J345" s="321"/>
    </row>
    <row r="346" spans="1:10" ht="34.5" customHeight="1" x14ac:dyDescent="0.25">
      <c r="A346" s="399" t="s">
        <v>125</v>
      </c>
      <c r="B346" s="455">
        <v>903</v>
      </c>
      <c r="C346" s="402" t="s">
        <v>187</v>
      </c>
      <c r="D346" s="402" t="s">
        <v>159</v>
      </c>
      <c r="E346" s="402" t="s">
        <v>462</v>
      </c>
      <c r="F346" s="467" t="s">
        <v>126</v>
      </c>
      <c r="G346" s="318">
        <v>490.9</v>
      </c>
      <c r="H346" s="318">
        <v>490.9</v>
      </c>
      <c r="I346" s="334"/>
      <c r="J346" s="334"/>
    </row>
    <row r="347" spans="1:10" ht="19.5" customHeight="1" x14ac:dyDescent="0.25">
      <c r="A347" s="417" t="s">
        <v>246</v>
      </c>
      <c r="B347" s="454">
        <v>903</v>
      </c>
      <c r="C347" s="414" t="s">
        <v>187</v>
      </c>
      <c r="D347" s="414" t="s">
        <v>187</v>
      </c>
      <c r="E347" s="402"/>
      <c r="F347" s="402"/>
      <c r="G347" s="314">
        <f>G348</f>
        <v>760.1</v>
      </c>
      <c r="H347" s="314">
        <f>H348</f>
        <v>760.1</v>
      </c>
      <c r="I347" s="334"/>
      <c r="J347" s="321"/>
    </row>
    <row r="348" spans="1:10" ht="50.25" customHeight="1" x14ac:dyDescent="0.25">
      <c r="A348" s="417" t="s">
        <v>850</v>
      </c>
      <c r="B348" s="454">
        <v>903</v>
      </c>
      <c r="C348" s="414" t="s">
        <v>187</v>
      </c>
      <c r="D348" s="414" t="s">
        <v>187</v>
      </c>
      <c r="E348" s="414" t="s">
        <v>213</v>
      </c>
      <c r="F348" s="414"/>
      <c r="G348" s="314">
        <f>G349</f>
        <v>760.1</v>
      </c>
      <c r="H348" s="314">
        <f>H349</f>
        <v>760.1</v>
      </c>
      <c r="I348" s="334"/>
      <c r="J348" s="321"/>
    </row>
    <row r="349" spans="1:10" ht="32.25" customHeight="1" x14ac:dyDescent="0.25">
      <c r="A349" s="417" t="s">
        <v>214</v>
      </c>
      <c r="B349" s="454">
        <v>903</v>
      </c>
      <c r="C349" s="414" t="s">
        <v>187</v>
      </c>
      <c r="D349" s="414" t="s">
        <v>187</v>
      </c>
      <c r="E349" s="414" t="s">
        <v>215</v>
      </c>
      <c r="F349" s="414"/>
      <c r="G349" s="314">
        <f>G350+G357+G363</f>
        <v>760.1</v>
      </c>
      <c r="H349" s="314">
        <f>H350+H357+H363</f>
        <v>760.1</v>
      </c>
      <c r="I349" s="334"/>
      <c r="J349" s="321"/>
    </row>
    <row r="350" spans="1:10" ht="48.75" customHeight="1" x14ac:dyDescent="0.25">
      <c r="A350" s="465" t="s">
        <v>591</v>
      </c>
      <c r="B350" s="454">
        <v>903</v>
      </c>
      <c r="C350" s="414" t="s">
        <v>187</v>
      </c>
      <c r="D350" s="414" t="s">
        <v>187</v>
      </c>
      <c r="E350" s="414" t="s">
        <v>465</v>
      </c>
      <c r="F350" s="414"/>
      <c r="G350" s="314">
        <f>G351+G354</f>
        <v>280</v>
      </c>
      <c r="H350" s="314">
        <f>H351+H354</f>
        <v>280</v>
      </c>
      <c r="I350" s="334"/>
      <c r="J350" s="321"/>
    </row>
    <row r="351" spans="1:10" ht="23.25" customHeight="1" x14ac:dyDescent="0.25">
      <c r="A351" s="466" t="s">
        <v>597</v>
      </c>
      <c r="B351" s="455">
        <v>903</v>
      </c>
      <c r="C351" s="402" t="s">
        <v>187</v>
      </c>
      <c r="D351" s="402" t="s">
        <v>187</v>
      </c>
      <c r="E351" s="402" t="s">
        <v>466</v>
      </c>
      <c r="F351" s="402"/>
      <c r="G351" s="318">
        <f>G352</f>
        <v>280</v>
      </c>
      <c r="H351" s="318">
        <f>H352</f>
        <v>280</v>
      </c>
      <c r="I351" s="334"/>
      <c r="J351" s="321"/>
    </row>
    <row r="352" spans="1:10" ht="66.599999999999994" customHeight="1" x14ac:dyDescent="0.25">
      <c r="A352" s="399" t="s">
        <v>119</v>
      </c>
      <c r="B352" s="455">
        <v>903</v>
      </c>
      <c r="C352" s="402" t="s">
        <v>187</v>
      </c>
      <c r="D352" s="402" t="s">
        <v>187</v>
      </c>
      <c r="E352" s="402" t="s">
        <v>466</v>
      </c>
      <c r="F352" s="402" t="s">
        <v>120</v>
      </c>
      <c r="G352" s="318">
        <f>G353</f>
        <v>280</v>
      </c>
      <c r="H352" s="318">
        <f>H353</f>
        <v>280</v>
      </c>
      <c r="I352" s="334"/>
      <c r="J352" s="321"/>
    </row>
    <row r="353" spans="1:10" ht="18" customHeight="1" x14ac:dyDescent="0.25">
      <c r="A353" s="399" t="s">
        <v>212</v>
      </c>
      <c r="B353" s="455">
        <v>903</v>
      </c>
      <c r="C353" s="402" t="s">
        <v>187</v>
      </c>
      <c r="D353" s="402" t="s">
        <v>187</v>
      </c>
      <c r="E353" s="402" t="s">
        <v>466</v>
      </c>
      <c r="F353" s="402" t="s">
        <v>156</v>
      </c>
      <c r="G353" s="318">
        <v>280</v>
      </c>
      <c r="H353" s="318">
        <v>280</v>
      </c>
      <c r="I353" s="334"/>
      <c r="J353" s="321"/>
    </row>
    <row r="354" spans="1:10" ht="19.5" hidden="1" customHeight="1" x14ac:dyDescent="0.25">
      <c r="A354" s="399" t="s">
        <v>592</v>
      </c>
      <c r="B354" s="455">
        <v>903</v>
      </c>
      <c r="C354" s="402" t="s">
        <v>187</v>
      </c>
      <c r="D354" s="402" t="s">
        <v>187</v>
      </c>
      <c r="E354" s="402" t="s">
        <v>607</v>
      </c>
      <c r="F354" s="402"/>
      <c r="G354" s="318">
        <f>G355</f>
        <v>0</v>
      </c>
      <c r="H354" s="318">
        <f>H355</f>
        <v>0</v>
      </c>
      <c r="I354" s="334"/>
      <c r="J354" s="321"/>
    </row>
    <row r="355" spans="1:10" ht="32.25" hidden="1" customHeight="1" x14ac:dyDescent="0.25">
      <c r="A355" s="399" t="s">
        <v>123</v>
      </c>
      <c r="B355" s="455">
        <v>903</v>
      </c>
      <c r="C355" s="402" t="s">
        <v>187</v>
      </c>
      <c r="D355" s="402" t="s">
        <v>187</v>
      </c>
      <c r="E355" s="402" t="s">
        <v>607</v>
      </c>
      <c r="F355" s="402" t="s">
        <v>124</v>
      </c>
      <c r="G355" s="318">
        <f>G356</f>
        <v>0</v>
      </c>
      <c r="H355" s="318">
        <f>H356</f>
        <v>0</v>
      </c>
      <c r="I355" s="334"/>
      <c r="J355" s="321"/>
    </row>
    <row r="356" spans="1:10" ht="37.5" hidden="1" customHeight="1" x14ac:dyDescent="0.25">
      <c r="A356" s="399" t="s">
        <v>125</v>
      </c>
      <c r="B356" s="455">
        <v>903</v>
      </c>
      <c r="C356" s="402" t="s">
        <v>187</v>
      </c>
      <c r="D356" s="402" t="s">
        <v>187</v>
      </c>
      <c r="E356" s="402" t="s">
        <v>607</v>
      </c>
      <c r="F356" s="402" t="s">
        <v>126</v>
      </c>
      <c r="G356" s="318">
        <v>0</v>
      </c>
      <c r="H356" s="318">
        <v>0</v>
      </c>
      <c r="I356" s="334"/>
      <c r="J356" s="321"/>
    </row>
    <row r="357" spans="1:10" ht="64.5" customHeight="1" x14ac:dyDescent="0.25">
      <c r="A357" s="417" t="s">
        <v>593</v>
      </c>
      <c r="B357" s="454">
        <v>903</v>
      </c>
      <c r="C357" s="414" t="s">
        <v>187</v>
      </c>
      <c r="D357" s="414" t="s">
        <v>187</v>
      </c>
      <c r="E357" s="414" t="s">
        <v>467</v>
      </c>
      <c r="F357" s="414"/>
      <c r="G357" s="314">
        <f>G358</f>
        <v>455.1</v>
      </c>
      <c r="H357" s="314">
        <f>H358</f>
        <v>455.1</v>
      </c>
      <c r="I357" s="334"/>
      <c r="J357" s="321"/>
    </row>
    <row r="358" spans="1:10" ht="15.75" customHeight="1" x14ac:dyDescent="0.25">
      <c r="A358" s="399" t="s">
        <v>594</v>
      </c>
      <c r="B358" s="455">
        <v>903</v>
      </c>
      <c r="C358" s="402" t="s">
        <v>187</v>
      </c>
      <c r="D358" s="402" t="s">
        <v>187</v>
      </c>
      <c r="E358" s="402" t="s">
        <v>472</v>
      </c>
      <c r="F358" s="402"/>
      <c r="G358" s="318">
        <f>G361+G360</f>
        <v>455.1</v>
      </c>
      <c r="H358" s="318">
        <f>H361+H360</f>
        <v>455.1</v>
      </c>
      <c r="I358" s="334"/>
      <c r="J358" s="321"/>
    </row>
    <row r="359" spans="1:10" ht="63" customHeight="1" x14ac:dyDescent="0.25">
      <c r="A359" s="399" t="s">
        <v>119</v>
      </c>
      <c r="B359" s="455">
        <v>903</v>
      </c>
      <c r="C359" s="402" t="s">
        <v>187</v>
      </c>
      <c r="D359" s="402" t="s">
        <v>187</v>
      </c>
      <c r="E359" s="402" t="s">
        <v>472</v>
      </c>
      <c r="F359" s="402" t="s">
        <v>120</v>
      </c>
      <c r="G359" s="318">
        <f>G360</f>
        <v>40.1</v>
      </c>
      <c r="H359" s="318">
        <f>H360</f>
        <v>40.1</v>
      </c>
      <c r="I359" s="334"/>
      <c r="J359" s="321"/>
    </row>
    <row r="360" spans="1:10" ht="20.25" customHeight="1" x14ac:dyDescent="0.25">
      <c r="A360" s="399" t="s">
        <v>212</v>
      </c>
      <c r="B360" s="455">
        <v>903</v>
      </c>
      <c r="C360" s="402" t="s">
        <v>187</v>
      </c>
      <c r="D360" s="402" t="s">
        <v>187</v>
      </c>
      <c r="E360" s="402" t="s">
        <v>472</v>
      </c>
      <c r="F360" s="402" t="s">
        <v>156</v>
      </c>
      <c r="G360" s="318">
        <v>40.1</v>
      </c>
      <c r="H360" s="318">
        <v>40.1</v>
      </c>
      <c r="I360" s="334"/>
      <c r="J360" s="321"/>
    </row>
    <row r="361" spans="1:10" ht="36.75" customHeight="1" x14ac:dyDescent="0.25">
      <c r="A361" s="399" t="s">
        <v>123</v>
      </c>
      <c r="B361" s="455">
        <v>903</v>
      </c>
      <c r="C361" s="402" t="s">
        <v>187</v>
      </c>
      <c r="D361" s="402" t="s">
        <v>187</v>
      </c>
      <c r="E361" s="402" t="s">
        <v>472</v>
      </c>
      <c r="F361" s="402" t="s">
        <v>124</v>
      </c>
      <c r="G361" s="318">
        <f>G362</f>
        <v>415</v>
      </c>
      <c r="H361" s="318">
        <f>H362</f>
        <v>415</v>
      </c>
      <c r="I361" s="334"/>
      <c r="J361" s="321"/>
    </row>
    <row r="362" spans="1:10" ht="39.200000000000003" customHeight="1" x14ac:dyDescent="0.25">
      <c r="A362" s="399" t="s">
        <v>125</v>
      </c>
      <c r="B362" s="455">
        <v>903</v>
      </c>
      <c r="C362" s="402" t="s">
        <v>187</v>
      </c>
      <c r="D362" s="402" t="s">
        <v>187</v>
      </c>
      <c r="E362" s="402" t="s">
        <v>472</v>
      </c>
      <c r="F362" s="402" t="s">
        <v>126</v>
      </c>
      <c r="G362" s="318">
        <f>415-135.5+135.5</f>
        <v>415</v>
      </c>
      <c r="H362" s="318">
        <f>415-135.5+135.5</f>
        <v>415</v>
      </c>
      <c r="I362" s="334"/>
      <c r="J362" s="321"/>
    </row>
    <row r="363" spans="1:10" ht="35.450000000000003" customHeight="1" x14ac:dyDescent="0.25">
      <c r="A363" s="417" t="s">
        <v>599</v>
      </c>
      <c r="B363" s="454">
        <v>903</v>
      </c>
      <c r="C363" s="414" t="s">
        <v>187</v>
      </c>
      <c r="D363" s="414" t="s">
        <v>187</v>
      </c>
      <c r="E363" s="414" t="s">
        <v>595</v>
      </c>
      <c r="F363" s="414"/>
      <c r="G363" s="314">
        <f t="shared" ref="G363:H365" si="27">G364</f>
        <v>25</v>
      </c>
      <c r="H363" s="314">
        <f t="shared" si="27"/>
        <v>25</v>
      </c>
      <c r="I363" s="334"/>
      <c r="J363" s="321"/>
    </row>
    <row r="364" spans="1:10" ht="39.75" customHeight="1" x14ac:dyDescent="0.25">
      <c r="A364" s="480" t="s">
        <v>596</v>
      </c>
      <c r="B364" s="455">
        <v>903</v>
      </c>
      <c r="C364" s="402" t="s">
        <v>187</v>
      </c>
      <c r="D364" s="402" t="s">
        <v>187</v>
      </c>
      <c r="E364" s="402" t="s">
        <v>608</v>
      </c>
      <c r="F364" s="402"/>
      <c r="G364" s="318">
        <f t="shared" si="27"/>
        <v>25</v>
      </c>
      <c r="H364" s="318">
        <f t="shared" si="27"/>
        <v>25</v>
      </c>
      <c r="I364" s="334"/>
      <c r="J364" s="321"/>
    </row>
    <row r="365" spans="1:10" ht="17.45" customHeight="1" x14ac:dyDescent="0.25">
      <c r="A365" s="399" t="s">
        <v>177</v>
      </c>
      <c r="B365" s="455">
        <v>903</v>
      </c>
      <c r="C365" s="402" t="s">
        <v>187</v>
      </c>
      <c r="D365" s="402" t="s">
        <v>187</v>
      </c>
      <c r="E365" s="402" t="s">
        <v>608</v>
      </c>
      <c r="F365" s="402" t="s">
        <v>178</v>
      </c>
      <c r="G365" s="318">
        <f t="shared" si="27"/>
        <v>25</v>
      </c>
      <c r="H365" s="318">
        <f t="shared" si="27"/>
        <v>25</v>
      </c>
      <c r="I365" s="334"/>
      <c r="J365" s="321"/>
    </row>
    <row r="366" spans="1:10" ht="35.450000000000003" customHeight="1" x14ac:dyDescent="0.25">
      <c r="A366" s="399" t="s">
        <v>736</v>
      </c>
      <c r="B366" s="455">
        <v>903</v>
      </c>
      <c r="C366" s="402" t="s">
        <v>187</v>
      </c>
      <c r="D366" s="402" t="s">
        <v>187</v>
      </c>
      <c r="E366" s="402" t="s">
        <v>608</v>
      </c>
      <c r="F366" s="402" t="s">
        <v>735</v>
      </c>
      <c r="G366" s="318">
        <v>25</v>
      </c>
      <c r="H366" s="318">
        <v>25</v>
      </c>
      <c r="I366" s="334"/>
      <c r="J366" s="321"/>
    </row>
    <row r="367" spans="1:10" ht="21.75" hidden="1" customHeight="1" x14ac:dyDescent="0.25">
      <c r="A367" s="417" t="s">
        <v>201</v>
      </c>
      <c r="B367" s="454">
        <v>903</v>
      </c>
      <c r="C367" s="414" t="s">
        <v>187</v>
      </c>
      <c r="D367" s="414" t="s">
        <v>161</v>
      </c>
      <c r="E367" s="414"/>
      <c r="F367" s="414"/>
      <c r="G367" s="314">
        <f t="shared" ref="G367:H370" si="28">G368</f>
        <v>0</v>
      </c>
      <c r="H367" s="314">
        <f t="shared" si="28"/>
        <v>0</v>
      </c>
      <c r="I367" s="334"/>
      <c r="J367" s="321"/>
    </row>
    <row r="368" spans="1:10" ht="35.450000000000003" hidden="1" customHeight="1" x14ac:dyDescent="0.25">
      <c r="A368" s="413" t="s">
        <v>446</v>
      </c>
      <c r="B368" s="454">
        <v>903</v>
      </c>
      <c r="C368" s="414" t="s">
        <v>187</v>
      </c>
      <c r="D368" s="414" t="s">
        <v>161</v>
      </c>
      <c r="E368" s="414" t="s">
        <v>441</v>
      </c>
      <c r="F368" s="414"/>
      <c r="G368" s="314">
        <f t="shared" si="28"/>
        <v>0</v>
      </c>
      <c r="H368" s="314">
        <f t="shared" si="28"/>
        <v>0</v>
      </c>
      <c r="I368" s="334"/>
      <c r="J368" s="321"/>
    </row>
    <row r="369" spans="1:12" ht="54.4" hidden="1" customHeight="1" x14ac:dyDescent="0.25">
      <c r="A369" s="401" t="s">
        <v>1057</v>
      </c>
      <c r="B369" s="455">
        <v>903</v>
      </c>
      <c r="C369" s="402" t="s">
        <v>187</v>
      </c>
      <c r="D369" s="402" t="s">
        <v>161</v>
      </c>
      <c r="E369" s="402" t="s">
        <v>1056</v>
      </c>
      <c r="F369" s="402"/>
      <c r="G369" s="318">
        <f t="shared" si="28"/>
        <v>0</v>
      </c>
      <c r="H369" s="318">
        <f t="shared" si="28"/>
        <v>0</v>
      </c>
      <c r="I369" s="334"/>
      <c r="J369" s="321"/>
    </row>
    <row r="370" spans="1:12" ht="35.450000000000003" hidden="1" customHeight="1" x14ac:dyDescent="0.25">
      <c r="A370" s="399" t="s">
        <v>123</v>
      </c>
      <c r="B370" s="455">
        <v>903</v>
      </c>
      <c r="C370" s="402" t="s">
        <v>187</v>
      </c>
      <c r="D370" s="402" t="s">
        <v>161</v>
      </c>
      <c r="E370" s="402" t="s">
        <v>1056</v>
      </c>
      <c r="F370" s="402" t="s">
        <v>124</v>
      </c>
      <c r="G370" s="318">
        <f t="shared" si="28"/>
        <v>0</v>
      </c>
      <c r="H370" s="318">
        <f t="shared" si="28"/>
        <v>0</v>
      </c>
      <c r="I370" s="334"/>
      <c r="J370" s="321"/>
    </row>
    <row r="371" spans="1:12" ht="35.450000000000003" hidden="1" customHeight="1" x14ac:dyDescent="0.25">
      <c r="A371" s="399" t="s">
        <v>125</v>
      </c>
      <c r="B371" s="455">
        <v>903</v>
      </c>
      <c r="C371" s="402" t="s">
        <v>187</v>
      </c>
      <c r="D371" s="402" t="s">
        <v>161</v>
      </c>
      <c r="E371" s="402" t="s">
        <v>1056</v>
      </c>
      <c r="F371" s="402" t="s">
        <v>126</v>
      </c>
      <c r="G371" s="318"/>
      <c r="H371" s="318"/>
      <c r="I371" s="334"/>
      <c r="J371" s="321"/>
    </row>
    <row r="372" spans="1:12" ht="15.75" x14ac:dyDescent="0.25">
      <c r="A372" s="417" t="s">
        <v>202</v>
      </c>
      <c r="B372" s="454">
        <v>903</v>
      </c>
      <c r="C372" s="414" t="s">
        <v>203</v>
      </c>
      <c r="D372" s="414"/>
      <c r="E372" s="414"/>
      <c r="F372" s="414"/>
      <c r="G372" s="314">
        <f>G373+G455</f>
        <v>82217.399999999994</v>
      </c>
      <c r="H372" s="314">
        <f>H373+H455</f>
        <v>82221.299999999988</v>
      </c>
      <c r="I372" s="334"/>
      <c r="J372" s="321"/>
    </row>
    <row r="373" spans="1:12" ht="15.75" x14ac:dyDescent="0.25">
      <c r="A373" s="417" t="s">
        <v>204</v>
      </c>
      <c r="B373" s="454">
        <v>903</v>
      </c>
      <c r="C373" s="414" t="s">
        <v>203</v>
      </c>
      <c r="D373" s="414" t="s">
        <v>116</v>
      </c>
      <c r="E373" s="414"/>
      <c r="F373" s="414"/>
      <c r="G373" s="314">
        <f>G374+G447+G439</f>
        <v>60054.7</v>
      </c>
      <c r="H373" s="314">
        <f>H374+H447+H439</f>
        <v>60054.7</v>
      </c>
      <c r="I373" s="334"/>
      <c r="J373" s="321"/>
    </row>
    <row r="374" spans="1:12" ht="35.450000000000003" customHeight="1" x14ac:dyDescent="0.25">
      <c r="A374" s="417" t="s">
        <v>854</v>
      </c>
      <c r="B374" s="454">
        <v>903</v>
      </c>
      <c r="C374" s="414" t="s">
        <v>203</v>
      </c>
      <c r="D374" s="414" t="s">
        <v>116</v>
      </c>
      <c r="E374" s="414" t="s">
        <v>189</v>
      </c>
      <c r="F374" s="414"/>
      <c r="G374" s="314">
        <f>G375+G389+G398+G405+G414+G418+G429</f>
        <v>59166</v>
      </c>
      <c r="H374" s="314">
        <f>H375+H389+H398+H405+H414+H418+H429</f>
        <v>59166</v>
      </c>
      <c r="I374" s="334"/>
      <c r="J374" s="321"/>
    </row>
    <row r="375" spans="1:12" ht="30.2" customHeight="1" x14ac:dyDescent="0.25">
      <c r="A375" s="417" t="s">
        <v>814</v>
      </c>
      <c r="B375" s="454">
        <v>903</v>
      </c>
      <c r="C375" s="414" t="s">
        <v>203</v>
      </c>
      <c r="D375" s="414" t="s">
        <v>116</v>
      </c>
      <c r="E375" s="414" t="s">
        <v>743</v>
      </c>
      <c r="F375" s="414"/>
      <c r="G375" s="314">
        <f>G379+G386+G376</f>
        <v>55444.5</v>
      </c>
      <c r="H375" s="314">
        <f>H379+H386+H376</f>
        <v>55444.5</v>
      </c>
      <c r="I375" s="334"/>
      <c r="J375" s="321"/>
    </row>
    <row r="376" spans="1:12" ht="30.2" customHeight="1" x14ac:dyDescent="0.25">
      <c r="A376" s="399" t="s">
        <v>205</v>
      </c>
      <c r="B376" s="455">
        <v>903</v>
      </c>
      <c r="C376" s="402" t="s">
        <v>203</v>
      </c>
      <c r="D376" s="402" t="s">
        <v>116</v>
      </c>
      <c r="E376" s="402" t="s">
        <v>1192</v>
      </c>
      <c r="F376" s="402"/>
      <c r="G376" s="318">
        <f>G377</f>
        <v>30184.6</v>
      </c>
      <c r="H376" s="318">
        <f>H377</f>
        <v>30184.6</v>
      </c>
      <c r="I376" s="334"/>
      <c r="J376" s="321"/>
    </row>
    <row r="377" spans="1:12" ht="30.2" customHeight="1" x14ac:dyDescent="0.25">
      <c r="A377" s="399" t="s">
        <v>191</v>
      </c>
      <c r="B377" s="455">
        <v>903</v>
      </c>
      <c r="C377" s="402" t="s">
        <v>203</v>
      </c>
      <c r="D377" s="402" t="s">
        <v>116</v>
      </c>
      <c r="E377" s="402" t="s">
        <v>1192</v>
      </c>
      <c r="F377" s="402" t="s">
        <v>192</v>
      </c>
      <c r="G377" s="318">
        <f>G378</f>
        <v>30184.6</v>
      </c>
      <c r="H377" s="318">
        <f>H378</f>
        <v>30184.6</v>
      </c>
      <c r="I377" s="334"/>
      <c r="J377" s="321"/>
    </row>
    <row r="378" spans="1:12" ht="30.2" customHeight="1" x14ac:dyDescent="0.25">
      <c r="A378" s="399" t="s">
        <v>193</v>
      </c>
      <c r="B378" s="455">
        <v>903</v>
      </c>
      <c r="C378" s="402" t="s">
        <v>203</v>
      </c>
      <c r="D378" s="402" t="s">
        <v>116</v>
      </c>
      <c r="E378" s="402" t="s">
        <v>1192</v>
      </c>
      <c r="F378" s="402" t="s">
        <v>194</v>
      </c>
      <c r="G378" s="318">
        <f>23896+6251.6+37</f>
        <v>30184.6</v>
      </c>
      <c r="H378" s="318">
        <v>30184.6</v>
      </c>
      <c r="I378" s="334"/>
      <c r="J378" s="321"/>
    </row>
    <row r="379" spans="1:12" ht="17.45" customHeight="1" x14ac:dyDescent="0.25">
      <c r="A379" s="399" t="s">
        <v>378</v>
      </c>
      <c r="B379" s="455">
        <v>903</v>
      </c>
      <c r="C379" s="402" t="s">
        <v>203</v>
      </c>
      <c r="D379" s="402" t="s">
        <v>116</v>
      </c>
      <c r="E379" s="402" t="s">
        <v>744</v>
      </c>
      <c r="F379" s="402"/>
      <c r="G379" s="318">
        <f>G380+G382+G384</f>
        <v>25259.9</v>
      </c>
      <c r="H379" s="318">
        <f>H380+H382+H384</f>
        <v>25259.9</v>
      </c>
      <c r="I379" s="334"/>
      <c r="J379" s="321"/>
    </row>
    <row r="380" spans="1:12" ht="46.5" customHeight="1" x14ac:dyDescent="0.25">
      <c r="A380" s="399" t="s">
        <v>119</v>
      </c>
      <c r="B380" s="455">
        <v>903</v>
      </c>
      <c r="C380" s="402" t="s">
        <v>203</v>
      </c>
      <c r="D380" s="402" t="s">
        <v>116</v>
      </c>
      <c r="E380" s="402" t="s">
        <v>744</v>
      </c>
      <c r="F380" s="402" t="s">
        <v>120</v>
      </c>
      <c r="G380" s="318">
        <f>G381</f>
        <v>21278</v>
      </c>
      <c r="H380" s="318">
        <f>H381</f>
        <v>21278</v>
      </c>
      <c r="I380" s="334"/>
      <c r="J380" s="321"/>
    </row>
    <row r="381" spans="1:12" ht="21.75" customHeight="1" x14ac:dyDescent="0.25">
      <c r="A381" s="399" t="s">
        <v>155</v>
      </c>
      <c r="B381" s="455">
        <v>903</v>
      </c>
      <c r="C381" s="402" t="s">
        <v>203</v>
      </c>
      <c r="D381" s="402" t="s">
        <v>116</v>
      </c>
      <c r="E381" s="402" t="s">
        <v>744</v>
      </c>
      <c r="F381" s="402" t="s">
        <v>156</v>
      </c>
      <c r="G381" s="20">
        <f>23896+21278-23896</f>
        <v>21278</v>
      </c>
      <c r="H381" s="20">
        <f>G381</f>
        <v>21278</v>
      </c>
      <c r="I381" s="334"/>
      <c r="J381" s="334"/>
    </row>
    <row r="382" spans="1:12" ht="36.75" customHeight="1" x14ac:dyDescent="0.25">
      <c r="A382" s="399" t="s">
        <v>123</v>
      </c>
      <c r="B382" s="455">
        <v>903</v>
      </c>
      <c r="C382" s="402" t="s">
        <v>203</v>
      </c>
      <c r="D382" s="402" t="s">
        <v>116</v>
      </c>
      <c r="E382" s="402" t="s">
        <v>744</v>
      </c>
      <c r="F382" s="402" t="s">
        <v>124</v>
      </c>
      <c r="G382" s="318">
        <f>G383</f>
        <v>3955.8999999999996</v>
      </c>
      <c r="H382" s="318">
        <f>H383</f>
        <v>3955.8999999999996</v>
      </c>
      <c r="I382" s="334"/>
      <c r="J382" s="321"/>
    </row>
    <row r="383" spans="1:12" ht="33" customHeight="1" x14ac:dyDescent="0.25">
      <c r="A383" s="399" t="s">
        <v>125</v>
      </c>
      <c r="B383" s="455">
        <v>903</v>
      </c>
      <c r="C383" s="402" t="s">
        <v>203</v>
      </c>
      <c r="D383" s="402" t="s">
        <v>116</v>
      </c>
      <c r="E383" s="402" t="s">
        <v>744</v>
      </c>
      <c r="F383" s="402" t="s">
        <v>126</v>
      </c>
      <c r="G383" s="20">
        <f>6251.6+3955.9-6251.6</f>
        <v>3955.8999999999996</v>
      </c>
      <c r="H383" s="20">
        <f>6251.6+3955.9-6251.6</f>
        <v>3955.8999999999996</v>
      </c>
      <c r="I383" s="334"/>
      <c r="J383" s="321"/>
      <c r="K383" s="281"/>
      <c r="L383" s="345"/>
    </row>
    <row r="384" spans="1:12" ht="18" customHeight="1" x14ac:dyDescent="0.25">
      <c r="A384" s="399" t="s">
        <v>127</v>
      </c>
      <c r="B384" s="455">
        <v>903</v>
      </c>
      <c r="C384" s="402" t="s">
        <v>203</v>
      </c>
      <c r="D384" s="402" t="s">
        <v>116</v>
      </c>
      <c r="E384" s="402" t="s">
        <v>744</v>
      </c>
      <c r="F384" s="402" t="s">
        <v>134</v>
      </c>
      <c r="G384" s="318">
        <f>G385</f>
        <v>26</v>
      </c>
      <c r="H384" s="318">
        <f>H385</f>
        <v>26</v>
      </c>
      <c r="I384" s="334"/>
      <c r="J384" s="321"/>
    </row>
    <row r="385" spans="1:10" ht="16.5" customHeight="1" x14ac:dyDescent="0.25">
      <c r="A385" s="399" t="s">
        <v>280</v>
      </c>
      <c r="B385" s="455">
        <v>903</v>
      </c>
      <c r="C385" s="402" t="s">
        <v>203</v>
      </c>
      <c r="D385" s="402" t="s">
        <v>116</v>
      </c>
      <c r="E385" s="402" t="s">
        <v>744</v>
      </c>
      <c r="F385" s="402" t="s">
        <v>130</v>
      </c>
      <c r="G385" s="318">
        <f>37+26-37</f>
        <v>26</v>
      </c>
      <c r="H385" s="318">
        <f>37+26-37</f>
        <v>26</v>
      </c>
      <c r="I385" s="334"/>
      <c r="J385" s="334"/>
    </row>
    <row r="386" spans="1:10" ht="21.75" hidden="1" customHeight="1" x14ac:dyDescent="0.25">
      <c r="A386" s="401" t="s">
        <v>968</v>
      </c>
      <c r="B386" s="455">
        <v>903</v>
      </c>
      <c r="C386" s="402" t="s">
        <v>203</v>
      </c>
      <c r="D386" s="402" t="s">
        <v>116</v>
      </c>
      <c r="E386" s="402" t="s">
        <v>962</v>
      </c>
      <c r="F386" s="402"/>
      <c r="G386" s="318">
        <f>G387</f>
        <v>0</v>
      </c>
      <c r="H386" s="318">
        <f>H387</f>
        <v>0</v>
      </c>
      <c r="I386" s="334"/>
      <c r="J386" s="321"/>
    </row>
    <row r="387" spans="1:10" ht="60.4" hidden="1" customHeight="1" x14ac:dyDescent="0.25">
      <c r="A387" s="399" t="s">
        <v>119</v>
      </c>
      <c r="B387" s="455">
        <v>903</v>
      </c>
      <c r="C387" s="402" t="s">
        <v>203</v>
      </c>
      <c r="D387" s="402" t="s">
        <v>116</v>
      </c>
      <c r="E387" s="402" t="s">
        <v>962</v>
      </c>
      <c r="F387" s="402" t="s">
        <v>120</v>
      </c>
      <c r="G387" s="318">
        <f>G388</f>
        <v>0</v>
      </c>
      <c r="H387" s="318">
        <f>H388</f>
        <v>0</v>
      </c>
      <c r="I387" s="334"/>
      <c r="J387" s="321"/>
    </row>
    <row r="388" spans="1:10" ht="17.100000000000001" hidden="1" customHeight="1" x14ac:dyDescent="0.25">
      <c r="A388" s="399" t="s">
        <v>155</v>
      </c>
      <c r="B388" s="455">
        <v>903</v>
      </c>
      <c r="C388" s="402" t="s">
        <v>203</v>
      </c>
      <c r="D388" s="402" t="s">
        <v>116</v>
      </c>
      <c r="E388" s="402" t="s">
        <v>962</v>
      </c>
      <c r="F388" s="402" t="s">
        <v>156</v>
      </c>
      <c r="G388" s="318"/>
      <c r="H388" s="318"/>
      <c r="I388" s="334"/>
      <c r="J388" s="321"/>
    </row>
    <row r="389" spans="1:10" ht="35.450000000000003" customHeight="1" x14ac:dyDescent="0.25">
      <c r="A389" s="478" t="s">
        <v>816</v>
      </c>
      <c r="B389" s="454">
        <v>903</v>
      </c>
      <c r="C389" s="414" t="s">
        <v>203</v>
      </c>
      <c r="D389" s="414" t="s">
        <v>116</v>
      </c>
      <c r="E389" s="414" t="s">
        <v>745</v>
      </c>
      <c r="F389" s="414"/>
      <c r="G389" s="314">
        <f>G390+G395</f>
        <v>280</v>
      </c>
      <c r="H389" s="314">
        <f>H390+H395</f>
        <v>280</v>
      </c>
      <c r="I389" s="334"/>
      <c r="J389" s="321"/>
    </row>
    <row r="390" spans="1:10" ht="35.450000000000003" hidden="1" customHeight="1" x14ac:dyDescent="0.25">
      <c r="A390" s="401" t="s">
        <v>394</v>
      </c>
      <c r="B390" s="455">
        <v>903</v>
      </c>
      <c r="C390" s="402" t="s">
        <v>203</v>
      </c>
      <c r="D390" s="402" t="s">
        <v>116</v>
      </c>
      <c r="E390" s="402" t="s">
        <v>747</v>
      </c>
      <c r="F390" s="402"/>
      <c r="G390" s="20">
        <f>G393+G391</f>
        <v>0</v>
      </c>
      <c r="H390" s="20">
        <f>H393+H391</f>
        <v>0</v>
      </c>
      <c r="I390" s="334"/>
      <c r="J390" s="321"/>
    </row>
    <row r="391" spans="1:10" ht="66.2" hidden="1" customHeight="1" x14ac:dyDescent="0.25">
      <c r="A391" s="399" t="s">
        <v>119</v>
      </c>
      <c r="B391" s="455">
        <v>903</v>
      </c>
      <c r="C391" s="402" t="s">
        <v>203</v>
      </c>
      <c r="D391" s="402" t="s">
        <v>116</v>
      </c>
      <c r="E391" s="402" t="s">
        <v>747</v>
      </c>
      <c r="F391" s="402" t="s">
        <v>120</v>
      </c>
      <c r="G391" s="20">
        <f>G392</f>
        <v>0</v>
      </c>
      <c r="H391" s="20">
        <f>H392</f>
        <v>0</v>
      </c>
      <c r="I391" s="334"/>
      <c r="J391" s="321"/>
    </row>
    <row r="392" spans="1:10" ht="20.25" hidden="1" customHeight="1" x14ac:dyDescent="0.25">
      <c r="A392" s="399" t="s">
        <v>155</v>
      </c>
      <c r="B392" s="455">
        <v>903</v>
      </c>
      <c r="C392" s="402" t="s">
        <v>203</v>
      </c>
      <c r="D392" s="402" t="s">
        <v>116</v>
      </c>
      <c r="E392" s="402" t="s">
        <v>747</v>
      </c>
      <c r="F392" s="402" t="s">
        <v>156</v>
      </c>
      <c r="G392" s="20">
        <f>280-280</f>
        <v>0</v>
      </c>
      <c r="H392" s="20">
        <f>280-280</f>
        <v>0</v>
      </c>
      <c r="I392" s="334"/>
      <c r="J392" s="321"/>
    </row>
    <row r="393" spans="1:10" ht="33.75" hidden="1" customHeight="1" x14ac:dyDescent="0.25">
      <c r="A393" s="399" t="s">
        <v>123</v>
      </c>
      <c r="B393" s="455">
        <v>903</v>
      </c>
      <c r="C393" s="402" t="s">
        <v>203</v>
      </c>
      <c r="D393" s="402" t="s">
        <v>116</v>
      </c>
      <c r="E393" s="402" t="s">
        <v>747</v>
      </c>
      <c r="F393" s="402" t="s">
        <v>124</v>
      </c>
      <c r="G393" s="20">
        <f>G394</f>
        <v>0</v>
      </c>
      <c r="H393" s="20">
        <f>H394</f>
        <v>0</v>
      </c>
      <c r="I393" s="334"/>
      <c r="J393" s="321"/>
    </row>
    <row r="394" spans="1:10" ht="36.75" hidden="1" customHeight="1" x14ac:dyDescent="0.25">
      <c r="A394" s="399" t="s">
        <v>125</v>
      </c>
      <c r="B394" s="455">
        <v>903</v>
      </c>
      <c r="C394" s="402" t="s">
        <v>203</v>
      </c>
      <c r="D394" s="402" t="s">
        <v>116</v>
      </c>
      <c r="E394" s="402" t="s">
        <v>747</v>
      </c>
      <c r="F394" s="402" t="s">
        <v>126</v>
      </c>
      <c r="G394" s="20"/>
      <c r="H394" s="20"/>
      <c r="I394" s="334"/>
      <c r="J394" s="321"/>
    </row>
    <row r="395" spans="1:10" ht="31.5" x14ac:dyDescent="0.25">
      <c r="A395" s="399" t="s">
        <v>1193</v>
      </c>
      <c r="B395" s="455">
        <v>903</v>
      </c>
      <c r="C395" s="402" t="s">
        <v>203</v>
      </c>
      <c r="D395" s="402" t="s">
        <v>116</v>
      </c>
      <c r="E395" s="402" t="s">
        <v>1194</v>
      </c>
      <c r="F395" s="402"/>
      <c r="G395" s="20">
        <f>G396</f>
        <v>280</v>
      </c>
      <c r="H395" s="20">
        <f>H396</f>
        <v>280</v>
      </c>
      <c r="I395" s="334"/>
      <c r="J395" s="321"/>
    </row>
    <row r="396" spans="1:10" ht="31.5" x14ac:dyDescent="0.25">
      <c r="A396" s="399" t="s">
        <v>191</v>
      </c>
      <c r="B396" s="455">
        <v>903</v>
      </c>
      <c r="C396" s="402" t="s">
        <v>203</v>
      </c>
      <c r="D396" s="402" t="s">
        <v>116</v>
      </c>
      <c r="E396" s="402" t="s">
        <v>1194</v>
      </c>
      <c r="F396" s="402" t="s">
        <v>192</v>
      </c>
      <c r="G396" s="20">
        <f>G397</f>
        <v>280</v>
      </c>
      <c r="H396" s="20">
        <f>H397</f>
        <v>280</v>
      </c>
      <c r="I396" s="334"/>
      <c r="J396" s="321"/>
    </row>
    <row r="397" spans="1:10" ht="15.75" x14ac:dyDescent="0.25">
      <c r="A397" s="399" t="s">
        <v>193</v>
      </c>
      <c r="B397" s="455">
        <v>903</v>
      </c>
      <c r="C397" s="402" t="s">
        <v>203</v>
      </c>
      <c r="D397" s="402" t="s">
        <v>116</v>
      </c>
      <c r="E397" s="402" t="s">
        <v>1194</v>
      </c>
      <c r="F397" s="402" t="s">
        <v>194</v>
      </c>
      <c r="G397" s="20">
        <v>280</v>
      </c>
      <c r="H397" s="20">
        <v>280</v>
      </c>
      <c r="I397" s="334"/>
      <c r="J397" s="321"/>
    </row>
    <row r="398" spans="1:10" ht="36.75" customHeight="1" x14ac:dyDescent="0.25">
      <c r="A398" s="417" t="s">
        <v>514</v>
      </c>
      <c r="B398" s="454">
        <v>903</v>
      </c>
      <c r="C398" s="414" t="s">
        <v>203</v>
      </c>
      <c r="D398" s="414" t="s">
        <v>116</v>
      </c>
      <c r="E398" s="414" t="s">
        <v>748</v>
      </c>
      <c r="F398" s="414"/>
      <c r="G398" s="30">
        <f>G399+G402</f>
        <v>903</v>
      </c>
      <c r="H398" s="30">
        <f>H399+H402</f>
        <v>903</v>
      </c>
      <c r="I398" s="334"/>
      <c r="J398" s="321"/>
    </row>
    <row r="399" spans="1:10" ht="36.75" customHeight="1" x14ac:dyDescent="0.25">
      <c r="A399" s="399" t="s">
        <v>416</v>
      </c>
      <c r="B399" s="455">
        <v>903</v>
      </c>
      <c r="C399" s="402" t="s">
        <v>203</v>
      </c>
      <c r="D399" s="402" t="s">
        <v>116</v>
      </c>
      <c r="E399" s="402" t="s">
        <v>749</v>
      </c>
      <c r="F399" s="402"/>
      <c r="G399" s="318">
        <f t="shared" ref="G399:H400" si="29">G400</f>
        <v>473</v>
      </c>
      <c r="H399" s="318">
        <f t="shared" si="29"/>
        <v>473</v>
      </c>
      <c r="I399" s="334"/>
      <c r="J399" s="321"/>
    </row>
    <row r="400" spans="1:10" ht="62.45" customHeight="1" x14ac:dyDescent="0.25">
      <c r="A400" s="399" t="s">
        <v>119</v>
      </c>
      <c r="B400" s="455">
        <v>903</v>
      </c>
      <c r="C400" s="402" t="s">
        <v>203</v>
      </c>
      <c r="D400" s="402" t="s">
        <v>116</v>
      </c>
      <c r="E400" s="402" t="s">
        <v>749</v>
      </c>
      <c r="F400" s="402" t="s">
        <v>120</v>
      </c>
      <c r="G400" s="318">
        <f t="shared" si="29"/>
        <v>473</v>
      </c>
      <c r="H400" s="318">
        <f t="shared" si="29"/>
        <v>473</v>
      </c>
      <c r="I400" s="334"/>
      <c r="J400" s="321"/>
    </row>
    <row r="401" spans="1:10" ht="36.75" customHeight="1" x14ac:dyDescent="0.25">
      <c r="A401" s="399" t="s">
        <v>121</v>
      </c>
      <c r="B401" s="455">
        <v>903</v>
      </c>
      <c r="C401" s="402" t="s">
        <v>203</v>
      </c>
      <c r="D401" s="402" t="s">
        <v>116</v>
      </c>
      <c r="E401" s="402" t="s">
        <v>749</v>
      </c>
      <c r="F401" s="402" t="s">
        <v>156</v>
      </c>
      <c r="G401" s="318">
        <f>903-430</f>
        <v>473</v>
      </c>
      <c r="H401" s="318">
        <f>903-430</f>
        <v>473</v>
      </c>
      <c r="I401" s="334"/>
      <c r="J401" s="334"/>
    </row>
    <row r="402" spans="1:10" ht="31.5" x14ac:dyDescent="0.25">
      <c r="A402" s="399" t="s">
        <v>344</v>
      </c>
      <c r="B402" s="455">
        <v>903</v>
      </c>
      <c r="C402" s="402" t="s">
        <v>203</v>
      </c>
      <c r="D402" s="402" t="s">
        <v>116</v>
      </c>
      <c r="E402" s="402" t="s">
        <v>1195</v>
      </c>
      <c r="F402" s="402"/>
      <c r="G402" s="318">
        <f>G403</f>
        <v>430</v>
      </c>
      <c r="H402" s="318">
        <f>H403</f>
        <v>430</v>
      </c>
      <c r="I402" s="334"/>
      <c r="J402" s="334"/>
    </row>
    <row r="403" spans="1:10" ht="31.5" x14ac:dyDescent="0.25">
      <c r="A403" s="399" t="s">
        <v>191</v>
      </c>
      <c r="B403" s="455">
        <v>903</v>
      </c>
      <c r="C403" s="402" t="s">
        <v>203</v>
      </c>
      <c r="D403" s="402" t="s">
        <v>116</v>
      </c>
      <c r="E403" s="402" t="s">
        <v>1195</v>
      </c>
      <c r="F403" s="402" t="s">
        <v>192</v>
      </c>
      <c r="G403" s="318">
        <f>G404</f>
        <v>430</v>
      </c>
      <c r="H403" s="318">
        <f>H404</f>
        <v>430</v>
      </c>
      <c r="I403" s="334"/>
      <c r="J403" s="334"/>
    </row>
    <row r="404" spans="1:10" ht="15.75" x14ac:dyDescent="0.25">
      <c r="A404" s="399" t="s">
        <v>193</v>
      </c>
      <c r="B404" s="455">
        <v>903</v>
      </c>
      <c r="C404" s="402" t="s">
        <v>203</v>
      </c>
      <c r="D404" s="402" t="s">
        <v>116</v>
      </c>
      <c r="E404" s="402" t="s">
        <v>1195</v>
      </c>
      <c r="F404" s="402" t="s">
        <v>194</v>
      </c>
      <c r="G404" s="318">
        <v>430</v>
      </c>
      <c r="H404" s="318">
        <v>430</v>
      </c>
      <c r="I404" s="334"/>
      <c r="J404" s="334"/>
    </row>
    <row r="405" spans="1:10" ht="36.75" customHeight="1" x14ac:dyDescent="0.25">
      <c r="A405" s="483" t="s">
        <v>471</v>
      </c>
      <c r="B405" s="454">
        <v>903</v>
      </c>
      <c r="C405" s="414" t="s">
        <v>203</v>
      </c>
      <c r="D405" s="414" t="s">
        <v>116</v>
      </c>
      <c r="E405" s="414" t="s">
        <v>750</v>
      </c>
      <c r="F405" s="414"/>
      <c r="G405" s="314">
        <f>G406+G411</f>
        <v>2485</v>
      </c>
      <c r="H405" s="314">
        <f>H406+H411</f>
        <v>2485</v>
      </c>
      <c r="I405" s="334"/>
      <c r="J405" s="321"/>
    </row>
    <row r="406" spans="1:10" ht="87" customHeight="1" x14ac:dyDescent="0.25">
      <c r="A406" s="401" t="s">
        <v>200</v>
      </c>
      <c r="B406" s="455">
        <v>903</v>
      </c>
      <c r="C406" s="402" t="s">
        <v>203</v>
      </c>
      <c r="D406" s="402" t="s">
        <v>116</v>
      </c>
      <c r="E406" s="402" t="s">
        <v>897</v>
      </c>
      <c r="F406" s="402"/>
      <c r="G406" s="318">
        <f>G407+G409</f>
        <v>2100.5</v>
      </c>
      <c r="H406" s="318">
        <f>H407+H409</f>
        <v>2100.5</v>
      </c>
      <c r="I406" s="334"/>
      <c r="J406" s="321"/>
    </row>
    <row r="407" spans="1:10" ht="66.599999999999994" customHeight="1" x14ac:dyDescent="0.25">
      <c r="A407" s="399" t="s">
        <v>119</v>
      </c>
      <c r="B407" s="455">
        <v>903</v>
      </c>
      <c r="C407" s="402" t="s">
        <v>203</v>
      </c>
      <c r="D407" s="402" t="s">
        <v>116</v>
      </c>
      <c r="E407" s="402" t="s">
        <v>897</v>
      </c>
      <c r="F407" s="402" t="s">
        <v>120</v>
      </c>
      <c r="G407" s="318">
        <f>G408</f>
        <v>1204.3</v>
      </c>
      <c r="H407" s="318">
        <f>H408</f>
        <v>1204.3</v>
      </c>
      <c r="I407" s="334"/>
      <c r="J407" s="321"/>
    </row>
    <row r="408" spans="1:10" ht="21.75" customHeight="1" x14ac:dyDescent="0.25">
      <c r="A408" s="399" t="s">
        <v>155</v>
      </c>
      <c r="B408" s="455">
        <v>903</v>
      </c>
      <c r="C408" s="402" t="s">
        <v>203</v>
      </c>
      <c r="D408" s="402" t="s">
        <v>116</v>
      </c>
      <c r="E408" s="402" t="s">
        <v>897</v>
      </c>
      <c r="F408" s="402" t="s">
        <v>156</v>
      </c>
      <c r="G408" s="318">
        <f>2100.5-895.9-0.3</f>
        <v>1204.3</v>
      </c>
      <c r="H408" s="318">
        <f>2100.5-895.9-0.3</f>
        <v>1204.3</v>
      </c>
      <c r="I408" s="334" t="s">
        <v>1343</v>
      </c>
      <c r="J408" s="321"/>
    </row>
    <row r="409" spans="1:10" ht="26.45" customHeight="1" x14ac:dyDescent="0.25">
      <c r="A409" s="399" t="s">
        <v>191</v>
      </c>
      <c r="B409" s="455">
        <v>903</v>
      </c>
      <c r="C409" s="402" t="s">
        <v>203</v>
      </c>
      <c r="D409" s="402" t="s">
        <v>116</v>
      </c>
      <c r="E409" s="402" t="s">
        <v>897</v>
      </c>
      <c r="F409" s="402" t="s">
        <v>192</v>
      </c>
      <c r="G409" s="318">
        <f>G410</f>
        <v>896.19999999999993</v>
      </c>
      <c r="H409" s="318">
        <f>H410</f>
        <v>896.19999999999993</v>
      </c>
      <c r="I409" s="334"/>
      <c r="J409" s="321"/>
    </row>
    <row r="410" spans="1:10" ht="21.75" customHeight="1" x14ac:dyDescent="0.25">
      <c r="A410" s="399" t="s">
        <v>193</v>
      </c>
      <c r="B410" s="455">
        <v>903</v>
      </c>
      <c r="C410" s="402" t="s">
        <v>203</v>
      </c>
      <c r="D410" s="402" t="s">
        <v>116</v>
      </c>
      <c r="E410" s="402" t="s">
        <v>897</v>
      </c>
      <c r="F410" s="402" t="s">
        <v>194</v>
      </c>
      <c r="G410" s="318">
        <f>895.9+0.3</f>
        <v>896.19999999999993</v>
      </c>
      <c r="H410" s="318">
        <f>895.9+0.3</f>
        <v>896.19999999999993</v>
      </c>
      <c r="I410" s="334" t="s">
        <v>1344</v>
      </c>
      <c r="J410" s="321"/>
    </row>
    <row r="411" spans="1:10" ht="69" customHeight="1" x14ac:dyDescent="0.25">
      <c r="A411" s="399" t="s">
        <v>207</v>
      </c>
      <c r="B411" s="455">
        <v>903</v>
      </c>
      <c r="C411" s="402" t="s">
        <v>203</v>
      </c>
      <c r="D411" s="402" t="s">
        <v>116</v>
      </c>
      <c r="E411" s="402" t="s">
        <v>808</v>
      </c>
      <c r="F411" s="402"/>
      <c r="G411" s="318">
        <f>G412</f>
        <v>384.5</v>
      </c>
      <c r="H411" s="318">
        <f>H412</f>
        <v>384.5</v>
      </c>
      <c r="I411" s="334"/>
      <c r="J411" s="321"/>
    </row>
    <row r="412" spans="1:10" ht="72" customHeight="1" x14ac:dyDescent="0.25">
      <c r="A412" s="399" t="s">
        <v>119</v>
      </c>
      <c r="B412" s="455">
        <v>903</v>
      </c>
      <c r="C412" s="402" t="s">
        <v>203</v>
      </c>
      <c r="D412" s="402" t="s">
        <v>116</v>
      </c>
      <c r="E412" s="402" t="s">
        <v>808</v>
      </c>
      <c r="F412" s="402" t="s">
        <v>120</v>
      </c>
      <c r="G412" s="318">
        <f>G413</f>
        <v>384.5</v>
      </c>
      <c r="H412" s="318">
        <f>H413</f>
        <v>384.5</v>
      </c>
      <c r="I412" s="334"/>
      <c r="J412" s="321"/>
    </row>
    <row r="413" spans="1:10" ht="19.5" customHeight="1" x14ac:dyDescent="0.25">
      <c r="A413" s="399" t="s">
        <v>155</v>
      </c>
      <c r="B413" s="455">
        <v>903</v>
      </c>
      <c r="C413" s="402" t="s">
        <v>203</v>
      </c>
      <c r="D413" s="402" t="s">
        <v>116</v>
      </c>
      <c r="E413" s="402" t="s">
        <v>808</v>
      </c>
      <c r="F413" s="402" t="s">
        <v>156</v>
      </c>
      <c r="G413" s="318">
        <v>384.5</v>
      </c>
      <c r="H413" s="318">
        <v>384.5</v>
      </c>
      <c r="I413" s="334"/>
      <c r="J413" s="321"/>
    </row>
    <row r="414" spans="1:10" ht="33" customHeight="1" x14ac:dyDescent="0.25">
      <c r="A414" s="417" t="s">
        <v>473</v>
      </c>
      <c r="B414" s="454">
        <v>903</v>
      </c>
      <c r="C414" s="414" t="s">
        <v>203</v>
      </c>
      <c r="D414" s="414" t="s">
        <v>116</v>
      </c>
      <c r="E414" s="414" t="s">
        <v>753</v>
      </c>
      <c r="F414" s="414"/>
      <c r="G414" s="314">
        <f t="shared" ref="G414:H416" si="30">G415</f>
        <v>50</v>
      </c>
      <c r="H414" s="314">
        <f t="shared" si="30"/>
        <v>50</v>
      </c>
      <c r="I414" s="334"/>
      <c r="J414" s="321"/>
    </row>
    <row r="415" spans="1:10" ht="32.25" customHeight="1" x14ac:dyDescent="0.25">
      <c r="A415" s="399" t="s">
        <v>399</v>
      </c>
      <c r="B415" s="455">
        <v>903</v>
      </c>
      <c r="C415" s="402" t="s">
        <v>203</v>
      </c>
      <c r="D415" s="402" t="s">
        <v>116</v>
      </c>
      <c r="E415" s="402" t="s">
        <v>754</v>
      </c>
      <c r="F415" s="402"/>
      <c r="G415" s="318">
        <f t="shared" si="30"/>
        <v>50</v>
      </c>
      <c r="H415" s="318">
        <f t="shared" si="30"/>
        <v>50</v>
      </c>
      <c r="I415" s="334"/>
      <c r="J415" s="321"/>
    </row>
    <row r="416" spans="1:10" ht="33.75" customHeight="1" x14ac:dyDescent="0.25">
      <c r="A416" s="399" t="s">
        <v>123</v>
      </c>
      <c r="B416" s="455">
        <v>903</v>
      </c>
      <c r="C416" s="402" t="s">
        <v>203</v>
      </c>
      <c r="D416" s="402" t="s">
        <v>116</v>
      </c>
      <c r="E416" s="402" t="s">
        <v>754</v>
      </c>
      <c r="F416" s="402" t="s">
        <v>124</v>
      </c>
      <c r="G416" s="318">
        <f t="shared" si="30"/>
        <v>50</v>
      </c>
      <c r="H416" s="318">
        <f t="shared" si="30"/>
        <v>50</v>
      </c>
      <c r="I416" s="334"/>
      <c r="J416" s="321"/>
    </row>
    <row r="417" spans="1:10" ht="31.7" customHeight="1" x14ac:dyDescent="0.25">
      <c r="A417" s="399" t="s">
        <v>125</v>
      </c>
      <c r="B417" s="455">
        <v>903</v>
      </c>
      <c r="C417" s="402" t="s">
        <v>203</v>
      </c>
      <c r="D417" s="402" t="s">
        <v>116</v>
      </c>
      <c r="E417" s="402" t="s">
        <v>754</v>
      </c>
      <c r="F417" s="402" t="s">
        <v>126</v>
      </c>
      <c r="G417" s="318">
        <v>50</v>
      </c>
      <c r="H417" s="318">
        <v>50</v>
      </c>
      <c r="I417" s="334"/>
      <c r="J417" s="321"/>
    </row>
    <row r="418" spans="1:10" ht="21.2" customHeight="1" x14ac:dyDescent="0.25">
      <c r="A418" s="417" t="s">
        <v>573</v>
      </c>
      <c r="B418" s="454">
        <v>903</v>
      </c>
      <c r="C418" s="414" t="s">
        <v>203</v>
      </c>
      <c r="D418" s="414" t="s">
        <v>116</v>
      </c>
      <c r="E418" s="414" t="s">
        <v>755</v>
      </c>
      <c r="F418" s="414"/>
      <c r="G418" s="314">
        <f>G419+G422</f>
        <v>3.5</v>
      </c>
      <c r="H418" s="314">
        <f>H419+H422</f>
        <v>3.5</v>
      </c>
      <c r="I418" s="334"/>
      <c r="J418" s="321"/>
    </row>
    <row r="419" spans="1:10" ht="31.5" x14ac:dyDescent="0.25">
      <c r="A419" s="399" t="s">
        <v>963</v>
      </c>
      <c r="B419" s="455">
        <v>903</v>
      </c>
      <c r="C419" s="402" t="s">
        <v>203</v>
      </c>
      <c r="D419" s="402" t="s">
        <v>116</v>
      </c>
      <c r="E419" s="402" t="s">
        <v>756</v>
      </c>
      <c r="F419" s="402"/>
      <c r="G419" s="318">
        <f t="shared" ref="G419:H420" si="31">G420</f>
        <v>3.5</v>
      </c>
      <c r="H419" s="318">
        <f t="shared" si="31"/>
        <v>3.5</v>
      </c>
      <c r="I419" s="334"/>
      <c r="J419" s="321"/>
    </row>
    <row r="420" spans="1:10" ht="31.5" x14ac:dyDescent="0.25">
      <c r="A420" s="399" t="s">
        <v>123</v>
      </c>
      <c r="B420" s="455">
        <v>903</v>
      </c>
      <c r="C420" s="402" t="s">
        <v>203</v>
      </c>
      <c r="D420" s="402" t="s">
        <v>116</v>
      </c>
      <c r="E420" s="402" t="s">
        <v>756</v>
      </c>
      <c r="F420" s="402" t="s">
        <v>124</v>
      </c>
      <c r="G420" s="318">
        <f t="shared" si="31"/>
        <v>3.5</v>
      </c>
      <c r="H420" s="318">
        <f t="shared" si="31"/>
        <v>3.5</v>
      </c>
      <c r="I420" s="334"/>
      <c r="J420" s="321"/>
    </row>
    <row r="421" spans="1:10" ht="31.5" x14ac:dyDescent="0.25">
      <c r="A421" s="399" t="s">
        <v>125</v>
      </c>
      <c r="B421" s="455">
        <v>903</v>
      </c>
      <c r="C421" s="402" t="s">
        <v>203</v>
      </c>
      <c r="D421" s="402" t="s">
        <v>116</v>
      </c>
      <c r="E421" s="402" t="s">
        <v>756</v>
      </c>
      <c r="F421" s="402" t="s">
        <v>126</v>
      </c>
      <c r="G421" s="318">
        <v>3.5</v>
      </c>
      <c r="H421" s="318">
        <v>3.5</v>
      </c>
      <c r="I421" s="334"/>
      <c r="J421" s="321"/>
    </row>
    <row r="422" spans="1:10" ht="21.6" hidden="1" customHeight="1" x14ac:dyDescent="0.25">
      <c r="A422" s="399" t="s">
        <v>1137</v>
      </c>
      <c r="B422" s="455">
        <v>903</v>
      </c>
      <c r="C422" s="402" t="s">
        <v>203</v>
      </c>
      <c r="D422" s="402" t="s">
        <v>116</v>
      </c>
      <c r="E422" s="402" t="s">
        <v>1138</v>
      </c>
      <c r="F422" s="402"/>
      <c r="G422" s="318">
        <f>G423</f>
        <v>0</v>
      </c>
      <c r="H422" s="318">
        <f>H423</f>
        <v>0</v>
      </c>
      <c r="I422" s="334"/>
      <c r="J422" s="321"/>
    </row>
    <row r="423" spans="1:10" ht="31.5" hidden="1" x14ac:dyDescent="0.25">
      <c r="A423" s="399" t="s">
        <v>123</v>
      </c>
      <c r="B423" s="455">
        <v>903</v>
      </c>
      <c r="C423" s="402" t="s">
        <v>203</v>
      </c>
      <c r="D423" s="402" t="s">
        <v>116</v>
      </c>
      <c r="E423" s="402" t="s">
        <v>1138</v>
      </c>
      <c r="F423" s="402" t="s">
        <v>124</v>
      </c>
      <c r="G423" s="318">
        <f>G424</f>
        <v>0</v>
      </c>
      <c r="H423" s="318">
        <f>H424</f>
        <v>0</v>
      </c>
      <c r="I423" s="334"/>
      <c r="J423" s="321"/>
    </row>
    <row r="424" spans="1:10" ht="31.5" hidden="1" x14ac:dyDescent="0.25">
      <c r="A424" s="399" t="s">
        <v>125</v>
      </c>
      <c r="B424" s="455">
        <v>903</v>
      </c>
      <c r="C424" s="402" t="s">
        <v>203</v>
      </c>
      <c r="D424" s="402" t="s">
        <v>116</v>
      </c>
      <c r="E424" s="402" t="s">
        <v>1138</v>
      </c>
      <c r="F424" s="402" t="s">
        <v>126</v>
      </c>
      <c r="G424" s="318"/>
      <c r="H424" s="318"/>
      <c r="I424" s="334"/>
      <c r="J424" s="321"/>
    </row>
    <row r="425" spans="1:10" ht="31.5" hidden="1" x14ac:dyDescent="0.25">
      <c r="A425" s="413" t="s">
        <v>1039</v>
      </c>
      <c r="B425" s="454">
        <v>903</v>
      </c>
      <c r="C425" s="414" t="s">
        <v>203</v>
      </c>
      <c r="D425" s="414" t="s">
        <v>116</v>
      </c>
      <c r="E425" s="414" t="s">
        <v>1041</v>
      </c>
      <c r="F425" s="414"/>
      <c r="G425" s="314">
        <f t="shared" ref="G425:H427" si="32">G426</f>
        <v>0</v>
      </c>
      <c r="H425" s="314">
        <f t="shared" si="32"/>
        <v>0</v>
      </c>
      <c r="I425" s="334"/>
      <c r="J425" s="321"/>
    </row>
    <row r="426" spans="1:10" ht="47.25" hidden="1" x14ac:dyDescent="0.25">
      <c r="A426" s="401" t="s">
        <v>1040</v>
      </c>
      <c r="B426" s="455">
        <v>903</v>
      </c>
      <c r="C426" s="402" t="s">
        <v>203</v>
      </c>
      <c r="D426" s="402" t="s">
        <v>116</v>
      </c>
      <c r="E426" s="402" t="s">
        <v>1042</v>
      </c>
      <c r="F426" s="402"/>
      <c r="G426" s="318">
        <f t="shared" si="32"/>
        <v>0</v>
      </c>
      <c r="H426" s="318">
        <f t="shared" si="32"/>
        <v>0</v>
      </c>
      <c r="I426" s="334"/>
      <c r="J426" s="321"/>
    </row>
    <row r="427" spans="1:10" ht="31.5" hidden="1" x14ac:dyDescent="0.25">
      <c r="A427" s="399" t="s">
        <v>123</v>
      </c>
      <c r="B427" s="455">
        <v>903</v>
      </c>
      <c r="C427" s="402" t="s">
        <v>203</v>
      </c>
      <c r="D427" s="402" t="s">
        <v>116</v>
      </c>
      <c r="E427" s="402" t="s">
        <v>1042</v>
      </c>
      <c r="F427" s="402" t="s">
        <v>124</v>
      </c>
      <c r="G427" s="318">
        <f t="shared" si="32"/>
        <v>0</v>
      </c>
      <c r="H427" s="318">
        <f t="shared" si="32"/>
        <v>0</v>
      </c>
      <c r="I427" s="334"/>
      <c r="J427" s="321"/>
    </row>
    <row r="428" spans="1:10" ht="31.5" hidden="1" x14ac:dyDescent="0.25">
      <c r="A428" s="399" t="s">
        <v>125</v>
      </c>
      <c r="B428" s="455">
        <v>903</v>
      </c>
      <c r="C428" s="402" t="s">
        <v>203</v>
      </c>
      <c r="D428" s="402" t="s">
        <v>116</v>
      </c>
      <c r="E428" s="402" t="s">
        <v>1042</v>
      </c>
      <c r="F428" s="402" t="s">
        <v>126</v>
      </c>
      <c r="G428" s="318">
        <f>1500-1500</f>
        <v>0</v>
      </c>
      <c r="H428" s="318">
        <f>1500-1500</f>
        <v>0</v>
      </c>
      <c r="I428" s="334"/>
      <c r="J428" s="321"/>
    </row>
    <row r="429" spans="1:10" ht="31.5" hidden="1" x14ac:dyDescent="0.25">
      <c r="A429" s="465" t="s">
        <v>725</v>
      </c>
      <c r="B429" s="454">
        <v>903</v>
      </c>
      <c r="C429" s="414" t="s">
        <v>203</v>
      </c>
      <c r="D429" s="414" t="s">
        <v>116</v>
      </c>
      <c r="E429" s="414" t="s">
        <v>751</v>
      </c>
      <c r="F429" s="414"/>
      <c r="G429" s="314">
        <f>G436+G433+G430</f>
        <v>0</v>
      </c>
      <c r="H429" s="314">
        <f>H436+H433+H430</f>
        <v>0</v>
      </c>
      <c r="I429" s="334"/>
      <c r="J429" s="321"/>
    </row>
    <row r="430" spans="1:10" ht="31.5" hidden="1" x14ac:dyDescent="0.25">
      <c r="A430" s="484" t="s">
        <v>1103</v>
      </c>
      <c r="B430" s="455">
        <v>903</v>
      </c>
      <c r="C430" s="402" t="s">
        <v>203</v>
      </c>
      <c r="D430" s="402" t="s">
        <v>116</v>
      </c>
      <c r="E430" s="402" t="s">
        <v>1102</v>
      </c>
      <c r="F430" s="402"/>
      <c r="G430" s="318">
        <f>G431</f>
        <v>0</v>
      </c>
      <c r="H430" s="318">
        <f>H431</f>
        <v>0</v>
      </c>
      <c r="I430" s="334"/>
      <c r="J430" s="321"/>
    </row>
    <row r="431" spans="1:10" ht="31.5" hidden="1" x14ac:dyDescent="0.25">
      <c r="A431" s="399" t="s">
        <v>123</v>
      </c>
      <c r="B431" s="455">
        <v>903</v>
      </c>
      <c r="C431" s="402" t="s">
        <v>203</v>
      </c>
      <c r="D431" s="402" t="s">
        <v>116</v>
      </c>
      <c r="E431" s="402" t="s">
        <v>1102</v>
      </c>
      <c r="F431" s="402" t="s">
        <v>124</v>
      </c>
      <c r="G431" s="318">
        <f>G432</f>
        <v>0</v>
      </c>
      <c r="H431" s="318">
        <f>H432</f>
        <v>0</v>
      </c>
      <c r="I431" s="334"/>
      <c r="J431" s="321"/>
    </row>
    <row r="432" spans="1:10" ht="31.5" hidden="1" x14ac:dyDescent="0.25">
      <c r="A432" s="399" t="s">
        <v>125</v>
      </c>
      <c r="B432" s="455">
        <v>903</v>
      </c>
      <c r="C432" s="402" t="s">
        <v>203</v>
      </c>
      <c r="D432" s="402" t="s">
        <v>116</v>
      </c>
      <c r="E432" s="402" t="s">
        <v>1102</v>
      </c>
      <c r="F432" s="402" t="s">
        <v>126</v>
      </c>
      <c r="G432" s="314"/>
      <c r="H432" s="314"/>
      <c r="I432" s="334"/>
      <c r="J432" s="321"/>
    </row>
    <row r="433" spans="1:10" ht="15.75" hidden="1" x14ac:dyDescent="0.25">
      <c r="A433" s="485" t="s">
        <v>1134</v>
      </c>
      <c r="B433" s="455">
        <v>903</v>
      </c>
      <c r="C433" s="402" t="s">
        <v>203</v>
      </c>
      <c r="D433" s="402" t="s">
        <v>116</v>
      </c>
      <c r="E433" s="402" t="s">
        <v>1135</v>
      </c>
      <c r="F433" s="414"/>
      <c r="G433" s="314">
        <f>G434</f>
        <v>0</v>
      </c>
      <c r="H433" s="314">
        <f>H434</f>
        <v>0</v>
      </c>
      <c r="I433" s="334"/>
      <c r="J433" s="321"/>
    </row>
    <row r="434" spans="1:10" ht="31.5" hidden="1" x14ac:dyDescent="0.25">
      <c r="A434" s="399" t="s">
        <v>123</v>
      </c>
      <c r="B434" s="455">
        <v>903</v>
      </c>
      <c r="C434" s="402" t="s">
        <v>203</v>
      </c>
      <c r="D434" s="402" t="s">
        <v>116</v>
      </c>
      <c r="E434" s="402" t="s">
        <v>1135</v>
      </c>
      <c r="F434" s="402" t="s">
        <v>124</v>
      </c>
      <c r="G434" s="318">
        <f>G435</f>
        <v>0</v>
      </c>
      <c r="H434" s="318">
        <f>H435</f>
        <v>0</v>
      </c>
      <c r="I434" s="334"/>
      <c r="J434" s="321"/>
    </row>
    <row r="435" spans="1:10" ht="31.5" hidden="1" x14ac:dyDescent="0.25">
      <c r="A435" s="399" t="s">
        <v>125</v>
      </c>
      <c r="B435" s="455">
        <v>903</v>
      </c>
      <c r="C435" s="402" t="s">
        <v>203</v>
      </c>
      <c r="D435" s="402" t="s">
        <v>116</v>
      </c>
      <c r="E435" s="402" t="s">
        <v>1135</v>
      </c>
      <c r="F435" s="402" t="s">
        <v>126</v>
      </c>
      <c r="G435" s="318"/>
      <c r="H435" s="318"/>
      <c r="I435" s="334"/>
      <c r="J435" s="321"/>
    </row>
    <row r="436" spans="1:10" ht="15.75" hidden="1" x14ac:dyDescent="0.25">
      <c r="A436" s="466" t="s">
        <v>727</v>
      </c>
      <c r="B436" s="455">
        <v>903</v>
      </c>
      <c r="C436" s="402" t="s">
        <v>203</v>
      </c>
      <c r="D436" s="402" t="s">
        <v>116</v>
      </c>
      <c r="E436" s="402" t="s">
        <v>752</v>
      </c>
      <c r="F436" s="402"/>
      <c r="G436" s="318">
        <f t="shared" ref="G436:H437" si="33">G437</f>
        <v>0</v>
      </c>
      <c r="H436" s="318">
        <f t="shared" si="33"/>
        <v>0</v>
      </c>
      <c r="I436" s="334"/>
      <c r="J436" s="321"/>
    </row>
    <row r="437" spans="1:10" ht="31.5" hidden="1" x14ac:dyDescent="0.25">
      <c r="A437" s="399" t="s">
        <v>123</v>
      </c>
      <c r="B437" s="455">
        <v>903</v>
      </c>
      <c r="C437" s="402" t="s">
        <v>203</v>
      </c>
      <c r="D437" s="402" t="s">
        <v>116</v>
      </c>
      <c r="E437" s="402" t="s">
        <v>752</v>
      </c>
      <c r="F437" s="402" t="s">
        <v>124</v>
      </c>
      <c r="G437" s="318">
        <f t="shared" si="33"/>
        <v>0</v>
      </c>
      <c r="H437" s="318">
        <f t="shared" si="33"/>
        <v>0</v>
      </c>
      <c r="I437" s="334"/>
      <c r="J437" s="321"/>
    </row>
    <row r="438" spans="1:10" ht="31.5" hidden="1" x14ac:dyDescent="0.25">
      <c r="A438" s="399" t="s">
        <v>125</v>
      </c>
      <c r="B438" s="455">
        <v>903</v>
      </c>
      <c r="C438" s="402" t="s">
        <v>203</v>
      </c>
      <c r="D438" s="402" t="s">
        <v>116</v>
      </c>
      <c r="E438" s="402" t="s">
        <v>752</v>
      </c>
      <c r="F438" s="402" t="s">
        <v>126</v>
      </c>
      <c r="G438" s="318"/>
      <c r="H438" s="318"/>
      <c r="I438" s="334"/>
      <c r="J438" s="321"/>
    </row>
    <row r="439" spans="1:10" ht="47.25" x14ac:dyDescent="0.25">
      <c r="A439" s="413" t="s">
        <v>922</v>
      </c>
      <c r="B439" s="454">
        <v>903</v>
      </c>
      <c r="C439" s="414" t="s">
        <v>203</v>
      </c>
      <c r="D439" s="414" t="s">
        <v>116</v>
      </c>
      <c r="E439" s="414" t="s">
        <v>206</v>
      </c>
      <c r="F439" s="414"/>
      <c r="G439" s="314">
        <f>G440</f>
        <v>10</v>
      </c>
      <c r="H439" s="314">
        <f>H440</f>
        <v>10</v>
      </c>
      <c r="I439" s="334"/>
      <c r="J439" s="321"/>
    </row>
    <row r="440" spans="1:10" ht="47.25" x14ac:dyDescent="0.25">
      <c r="A440" s="413" t="s">
        <v>588</v>
      </c>
      <c r="B440" s="454">
        <v>903</v>
      </c>
      <c r="C440" s="414" t="s">
        <v>203</v>
      </c>
      <c r="D440" s="414" t="s">
        <v>116</v>
      </c>
      <c r="E440" s="414" t="s">
        <v>504</v>
      </c>
      <c r="F440" s="414"/>
      <c r="G440" s="314">
        <f>G443+G444</f>
        <v>10</v>
      </c>
      <c r="H440" s="314">
        <f>H443+H444</f>
        <v>10</v>
      </c>
      <c r="I440" s="334"/>
      <c r="J440" s="321"/>
    </row>
    <row r="441" spans="1:10" ht="47.25" x14ac:dyDescent="0.25">
      <c r="A441" s="401" t="s">
        <v>634</v>
      </c>
      <c r="B441" s="455">
        <v>903</v>
      </c>
      <c r="C441" s="402" t="s">
        <v>203</v>
      </c>
      <c r="D441" s="402" t="s">
        <v>116</v>
      </c>
      <c r="E441" s="402" t="s">
        <v>589</v>
      </c>
      <c r="F441" s="402"/>
      <c r="G441" s="318">
        <f>G442</f>
        <v>4</v>
      </c>
      <c r="H441" s="318">
        <f>H442</f>
        <v>4</v>
      </c>
      <c r="I441" s="334"/>
      <c r="J441" s="321"/>
    </row>
    <row r="442" spans="1:10" ht="31.5" x14ac:dyDescent="0.25">
      <c r="A442" s="399" t="s">
        <v>123</v>
      </c>
      <c r="B442" s="455">
        <v>903</v>
      </c>
      <c r="C442" s="402" t="s">
        <v>203</v>
      </c>
      <c r="D442" s="402" t="s">
        <v>116</v>
      </c>
      <c r="E442" s="402" t="s">
        <v>589</v>
      </c>
      <c r="F442" s="402" t="s">
        <v>124</v>
      </c>
      <c r="G442" s="318">
        <f>G443</f>
        <v>4</v>
      </c>
      <c r="H442" s="318">
        <f>H443</f>
        <v>4</v>
      </c>
      <c r="I442" s="334"/>
      <c r="J442" s="321"/>
    </row>
    <row r="443" spans="1:10" ht="31.5" x14ac:dyDescent="0.25">
      <c r="A443" s="399" t="s">
        <v>125</v>
      </c>
      <c r="B443" s="455">
        <v>903</v>
      </c>
      <c r="C443" s="402" t="s">
        <v>203</v>
      </c>
      <c r="D443" s="402" t="s">
        <v>116</v>
      </c>
      <c r="E443" s="402" t="s">
        <v>589</v>
      </c>
      <c r="F443" s="402" t="s">
        <v>126</v>
      </c>
      <c r="G443" s="318">
        <f>10-6</f>
        <v>4</v>
      </c>
      <c r="H443" s="318">
        <f>10-6</f>
        <v>4</v>
      </c>
      <c r="I443" s="334"/>
      <c r="J443" s="321"/>
    </row>
    <row r="444" spans="1:10" ht="47.25" x14ac:dyDescent="0.25">
      <c r="A444" s="399" t="s">
        <v>571</v>
      </c>
      <c r="B444" s="455">
        <v>903</v>
      </c>
      <c r="C444" s="402" t="s">
        <v>203</v>
      </c>
      <c r="D444" s="402" t="s">
        <v>116</v>
      </c>
      <c r="E444" s="402" t="s">
        <v>505</v>
      </c>
      <c r="F444" s="402"/>
      <c r="G444" s="318">
        <f>G445</f>
        <v>6</v>
      </c>
      <c r="H444" s="318">
        <f>H445</f>
        <v>6</v>
      </c>
      <c r="I444" s="334"/>
      <c r="J444" s="321"/>
    </row>
    <row r="445" spans="1:10" ht="31.5" x14ac:dyDescent="0.25">
      <c r="A445" s="399" t="s">
        <v>191</v>
      </c>
      <c r="B445" s="455">
        <v>903</v>
      </c>
      <c r="C445" s="402" t="s">
        <v>203</v>
      </c>
      <c r="D445" s="402" t="s">
        <v>116</v>
      </c>
      <c r="E445" s="402" t="s">
        <v>505</v>
      </c>
      <c r="F445" s="402" t="s">
        <v>192</v>
      </c>
      <c r="G445" s="318">
        <f>G446</f>
        <v>6</v>
      </c>
      <c r="H445" s="318">
        <f>H446</f>
        <v>6</v>
      </c>
      <c r="I445" s="334"/>
      <c r="J445" s="321"/>
    </row>
    <row r="446" spans="1:10" ht="15.75" x14ac:dyDescent="0.25">
      <c r="A446" s="399" t="s">
        <v>193</v>
      </c>
      <c r="B446" s="455">
        <v>903</v>
      </c>
      <c r="C446" s="402" t="s">
        <v>203</v>
      </c>
      <c r="D446" s="402" t="s">
        <v>116</v>
      </c>
      <c r="E446" s="402" t="s">
        <v>505</v>
      </c>
      <c r="F446" s="402" t="s">
        <v>194</v>
      </c>
      <c r="G446" s="318">
        <v>6</v>
      </c>
      <c r="H446" s="318">
        <v>6</v>
      </c>
      <c r="I446" s="334"/>
      <c r="J446" s="321"/>
    </row>
    <row r="447" spans="1:10" ht="47.25" x14ac:dyDescent="0.25">
      <c r="A447" s="463" t="s">
        <v>844</v>
      </c>
      <c r="B447" s="454">
        <v>903</v>
      </c>
      <c r="C447" s="414" t="s">
        <v>203</v>
      </c>
      <c r="D447" s="414" t="s">
        <v>116</v>
      </c>
      <c r="E447" s="414" t="s">
        <v>339</v>
      </c>
      <c r="F447" s="464"/>
      <c r="G447" s="314">
        <f t="shared" ref="G447:H450" si="34">G448</f>
        <v>878.7</v>
      </c>
      <c r="H447" s="314">
        <f t="shared" si="34"/>
        <v>878.7</v>
      </c>
      <c r="I447" s="334"/>
      <c r="J447" s="321"/>
    </row>
    <row r="448" spans="1:10" ht="47.25" x14ac:dyDescent="0.25">
      <c r="A448" s="463" t="s">
        <v>463</v>
      </c>
      <c r="B448" s="454">
        <v>903</v>
      </c>
      <c r="C448" s="414" t="s">
        <v>203</v>
      </c>
      <c r="D448" s="414" t="s">
        <v>116</v>
      </c>
      <c r="E448" s="414" t="s">
        <v>461</v>
      </c>
      <c r="F448" s="464"/>
      <c r="G448" s="314">
        <f>G449+G453</f>
        <v>878.7</v>
      </c>
      <c r="H448" s="314">
        <f>H449+H452</f>
        <v>878.7</v>
      </c>
      <c r="I448" s="334"/>
      <c r="J448" s="321"/>
    </row>
    <row r="449" spans="1:10" ht="31.5" x14ac:dyDescent="0.25">
      <c r="A449" s="466" t="s">
        <v>585</v>
      </c>
      <c r="B449" s="455">
        <v>903</v>
      </c>
      <c r="C449" s="402" t="s">
        <v>203</v>
      </c>
      <c r="D449" s="402" t="s">
        <v>116</v>
      </c>
      <c r="E449" s="402" t="s">
        <v>462</v>
      </c>
      <c r="F449" s="467"/>
      <c r="G449" s="318">
        <f t="shared" si="34"/>
        <v>506.80000000000007</v>
      </c>
      <c r="H449" s="318">
        <f t="shared" si="34"/>
        <v>506.80000000000007</v>
      </c>
      <c r="I449" s="334"/>
      <c r="J449" s="321"/>
    </row>
    <row r="450" spans="1:10" ht="31.5" x14ac:dyDescent="0.25">
      <c r="A450" s="399" t="s">
        <v>123</v>
      </c>
      <c r="B450" s="455">
        <v>903</v>
      </c>
      <c r="C450" s="402" t="s">
        <v>203</v>
      </c>
      <c r="D450" s="402" t="s">
        <v>116</v>
      </c>
      <c r="E450" s="402" t="s">
        <v>462</v>
      </c>
      <c r="F450" s="467" t="s">
        <v>124</v>
      </c>
      <c r="G450" s="318">
        <f t="shared" si="34"/>
        <v>506.80000000000007</v>
      </c>
      <c r="H450" s="318">
        <f t="shared" si="34"/>
        <v>506.80000000000007</v>
      </c>
      <c r="I450" s="334"/>
      <c r="J450" s="321"/>
    </row>
    <row r="451" spans="1:10" ht="31.5" x14ac:dyDescent="0.25">
      <c r="A451" s="399" t="s">
        <v>125</v>
      </c>
      <c r="B451" s="455">
        <v>903</v>
      </c>
      <c r="C451" s="402" t="s">
        <v>203</v>
      </c>
      <c r="D451" s="402" t="s">
        <v>116</v>
      </c>
      <c r="E451" s="402" t="s">
        <v>462</v>
      </c>
      <c r="F451" s="467" t="s">
        <v>126</v>
      </c>
      <c r="G451" s="318">
        <f>878.7-371.9</f>
        <v>506.80000000000007</v>
      </c>
      <c r="H451" s="318">
        <f>878.7-371.9</f>
        <v>506.80000000000007</v>
      </c>
      <c r="I451" s="334"/>
      <c r="J451" s="321"/>
    </row>
    <row r="452" spans="1:10" ht="47.25" x14ac:dyDescent="0.25">
      <c r="A452" s="399" t="s">
        <v>359</v>
      </c>
      <c r="B452" s="455">
        <v>903</v>
      </c>
      <c r="C452" s="402" t="s">
        <v>203</v>
      </c>
      <c r="D452" s="402" t="s">
        <v>116</v>
      </c>
      <c r="E452" s="402" t="s">
        <v>506</v>
      </c>
      <c r="F452" s="467"/>
      <c r="G452" s="318">
        <f>G453</f>
        <v>371.9</v>
      </c>
      <c r="H452" s="318">
        <f>H453</f>
        <v>371.9</v>
      </c>
      <c r="I452" s="334"/>
      <c r="J452" s="321"/>
    </row>
    <row r="453" spans="1:10" ht="31.5" x14ac:dyDescent="0.25">
      <c r="A453" s="399" t="s">
        <v>191</v>
      </c>
      <c r="B453" s="455">
        <v>903</v>
      </c>
      <c r="C453" s="402" t="s">
        <v>203</v>
      </c>
      <c r="D453" s="402" t="s">
        <v>116</v>
      </c>
      <c r="E453" s="402" t="s">
        <v>506</v>
      </c>
      <c r="F453" s="467" t="s">
        <v>192</v>
      </c>
      <c r="G453" s="318">
        <f>G454</f>
        <v>371.9</v>
      </c>
      <c r="H453" s="318">
        <f>H454</f>
        <v>371.9</v>
      </c>
      <c r="I453" s="334"/>
      <c r="J453" s="321"/>
    </row>
    <row r="454" spans="1:10" ht="15.75" x14ac:dyDescent="0.25">
      <c r="A454" s="399" t="s">
        <v>193</v>
      </c>
      <c r="B454" s="455">
        <v>903</v>
      </c>
      <c r="C454" s="402" t="s">
        <v>203</v>
      </c>
      <c r="D454" s="402" t="s">
        <v>116</v>
      </c>
      <c r="E454" s="402" t="s">
        <v>506</v>
      </c>
      <c r="F454" s="467" t="s">
        <v>194</v>
      </c>
      <c r="G454" s="318">
        <v>371.9</v>
      </c>
      <c r="H454" s="318">
        <v>371.9</v>
      </c>
      <c r="I454" s="334"/>
      <c r="J454" s="321"/>
    </row>
    <row r="455" spans="1:10" ht="15.75" x14ac:dyDescent="0.25">
      <c r="A455" s="417" t="s">
        <v>208</v>
      </c>
      <c r="B455" s="454">
        <v>903</v>
      </c>
      <c r="C455" s="414" t="s">
        <v>203</v>
      </c>
      <c r="D455" s="414" t="s">
        <v>139</v>
      </c>
      <c r="E455" s="414"/>
      <c r="F455" s="414"/>
      <c r="G455" s="314">
        <f>G456+G469+G485+G491</f>
        <v>22162.699999999997</v>
      </c>
      <c r="H455" s="314">
        <f>H456+H469+H485+H491</f>
        <v>22166.6</v>
      </c>
      <c r="I455" s="334"/>
      <c r="J455" s="321"/>
    </row>
    <row r="456" spans="1:10" ht="31.5" x14ac:dyDescent="0.25">
      <c r="A456" s="417" t="s">
        <v>488</v>
      </c>
      <c r="B456" s="454">
        <v>903</v>
      </c>
      <c r="C456" s="414" t="s">
        <v>203</v>
      </c>
      <c r="D456" s="414" t="s">
        <v>139</v>
      </c>
      <c r="E456" s="414" t="s">
        <v>434</v>
      </c>
      <c r="F456" s="414"/>
      <c r="G456" s="314">
        <f>G457</f>
        <v>9105.7999999999993</v>
      </c>
      <c r="H456" s="314">
        <f>H457</f>
        <v>9105.7000000000007</v>
      </c>
      <c r="I456" s="334"/>
      <c r="J456" s="321"/>
    </row>
    <row r="457" spans="1:10" ht="15.75" x14ac:dyDescent="0.25">
      <c r="A457" s="417" t="s">
        <v>489</v>
      </c>
      <c r="B457" s="454">
        <v>903</v>
      </c>
      <c r="C457" s="414" t="s">
        <v>203</v>
      </c>
      <c r="D457" s="414" t="s">
        <v>139</v>
      </c>
      <c r="E457" s="414" t="s">
        <v>435</v>
      </c>
      <c r="F457" s="414"/>
      <c r="G457" s="314">
        <f>G458+G466+G463</f>
        <v>9105.7999999999993</v>
      </c>
      <c r="H457" s="314">
        <f>H458+H466+H463</f>
        <v>9105.7000000000007</v>
      </c>
      <c r="I457" s="334"/>
      <c r="J457" s="321"/>
    </row>
    <row r="458" spans="1:10" ht="31.5" x14ac:dyDescent="0.25">
      <c r="A458" s="399" t="s">
        <v>468</v>
      </c>
      <c r="B458" s="455">
        <v>903</v>
      </c>
      <c r="C458" s="402" t="s">
        <v>203</v>
      </c>
      <c r="D458" s="402" t="s">
        <v>139</v>
      </c>
      <c r="E458" s="402" t="s">
        <v>436</v>
      </c>
      <c r="F458" s="402"/>
      <c r="G458" s="318">
        <f>G459+G461</f>
        <v>7689.7</v>
      </c>
      <c r="H458" s="318">
        <f>H459+H461</f>
        <v>7689.6</v>
      </c>
      <c r="I458" s="334"/>
      <c r="J458" s="321"/>
    </row>
    <row r="459" spans="1:10" ht="63" x14ac:dyDescent="0.25">
      <c r="A459" s="399" t="s">
        <v>119</v>
      </c>
      <c r="B459" s="455">
        <v>903</v>
      </c>
      <c r="C459" s="402" t="s">
        <v>203</v>
      </c>
      <c r="D459" s="402" t="s">
        <v>139</v>
      </c>
      <c r="E459" s="402" t="s">
        <v>436</v>
      </c>
      <c r="F459" s="402" t="s">
        <v>120</v>
      </c>
      <c r="G459" s="318">
        <f>G460</f>
        <v>7689.7</v>
      </c>
      <c r="H459" s="318">
        <f>H460</f>
        <v>7689.6</v>
      </c>
      <c r="I459" s="334"/>
      <c r="J459" s="321"/>
    </row>
    <row r="460" spans="1:10" ht="31.5" x14ac:dyDescent="0.25">
      <c r="A460" s="399" t="s">
        <v>121</v>
      </c>
      <c r="B460" s="455">
        <v>903</v>
      </c>
      <c r="C460" s="402" t="s">
        <v>203</v>
      </c>
      <c r="D460" s="402" t="s">
        <v>139</v>
      </c>
      <c r="E460" s="402" t="s">
        <v>436</v>
      </c>
      <c r="F460" s="402" t="s">
        <v>122</v>
      </c>
      <c r="G460" s="20">
        <v>7689.7</v>
      </c>
      <c r="H460" s="20">
        <v>7689.6</v>
      </c>
      <c r="I460" s="334"/>
      <c r="J460" s="334"/>
    </row>
    <row r="461" spans="1:10" ht="31.5" hidden="1" x14ac:dyDescent="0.25">
      <c r="A461" s="399" t="s">
        <v>123</v>
      </c>
      <c r="B461" s="455">
        <v>903</v>
      </c>
      <c r="C461" s="402" t="s">
        <v>203</v>
      </c>
      <c r="D461" s="402" t="s">
        <v>139</v>
      </c>
      <c r="E461" s="402" t="s">
        <v>436</v>
      </c>
      <c r="F461" s="402" t="s">
        <v>124</v>
      </c>
      <c r="G461" s="318">
        <f>G462</f>
        <v>0</v>
      </c>
      <c r="H461" s="318">
        <f>H462</f>
        <v>0</v>
      </c>
      <c r="I461" s="334"/>
      <c r="J461" s="321"/>
    </row>
    <row r="462" spans="1:10" ht="31.5" hidden="1" x14ac:dyDescent="0.25">
      <c r="A462" s="399" t="s">
        <v>125</v>
      </c>
      <c r="B462" s="455">
        <v>903</v>
      </c>
      <c r="C462" s="402" t="s">
        <v>203</v>
      </c>
      <c r="D462" s="402" t="s">
        <v>139</v>
      </c>
      <c r="E462" s="402" t="s">
        <v>436</v>
      </c>
      <c r="F462" s="402" t="s">
        <v>126</v>
      </c>
      <c r="G462" s="318"/>
      <c r="H462" s="318"/>
      <c r="I462" s="334"/>
      <c r="J462" s="321"/>
    </row>
    <row r="463" spans="1:10" ht="31.5" x14ac:dyDescent="0.25">
      <c r="A463" s="399" t="s">
        <v>417</v>
      </c>
      <c r="B463" s="455">
        <v>903</v>
      </c>
      <c r="C463" s="402" t="s">
        <v>203</v>
      </c>
      <c r="D463" s="402" t="s">
        <v>139</v>
      </c>
      <c r="E463" s="402" t="s">
        <v>437</v>
      </c>
      <c r="F463" s="402"/>
      <c r="G463" s="318">
        <f>G464</f>
        <v>986.1</v>
      </c>
      <c r="H463" s="318">
        <f>H464</f>
        <v>986.1</v>
      </c>
      <c r="I463" s="334"/>
      <c r="J463" s="321"/>
    </row>
    <row r="464" spans="1:10" ht="63" x14ac:dyDescent="0.25">
      <c r="A464" s="399" t="s">
        <v>119</v>
      </c>
      <c r="B464" s="455">
        <v>903</v>
      </c>
      <c r="C464" s="402" t="s">
        <v>203</v>
      </c>
      <c r="D464" s="402" t="s">
        <v>139</v>
      </c>
      <c r="E464" s="402" t="s">
        <v>437</v>
      </c>
      <c r="F464" s="402" t="s">
        <v>120</v>
      </c>
      <c r="G464" s="318">
        <f>G465</f>
        <v>986.1</v>
      </c>
      <c r="H464" s="318">
        <f>H465</f>
        <v>986.1</v>
      </c>
      <c r="I464" s="334"/>
      <c r="J464" s="321"/>
    </row>
    <row r="465" spans="1:11" ht="31.5" x14ac:dyDescent="0.25">
      <c r="A465" s="399" t="s">
        <v>121</v>
      </c>
      <c r="B465" s="455">
        <v>903</v>
      </c>
      <c r="C465" s="402" t="s">
        <v>203</v>
      </c>
      <c r="D465" s="402" t="s">
        <v>139</v>
      </c>
      <c r="E465" s="402" t="s">
        <v>437</v>
      </c>
      <c r="F465" s="402" t="s">
        <v>122</v>
      </c>
      <c r="G465" s="318">
        <v>986.1</v>
      </c>
      <c r="H465" s="318">
        <f>G465</f>
        <v>986.1</v>
      </c>
      <c r="I465" s="334"/>
      <c r="J465" s="321"/>
    </row>
    <row r="466" spans="1:11" ht="31.5" x14ac:dyDescent="0.25">
      <c r="A466" s="399" t="s">
        <v>416</v>
      </c>
      <c r="B466" s="455">
        <v>903</v>
      </c>
      <c r="C466" s="402" t="s">
        <v>203</v>
      </c>
      <c r="D466" s="402" t="s">
        <v>139</v>
      </c>
      <c r="E466" s="402" t="s">
        <v>438</v>
      </c>
      <c r="F466" s="402"/>
      <c r="G466" s="318">
        <f>G467</f>
        <v>430</v>
      </c>
      <c r="H466" s="318">
        <f>H467</f>
        <v>430</v>
      </c>
      <c r="I466" s="334"/>
      <c r="J466" s="321"/>
    </row>
    <row r="467" spans="1:11" ht="63" x14ac:dyDescent="0.25">
      <c r="A467" s="399" t="s">
        <v>119</v>
      </c>
      <c r="B467" s="455">
        <v>903</v>
      </c>
      <c r="C467" s="402" t="s">
        <v>203</v>
      </c>
      <c r="D467" s="402" t="s">
        <v>139</v>
      </c>
      <c r="E467" s="402" t="s">
        <v>438</v>
      </c>
      <c r="F467" s="402" t="s">
        <v>120</v>
      </c>
      <c r="G467" s="318">
        <f>G468</f>
        <v>430</v>
      </c>
      <c r="H467" s="318">
        <f>H468</f>
        <v>430</v>
      </c>
      <c r="I467" s="334"/>
      <c r="J467" s="321"/>
    </row>
    <row r="468" spans="1:11" ht="31.5" x14ac:dyDescent="0.25">
      <c r="A468" s="399" t="s">
        <v>121</v>
      </c>
      <c r="B468" s="455">
        <v>903</v>
      </c>
      <c r="C468" s="402" t="s">
        <v>203</v>
      </c>
      <c r="D468" s="402" t="s">
        <v>139</v>
      </c>
      <c r="E468" s="402" t="s">
        <v>438</v>
      </c>
      <c r="F468" s="402" t="s">
        <v>122</v>
      </c>
      <c r="G468" s="318">
        <v>430</v>
      </c>
      <c r="H468" s="318">
        <v>430</v>
      </c>
      <c r="I468" s="334"/>
      <c r="J468" s="321"/>
    </row>
    <row r="469" spans="1:11" ht="15.75" x14ac:dyDescent="0.25">
      <c r="A469" s="417" t="s">
        <v>497</v>
      </c>
      <c r="B469" s="454">
        <v>903</v>
      </c>
      <c r="C469" s="414" t="s">
        <v>203</v>
      </c>
      <c r="D469" s="414" t="s">
        <v>139</v>
      </c>
      <c r="E469" s="414" t="s">
        <v>442</v>
      </c>
      <c r="F469" s="414"/>
      <c r="G469" s="314">
        <f>G474+G470</f>
        <v>12796.9</v>
      </c>
      <c r="H469" s="314">
        <f>H474+H470</f>
        <v>12796.9</v>
      </c>
      <c r="I469" s="334"/>
      <c r="J469" s="321"/>
    </row>
    <row r="470" spans="1:11" ht="31.5" hidden="1" x14ac:dyDescent="0.25">
      <c r="A470" s="413" t="s">
        <v>446</v>
      </c>
      <c r="B470" s="454">
        <v>903</v>
      </c>
      <c r="C470" s="414" t="s">
        <v>203</v>
      </c>
      <c r="D470" s="414" t="s">
        <v>139</v>
      </c>
      <c r="E470" s="414" t="s">
        <v>441</v>
      </c>
      <c r="F470" s="414"/>
      <c r="G470" s="314">
        <f t="shared" ref="G470:H472" si="35">G471</f>
        <v>0</v>
      </c>
      <c r="H470" s="314">
        <f t="shared" si="35"/>
        <v>0</v>
      </c>
      <c r="I470" s="334"/>
      <c r="J470" s="321"/>
    </row>
    <row r="471" spans="1:11" ht="50.25" hidden="1" customHeight="1" x14ac:dyDescent="0.25">
      <c r="A471" s="401" t="s">
        <v>1057</v>
      </c>
      <c r="B471" s="455">
        <v>903</v>
      </c>
      <c r="C471" s="402" t="s">
        <v>203</v>
      </c>
      <c r="D471" s="402" t="s">
        <v>139</v>
      </c>
      <c r="E471" s="402" t="s">
        <v>1056</v>
      </c>
      <c r="F471" s="402"/>
      <c r="G471" s="318">
        <f t="shared" si="35"/>
        <v>0</v>
      </c>
      <c r="H471" s="318">
        <f t="shared" si="35"/>
        <v>0</v>
      </c>
      <c r="I471" s="334"/>
      <c r="J471" s="321"/>
    </row>
    <row r="472" spans="1:11" ht="31.5" hidden="1" x14ac:dyDescent="0.25">
      <c r="A472" s="399" t="s">
        <v>123</v>
      </c>
      <c r="B472" s="455">
        <v>903</v>
      </c>
      <c r="C472" s="402" t="s">
        <v>203</v>
      </c>
      <c r="D472" s="402" t="s">
        <v>139</v>
      </c>
      <c r="E472" s="402" t="s">
        <v>1056</v>
      </c>
      <c r="F472" s="402" t="s">
        <v>124</v>
      </c>
      <c r="G472" s="318">
        <f t="shared" si="35"/>
        <v>0</v>
      </c>
      <c r="H472" s="318">
        <f t="shared" si="35"/>
        <v>0</v>
      </c>
      <c r="I472" s="334"/>
      <c r="J472" s="321"/>
    </row>
    <row r="473" spans="1:11" ht="31.5" hidden="1" x14ac:dyDescent="0.25">
      <c r="A473" s="399" t="s">
        <v>125</v>
      </c>
      <c r="B473" s="455">
        <v>903</v>
      </c>
      <c r="C473" s="402" t="s">
        <v>203</v>
      </c>
      <c r="D473" s="402" t="s">
        <v>139</v>
      </c>
      <c r="E473" s="402" t="s">
        <v>1056</v>
      </c>
      <c r="F473" s="402" t="s">
        <v>126</v>
      </c>
      <c r="G473" s="318"/>
      <c r="H473" s="318"/>
      <c r="I473" s="334"/>
      <c r="J473" s="321"/>
    </row>
    <row r="474" spans="1:11" ht="15.75" x14ac:dyDescent="0.25">
      <c r="A474" s="417" t="s">
        <v>1105</v>
      </c>
      <c r="B474" s="454">
        <v>903</v>
      </c>
      <c r="C474" s="414" t="s">
        <v>203</v>
      </c>
      <c r="D474" s="414" t="s">
        <v>139</v>
      </c>
      <c r="E474" s="414" t="s">
        <v>518</v>
      </c>
      <c r="F474" s="414"/>
      <c r="G474" s="314">
        <f>G475+G478</f>
        <v>12796.9</v>
      </c>
      <c r="H474" s="314">
        <f>H475+H478</f>
        <v>12796.9</v>
      </c>
      <c r="I474" s="334"/>
      <c r="J474" s="321"/>
    </row>
    <row r="475" spans="1:11" ht="31.5" x14ac:dyDescent="0.25">
      <c r="A475" s="399" t="s">
        <v>416</v>
      </c>
      <c r="B475" s="455">
        <v>903</v>
      </c>
      <c r="C475" s="402" t="s">
        <v>203</v>
      </c>
      <c r="D475" s="402" t="s">
        <v>139</v>
      </c>
      <c r="E475" s="402" t="s">
        <v>521</v>
      </c>
      <c r="F475" s="402"/>
      <c r="G475" s="318">
        <f>G476</f>
        <v>215</v>
      </c>
      <c r="H475" s="318">
        <f>H476</f>
        <v>215</v>
      </c>
      <c r="I475" s="334"/>
      <c r="J475" s="321"/>
    </row>
    <row r="476" spans="1:11" ht="63" x14ac:dyDescent="0.25">
      <c r="A476" s="399" t="s">
        <v>119</v>
      </c>
      <c r="B476" s="455">
        <v>903</v>
      </c>
      <c r="C476" s="402" t="s">
        <v>203</v>
      </c>
      <c r="D476" s="402" t="s">
        <v>139</v>
      </c>
      <c r="E476" s="402" t="s">
        <v>521</v>
      </c>
      <c r="F476" s="402" t="s">
        <v>120</v>
      </c>
      <c r="G476" s="318">
        <f>G477</f>
        <v>215</v>
      </c>
      <c r="H476" s="318">
        <f>H477</f>
        <v>215</v>
      </c>
      <c r="I476" s="334"/>
      <c r="J476" s="321"/>
    </row>
    <row r="477" spans="1:11" ht="15.75" x14ac:dyDescent="0.25">
      <c r="A477" s="399" t="s">
        <v>212</v>
      </c>
      <c r="B477" s="455">
        <v>903</v>
      </c>
      <c r="C477" s="402" t="s">
        <v>203</v>
      </c>
      <c r="D477" s="402" t="s">
        <v>139</v>
      </c>
      <c r="E477" s="402" t="s">
        <v>521</v>
      </c>
      <c r="F477" s="402" t="s">
        <v>156</v>
      </c>
      <c r="G477" s="318">
        <v>215</v>
      </c>
      <c r="H477" s="318">
        <v>215</v>
      </c>
      <c r="I477" s="334"/>
      <c r="J477" s="321"/>
    </row>
    <row r="478" spans="1:11" ht="15.75" x14ac:dyDescent="0.25">
      <c r="A478" s="399" t="s">
        <v>379</v>
      </c>
      <c r="B478" s="455">
        <v>903</v>
      </c>
      <c r="C478" s="402" t="s">
        <v>203</v>
      </c>
      <c r="D478" s="402" t="s">
        <v>139</v>
      </c>
      <c r="E478" s="402" t="s">
        <v>520</v>
      </c>
      <c r="F478" s="402"/>
      <c r="G478" s="318">
        <f>G479+G481+G483</f>
        <v>12581.9</v>
      </c>
      <c r="H478" s="318">
        <f>H479+H481+H483</f>
        <v>12581.9</v>
      </c>
      <c r="I478" s="334"/>
      <c r="J478" s="321"/>
    </row>
    <row r="479" spans="1:11" ht="63" x14ac:dyDescent="0.25">
      <c r="A479" s="399" t="s">
        <v>119</v>
      </c>
      <c r="B479" s="455">
        <v>903</v>
      </c>
      <c r="C479" s="402" t="s">
        <v>203</v>
      </c>
      <c r="D479" s="402" t="s">
        <v>139</v>
      </c>
      <c r="E479" s="402" t="s">
        <v>520</v>
      </c>
      <c r="F479" s="402" t="s">
        <v>120</v>
      </c>
      <c r="G479" s="318">
        <f>G480</f>
        <v>10677.8</v>
      </c>
      <c r="H479" s="318">
        <f>H480</f>
        <v>10677.8</v>
      </c>
      <c r="I479" s="334"/>
      <c r="J479" s="321"/>
    </row>
    <row r="480" spans="1:11" ht="21.2" customHeight="1" x14ac:dyDescent="0.25">
      <c r="A480" s="399" t="s">
        <v>212</v>
      </c>
      <c r="B480" s="455">
        <v>903</v>
      </c>
      <c r="C480" s="402" t="s">
        <v>203</v>
      </c>
      <c r="D480" s="402" t="s">
        <v>139</v>
      </c>
      <c r="E480" s="402" t="s">
        <v>520</v>
      </c>
      <c r="F480" s="402" t="s">
        <v>156</v>
      </c>
      <c r="G480" s="20">
        <v>10677.8</v>
      </c>
      <c r="H480" s="20">
        <f>G480</f>
        <v>10677.8</v>
      </c>
      <c r="I480" s="334"/>
      <c r="J480" s="334"/>
      <c r="K480" s="345"/>
    </row>
    <row r="481" spans="1:11" ht="31.5" x14ac:dyDescent="0.25">
      <c r="A481" s="399" t="s">
        <v>123</v>
      </c>
      <c r="B481" s="455">
        <v>903</v>
      </c>
      <c r="C481" s="402" t="s">
        <v>203</v>
      </c>
      <c r="D481" s="402" t="s">
        <v>139</v>
      </c>
      <c r="E481" s="402" t="s">
        <v>520</v>
      </c>
      <c r="F481" s="402" t="s">
        <v>124</v>
      </c>
      <c r="G481" s="318">
        <f>G482</f>
        <v>1890.1</v>
      </c>
      <c r="H481" s="318">
        <f>H482</f>
        <v>1890.1</v>
      </c>
      <c r="I481" s="334"/>
      <c r="J481" s="321"/>
    </row>
    <row r="482" spans="1:11" ht="31.5" x14ac:dyDescent="0.25">
      <c r="A482" s="399" t="s">
        <v>125</v>
      </c>
      <c r="B482" s="455">
        <v>903</v>
      </c>
      <c r="C482" s="402" t="s">
        <v>203</v>
      </c>
      <c r="D482" s="402" t="s">
        <v>139</v>
      </c>
      <c r="E482" s="402" t="s">
        <v>520</v>
      </c>
      <c r="F482" s="402" t="s">
        <v>126</v>
      </c>
      <c r="G482" s="20">
        <v>1890.1</v>
      </c>
      <c r="H482" s="20">
        <v>1890.1</v>
      </c>
      <c r="I482" s="334"/>
      <c r="J482" s="321"/>
      <c r="K482" s="345"/>
    </row>
    <row r="483" spans="1:11" ht="15.75" x14ac:dyDescent="0.25">
      <c r="A483" s="399" t="s">
        <v>127</v>
      </c>
      <c r="B483" s="455">
        <v>903</v>
      </c>
      <c r="C483" s="402" t="s">
        <v>203</v>
      </c>
      <c r="D483" s="402" t="s">
        <v>139</v>
      </c>
      <c r="E483" s="402" t="s">
        <v>520</v>
      </c>
      <c r="F483" s="402" t="s">
        <v>134</v>
      </c>
      <c r="G483" s="318">
        <f>G484</f>
        <v>14</v>
      </c>
      <c r="H483" s="318">
        <f>H484</f>
        <v>14</v>
      </c>
      <c r="I483" s="334"/>
      <c r="J483" s="321"/>
    </row>
    <row r="484" spans="1:11" ht="15.75" x14ac:dyDescent="0.25">
      <c r="A484" s="399" t="s">
        <v>280</v>
      </c>
      <c r="B484" s="455">
        <v>903</v>
      </c>
      <c r="C484" s="402" t="s">
        <v>203</v>
      </c>
      <c r="D484" s="402" t="s">
        <v>139</v>
      </c>
      <c r="E484" s="402" t="s">
        <v>520</v>
      </c>
      <c r="F484" s="402" t="s">
        <v>130</v>
      </c>
      <c r="G484" s="318">
        <v>14</v>
      </c>
      <c r="H484" s="318">
        <v>14</v>
      </c>
      <c r="I484" s="334"/>
      <c r="J484" s="321"/>
    </row>
    <row r="485" spans="1:11" ht="48.2" customHeight="1" x14ac:dyDescent="0.25">
      <c r="A485" s="417" t="s">
        <v>850</v>
      </c>
      <c r="B485" s="454">
        <v>903</v>
      </c>
      <c r="C485" s="414" t="s">
        <v>203</v>
      </c>
      <c r="D485" s="414" t="s">
        <v>139</v>
      </c>
      <c r="E485" s="414" t="s">
        <v>213</v>
      </c>
      <c r="F485" s="414"/>
      <c r="G485" s="314">
        <f t="shared" ref="G485:H489" si="36">G486</f>
        <v>260</v>
      </c>
      <c r="H485" s="314">
        <f t="shared" si="36"/>
        <v>260</v>
      </c>
      <c r="I485" s="334"/>
      <c r="J485" s="321"/>
    </row>
    <row r="486" spans="1:11" ht="31.5" x14ac:dyDescent="0.25">
      <c r="A486" s="417" t="s">
        <v>856</v>
      </c>
      <c r="B486" s="454">
        <v>903</v>
      </c>
      <c r="C486" s="414" t="s">
        <v>203</v>
      </c>
      <c r="D486" s="414" t="s">
        <v>139</v>
      </c>
      <c r="E486" s="414" t="s">
        <v>223</v>
      </c>
      <c r="F486" s="414"/>
      <c r="G486" s="314">
        <f t="shared" si="36"/>
        <v>260</v>
      </c>
      <c r="H486" s="314">
        <f t="shared" si="36"/>
        <v>260</v>
      </c>
      <c r="I486" s="334"/>
      <c r="J486" s="321"/>
    </row>
    <row r="487" spans="1:11" ht="31.5" x14ac:dyDescent="0.25">
      <c r="A487" s="417" t="s">
        <v>560</v>
      </c>
      <c r="B487" s="454">
        <v>903</v>
      </c>
      <c r="C487" s="414" t="s">
        <v>203</v>
      </c>
      <c r="D487" s="414" t="s">
        <v>139</v>
      </c>
      <c r="E487" s="414" t="s">
        <v>757</v>
      </c>
      <c r="F487" s="414"/>
      <c r="G487" s="314">
        <f t="shared" si="36"/>
        <v>260</v>
      </c>
      <c r="H487" s="314">
        <f t="shared" si="36"/>
        <v>260</v>
      </c>
      <c r="I487" s="334"/>
      <c r="J487" s="321"/>
    </row>
    <row r="488" spans="1:11" ht="15.75" x14ac:dyDescent="0.25">
      <c r="A488" s="399" t="s">
        <v>559</v>
      </c>
      <c r="B488" s="455">
        <v>903</v>
      </c>
      <c r="C488" s="402" t="s">
        <v>203</v>
      </c>
      <c r="D488" s="402" t="s">
        <v>139</v>
      </c>
      <c r="E488" s="402" t="s">
        <v>758</v>
      </c>
      <c r="F488" s="402"/>
      <c r="G488" s="318">
        <f t="shared" si="36"/>
        <v>260</v>
      </c>
      <c r="H488" s="318">
        <f t="shared" si="36"/>
        <v>260</v>
      </c>
      <c r="I488" s="334"/>
      <c r="J488" s="321"/>
    </row>
    <row r="489" spans="1:11" ht="31.5" x14ac:dyDescent="0.25">
      <c r="A489" s="399" t="s">
        <v>123</v>
      </c>
      <c r="B489" s="455">
        <v>903</v>
      </c>
      <c r="C489" s="402" t="s">
        <v>203</v>
      </c>
      <c r="D489" s="402" t="s">
        <v>139</v>
      </c>
      <c r="E489" s="402" t="s">
        <v>758</v>
      </c>
      <c r="F489" s="402" t="s">
        <v>124</v>
      </c>
      <c r="G489" s="318">
        <f t="shared" si="36"/>
        <v>260</v>
      </c>
      <c r="H489" s="318">
        <f t="shared" si="36"/>
        <v>260</v>
      </c>
      <c r="I489" s="334"/>
      <c r="J489" s="321"/>
    </row>
    <row r="490" spans="1:11" ht="31.5" x14ac:dyDescent="0.25">
      <c r="A490" s="399" t="s">
        <v>125</v>
      </c>
      <c r="B490" s="455">
        <v>903</v>
      </c>
      <c r="C490" s="402" t="s">
        <v>203</v>
      </c>
      <c r="D490" s="402" t="s">
        <v>139</v>
      </c>
      <c r="E490" s="402" t="s">
        <v>758</v>
      </c>
      <c r="F490" s="402" t="s">
        <v>126</v>
      </c>
      <c r="G490" s="318">
        <v>260</v>
      </c>
      <c r="H490" s="318">
        <v>260</v>
      </c>
      <c r="I490" s="334"/>
      <c r="J490" s="321"/>
    </row>
    <row r="491" spans="1:11" ht="47.25" hidden="1" x14ac:dyDescent="0.25">
      <c r="A491" s="413" t="s">
        <v>859</v>
      </c>
      <c r="B491" s="454">
        <v>903</v>
      </c>
      <c r="C491" s="414" t="s">
        <v>203</v>
      </c>
      <c r="D491" s="414" t="s">
        <v>139</v>
      </c>
      <c r="E491" s="414" t="s">
        <v>206</v>
      </c>
      <c r="F491" s="414"/>
      <c r="G491" s="314">
        <f>G493</f>
        <v>0</v>
      </c>
      <c r="H491" s="314">
        <f>H493</f>
        <v>4</v>
      </c>
      <c r="I491" s="334"/>
      <c r="J491" s="321"/>
    </row>
    <row r="492" spans="1:11" ht="47.25" hidden="1" x14ac:dyDescent="0.25">
      <c r="A492" s="413" t="s">
        <v>588</v>
      </c>
      <c r="B492" s="454">
        <v>903</v>
      </c>
      <c r="C492" s="414" t="s">
        <v>203</v>
      </c>
      <c r="D492" s="414" t="s">
        <v>139</v>
      </c>
      <c r="E492" s="414" t="s">
        <v>504</v>
      </c>
      <c r="F492" s="414"/>
      <c r="G492" s="314">
        <f>G495</f>
        <v>0</v>
      </c>
      <c r="H492" s="314">
        <f>H495</f>
        <v>4</v>
      </c>
      <c r="I492" s="334"/>
      <c r="J492" s="321"/>
    </row>
    <row r="493" spans="1:11" ht="47.25" hidden="1" x14ac:dyDescent="0.25">
      <c r="A493" s="401" t="s">
        <v>634</v>
      </c>
      <c r="B493" s="455">
        <v>903</v>
      </c>
      <c r="C493" s="402" t="s">
        <v>203</v>
      </c>
      <c r="D493" s="402" t="s">
        <v>139</v>
      </c>
      <c r="E493" s="402" t="s">
        <v>589</v>
      </c>
      <c r="F493" s="402"/>
      <c r="G493" s="318">
        <f>G494</f>
        <v>0</v>
      </c>
      <c r="H493" s="318">
        <f>H494</f>
        <v>4</v>
      </c>
      <c r="I493" s="334"/>
      <c r="J493" s="321"/>
    </row>
    <row r="494" spans="1:11" ht="31.5" hidden="1" x14ac:dyDescent="0.25">
      <c r="A494" s="399" t="s">
        <v>123</v>
      </c>
      <c r="B494" s="455">
        <v>903</v>
      </c>
      <c r="C494" s="402" t="s">
        <v>203</v>
      </c>
      <c r="D494" s="402" t="s">
        <v>139</v>
      </c>
      <c r="E494" s="402" t="s">
        <v>589</v>
      </c>
      <c r="F494" s="402" t="s">
        <v>124</v>
      </c>
      <c r="G494" s="318">
        <f>G495</f>
        <v>0</v>
      </c>
      <c r="H494" s="318">
        <f>H495</f>
        <v>4</v>
      </c>
      <c r="I494" s="334"/>
      <c r="J494" s="321"/>
    </row>
    <row r="495" spans="1:11" ht="31.5" hidden="1" x14ac:dyDescent="0.25">
      <c r="A495" s="399" t="s">
        <v>125</v>
      </c>
      <c r="B495" s="455">
        <v>903</v>
      </c>
      <c r="C495" s="402" t="s">
        <v>203</v>
      </c>
      <c r="D495" s="402" t="s">
        <v>139</v>
      </c>
      <c r="E495" s="402" t="s">
        <v>589</v>
      </c>
      <c r="F495" s="402" t="s">
        <v>126</v>
      </c>
      <c r="G495" s="318">
        <v>0</v>
      </c>
      <c r="H495" s="318">
        <v>4</v>
      </c>
      <c r="I495" s="334"/>
      <c r="J495" s="321"/>
    </row>
    <row r="496" spans="1:11" ht="15.75" x14ac:dyDescent="0.25">
      <c r="A496" s="417" t="s">
        <v>173</v>
      </c>
      <c r="B496" s="454">
        <v>903</v>
      </c>
      <c r="C496" s="414" t="s">
        <v>174</v>
      </c>
      <c r="D496" s="414"/>
      <c r="E496" s="414"/>
      <c r="F496" s="414"/>
      <c r="G496" s="314">
        <f>G497</f>
        <v>1560</v>
      </c>
      <c r="H496" s="314">
        <f>H497</f>
        <v>1524.35</v>
      </c>
      <c r="I496" s="334"/>
      <c r="J496" s="321"/>
    </row>
    <row r="497" spans="1:10" ht="15.75" x14ac:dyDescent="0.25">
      <c r="A497" s="417" t="s">
        <v>181</v>
      </c>
      <c r="B497" s="454">
        <v>903</v>
      </c>
      <c r="C497" s="414" t="s">
        <v>174</v>
      </c>
      <c r="D497" s="414" t="s">
        <v>159</v>
      </c>
      <c r="E497" s="414"/>
      <c r="F497" s="414"/>
      <c r="G497" s="314">
        <f>G498</f>
        <v>1560</v>
      </c>
      <c r="H497" s="314">
        <f>H498</f>
        <v>1524.35</v>
      </c>
      <c r="I497" s="334"/>
      <c r="J497" s="321"/>
    </row>
    <row r="498" spans="1:10" ht="34.9" customHeight="1" x14ac:dyDescent="0.25">
      <c r="A498" s="417" t="s">
        <v>850</v>
      </c>
      <c r="B498" s="454">
        <v>903</v>
      </c>
      <c r="C498" s="414" t="s">
        <v>174</v>
      </c>
      <c r="D498" s="414" t="s">
        <v>159</v>
      </c>
      <c r="E498" s="414" t="s">
        <v>213</v>
      </c>
      <c r="F498" s="414"/>
      <c r="G498" s="314">
        <f>G499+G504</f>
        <v>1560</v>
      </c>
      <c r="H498" s="314">
        <f>H499+H504</f>
        <v>1524.35</v>
      </c>
      <c r="I498" s="334"/>
      <c r="J498" s="321"/>
    </row>
    <row r="499" spans="1:10" ht="15.75" x14ac:dyDescent="0.25">
      <c r="A499" s="417" t="s">
        <v>218</v>
      </c>
      <c r="B499" s="454">
        <v>903</v>
      </c>
      <c r="C499" s="414" t="s">
        <v>174</v>
      </c>
      <c r="D499" s="414" t="s">
        <v>159</v>
      </c>
      <c r="E499" s="414" t="s">
        <v>219</v>
      </c>
      <c r="F499" s="414"/>
      <c r="G499" s="314">
        <f t="shared" ref="G499:H502" si="37">G500</f>
        <v>253</v>
      </c>
      <c r="H499" s="314">
        <f t="shared" si="37"/>
        <v>217.35</v>
      </c>
      <c r="I499" s="334"/>
      <c r="J499" s="321"/>
    </row>
    <row r="500" spans="1:10" ht="33.75" customHeight="1" x14ac:dyDescent="0.25">
      <c r="A500" s="417" t="s">
        <v>476</v>
      </c>
      <c r="B500" s="454">
        <v>903</v>
      </c>
      <c r="C500" s="414" t="s">
        <v>174</v>
      </c>
      <c r="D500" s="414" t="s">
        <v>159</v>
      </c>
      <c r="E500" s="414" t="s">
        <v>475</v>
      </c>
      <c r="F500" s="414"/>
      <c r="G500" s="314">
        <f t="shared" si="37"/>
        <v>253</v>
      </c>
      <c r="H500" s="314">
        <f t="shared" si="37"/>
        <v>217.35</v>
      </c>
      <c r="I500" s="334"/>
      <c r="J500" s="321"/>
    </row>
    <row r="501" spans="1:10" ht="31.5" x14ac:dyDescent="0.25">
      <c r="A501" s="399" t="s">
        <v>401</v>
      </c>
      <c r="B501" s="455">
        <v>903</v>
      </c>
      <c r="C501" s="402" t="s">
        <v>174</v>
      </c>
      <c r="D501" s="402" t="s">
        <v>159</v>
      </c>
      <c r="E501" s="402" t="s">
        <v>477</v>
      </c>
      <c r="F501" s="402"/>
      <c r="G501" s="318">
        <f t="shared" si="37"/>
        <v>253</v>
      </c>
      <c r="H501" s="318">
        <f t="shared" si="37"/>
        <v>217.35</v>
      </c>
      <c r="I501" s="334"/>
      <c r="J501" s="321"/>
    </row>
    <row r="502" spans="1:10" ht="15.75" x14ac:dyDescent="0.25">
      <c r="A502" s="399" t="s">
        <v>177</v>
      </c>
      <c r="B502" s="455">
        <v>903</v>
      </c>
      <c r="C502" s="402" t="s">
        <v>174</v>
      </c>
      <c r="D502" s="402" t="s">
        <v>159</v>
      </c>
      <c r="E502" s="402" t="s">
        <v>477</v>
      </c>
      <c r="F502" s="402" t="s">
        <v>178</v>
      </c>
      <c r="G502" s="318">
        <f t="shared" si="37"/>
        <v>253</v>
      </c>
      <c r="H502" s="318">
        <f t="shared" si="37"/>
        <v>217.35</v>
      </c>
      <c r="I502" s="334"/>
      <c r="J502" s="321"/>
    </row>
    <row r="503" spans="1:10" ht="31.5" x14ac:dyDescent="0.25">
      <c r="A503" s="399" t="s">
        <v>179</v>
      </c>
      <c r="B503" s="455">
        <v>903</v>
      </c>
      <c r="C503" s="402" t="s">
        <v>174</v>
      </c>
      <c r="D503" s="402" t="s">
        <v>159</v>
      </c>
      <c r="E503" s="402" t="s">
        <v>477</v>
      </c>
      <c r="F503" s="402" t="s">
        <v>180</v>
      </c>
      <c r="G503" s="318">
        <f>177.975+75.025</f>
        <v>253</v>
      </c>
      <c r="H503" s="318">
        <f>142.35+75</f>
        <v>217.35</v>
      </c>
      <c r="I503" s="334" t="s">
        <v>1220</v>
      </c>
      <c r="J503" s="321"/>
    </row>
    <row r="504" spans="1:10" ht="31.5" x14ac:dyDescent="0.25">
      <c r="A504" s="417" t="s">
        <v>856</v>
      </c>
      <c r="B504" s="454">
        <v>903</v>
      </c>
      <c r="C504" s="454">
        <v>10</v>
      </c>
      <c r="D504" s="414" t="s">
        <v>159</v>
      </c>
      <c r="E504" s="414" t="s">
        <v>223</v>
      </c>
      <c r="F504" s="414"/>
      <c r="G504" s="314">
        <f>G505+G511+G517</f>
        <v>1307</v>
      </c>
      <c r="H504" s="314">
        <f>H505+H511+H517</f>
        <v>1307</v>
      </c>
      <c r="I504" s="334"/>
      <c r="J504" s="321"/>
    </row>
    <row r="505" spans="1:10" ht="31.5" x14ac:dyDescent="0.25">
      <c r="A505" s="417" t="s">
        <v>600</v>
      </c>
      <c r="B505" s="454">
        <v>903</v>
      </c>
      <c r="C505" s="414" t="s">
        <v>174</v>
      </c>
      <c r="D505" s="414" t="s">
        <v>159</v>
      </c>
      <c r="E505" s="414" t="s">
        <v>484</v>
      </c>
      <c r="F505" s="414"/>
      <c r="G505" s="314">
        <f>G506</f>
        <v>630</v>
      </c>
      <c r="H505" s="314">
        <f>H506</f>
        <v>630</v>
      </c>
      <c r="I505" s="334"/>
      <c r="J505" s="321"/>
    </row>
    <row r="506" spans="1:10" ht="39.75" customHeight="1" x14ac:dyDescent="0.25">
      <c r="A506" s="466" t="s">
        <v>601</v>
      </c>
      <c r="B506" s="455">
        <v>903</v>
      </c>
      <c r="C506" s="402" t="s">
        <v>174</v>
      </c>
      <c r="D506" s="402" t="s">
        <v>159</v>
      </c>
      <c r="E506" s="402" t="s">
        <v>760</v>
      </c>
      <c r="F506" s="402"/>
      <c r="G506" s="318">
        <f>G509+G508</f>
        <v>630</v>
      </c>
      <c r="H506" s="318">
        <f>H509+H508</f>
        <v>630</v>
      </c>
      <c r="I506" s="334"/>
      <c r="J506" s="321"/>
    </row>
    <row r="507" spans="1:10" ht="31.5" hidden="1" x14ac:dyDescent="0.25">
      <c r="A507" s="399" t="s">
        <v>123</v>
      </c>
      <c r="B507" s="455">
        <v>903</v>
      </c>
      <c r="C507" s="402" t="s">
        <v>174</v>
      </c>
      <c r="D507" s="402" t="s">
        <v>159</v>
      </c>
      <c r="E507" s="402" t="s">
        <v>760</v>
      </c>
      <c r="F507" s="402" t="s">
        <v>124</v>
      </c>
      <c r="G507" s="318">
        <f>G508</f>
        <v>0</v>
      </c>
      <c r="H507" s="318">
        <f>H508</f>
        <v>0</v>
      </c>
      <c r="I507" s="334"/>
      <c r="J507" s="321"/>
    </row>
    <row r="508" spans="1:10" ht="31.5" hidden="1" x14ac:dyDescent="0.25">
      <c r="A508" s="399" t="s">
        <v>125</v>
      </c>
      <c r="B508" s="455">
        <v>903</v>
      </c>
      <c r="C508" s="402" t="s">
        <v>174</v>
      </c>
      <c r="D508" s="402" t="s">
        <v>159</v>
      </c>
      <c r="E508" s="402" t="s">
        <v>760</v>
      </c>
      <c r="F508" s="402" t="s">
        <v>126</v>
      </c>
      <c r="G508" s="318"/>
      <c r="H508" s="318"/>
      <c r="I508" s="334"/>
      <c r="J508" s="321"/>
    </row>
    <row r="509" spans="1:10" ht="15.75" x14ac:dyDescent="0.25">
      <c r="A509" s="399" t="s">
        <v>177</v>
      </c>
      <c r="B509" s="455">
        <v>903</v>
      </c>
      <c r="C509" s="402" t="s">
        <v>174</v>
      </c>
      <c r="D509" s="402" t="s">
        <v>159</v>
      </c>
      <c r="E509" s="402" t="s">
        <v>760</v>
      </c>
      <c r="F509" s="402" t="s">
        <v>178</v>
      </c>
      <c r="G509" s="318">
        <f>G510</f>
        <v>630</v>
      </c>
      <c r="H509" s="318">
        <f>H510</f>
        <v>630</v>
      </c>
      <c r="I509" s="334"/>
      <c r="J509" s="321"/>
    </row>
    <row r="510" spans="1:10" ht="15.75" x14ac:dyDescent="0.25">
      <c r="A510" s="399" t="s">
        <v>216</v>
      </c>
      <c r="B510" s="455">
        <v>903</v>
      </c>
      <c r="C510" s="402" t="s">
        <v>174</v>
      </c>
      <c r="D510" s="402" t="s">
        <v>159</v>
      </c>
      <c r="E510" s="402" t="s">
        <v>760</v>
      </c>
      <c r="F510" s="402" t="s">
        <v>217</v>
      </c>
      <c r="G510" s="318">
        <v>630</v>
      </c>
      <c r="H510" s="318">
        <v>630</v>
      </c>
      <c r="I510" s="334"/>
      <c r="J510" s="321"/>
    </row>
    <row r="511" spans="1:10" ht="31.5" x14ac:dyDescent="0.25">
      <c r="A511" s="417" t="s">
        <v>764</v>
      </c>
      <c r="B511" s="454">
        <v>903</v>
      </c>
      <c r="C511" s="454">
        <v>10</v>
      </c>
      <c r="D511" s="414" t="s">
        <v>159</v>
      </c>
      <c r="E511" s="414" t="s">
        <v>762</v>
      </c>
      <c r="F511" s="414"/>
      <c r="G511" s="314">
        <f>G512</f>
        <v>257</v>
      </c>
      <c r="H511" s="314">
        <f>H512</f>
        <v>257</v>
      </c>
      <c r="I511" s="334"/>
      <c r="J511" s="321"/>
    </row>
    <row r="512" spans="1:10" ht="15.75" x14ac:dyDescent="0.25">
      <c r="A512" s="399" t="s">
        <v>761</v>
      </c>
      <c r="B512" s="455">
        <v>903</v>
      </c>
      <c r="C512" s="402" t="s">
        <v>174</v>
      </c>
      <c r="D512" s="402" t="s">
        <v>159</v>
      </c>
      <c r="E512" s="402" t="s">
        <v>763</v>
      </c>
      <c r="F512" s="402"/>
      <c r="G512" s="318">
        <f>G514+G516</f>
        <v>257</v>
      </c>
      <c r="H512" s="318">
        <f>H514+H516</f>
        <v>257</v>
      </c>
      <c r="I512" s="334"/>
      <c r="J512" s="321"/>
    </row>
    <row r="513" spans="1:10" ht="31.5" hidden="1" x14ac:dyDescent="0.25">
      <c r="A513" s="399" t="s">
        <v>123</v>
      </c>
      <c r="B513" s="455">
        <v>903</v>
      </c>
      <c r="C513" s="402" t="s">
        <v>174</v>
      </c>
      <c r="D513" s="402" t="s">
        <v>159</v>
      </c>
      <c r="E513" s="402" t="s">
        <v>763</v>
      </c>
      <c r="F513" s="402" t="s">
        <v>124</v>
      </c>
      <c r="G513" s="318">
        <f>G514</f>
        <v>0</v>
      </c>
      <c r="H513" s="318">
        <f>H514</f>
        <v>0</v>
      </c>
      <c r="I513" s="334"/>
      <c r="J513" s="321"/>
    </row>
    <row r="514" spans="1:10" ht="31.5" hidden="1" x14ac:dyDescent="0.25">
      <c r="A514" s="399" t="s">
        <v>125</v>
      </c>
      <c r="B514" s="455">
        <v>903</v>
      </c>
      <c r="C514" s="402" t="s">
        <v>174</v>
      </c>
      <c r="D514" s="402" t="s">
        <v>159</v>
      </c>
      <c r="E514" s="402" t="s">
        <v>763</v>
      </c>
      <c r="F514" s="402" t="s">
        <v>126</v>
      </c>
      <c r="G514" s="318"/>
      <c r="H514" s="318"/>
      <c r="I514" s="334"/>
      <c r="J514" s="321"/>
    </row>
    <row r="515" spans="1:10" ht="15.75" x14ac:dyDescent="0.25">
      <c r="A515" s="399" t="s">
        <v>177</v>
      </c>
      <c r="B515" s="455">
        <v>903</v>
      </c>
      <c r="C515" s="402" t="s">
        <v>174</v>
      </c>
      <c r="D515" s="402" t="s">
        <v>159</v>
      </c>
      <c r="E515" s="402" t="s">
        <v>763</v>
      </c>
      <c r="F515" s="402" t="s">
        <v>178</v>
      </c>
      <c r="G515" s="318">
        <f>G516</f>
        <v>257</v>
      </c>
      <c r="H515" s="318">
        <f>H516</f>
        <v>257</v>
      </c>
      <c r="I515" s="334"/>
      <c r="J515" s="321"/>
    </row>
    <row r="516" spans="1:10" ht="15.75" x14ac:dyDescent="0.25">
      <c r="A516" s="399" t="s">
        <v>216</v>
      </c>
      <c r="B516" s="455">
        <v>903</v>
      </c>
      <c r="C516" s="402" t="s">
        <v>174</v>
      </c>
      <c r="D516" s="402" t="s">
        <v>159</v>
      </c>
      <c r="E516" s="402" t="s">
        <v>763</v>
      </c>
      <c r="F516" s="402" t="s">
        <v>217</v>
      </c>
      <c r="G516" s="318">
        <v>257</v>
      </c>
      <c r="H516" s="318">
        <v>257</v>
      </c>
      <c r="I516" s="334"/>
      <c r="J516" s="321"/>
    </row>
    <row r="517" spans="1:10" ht="31.5" x14ac:dyDescent="0.25">
      <c r="A517" s="417" t="s">
        <v>560</v>
      </c>
      <c r="B517" s="454">
        <v>903</v>
      </c>
      <c r="C517" s="454">
        <v>10</v>
      </c>
      <c r="D517" s="414" t="s">
        <v>159</v>
      </c>
      <c r="E517" s="414" t="s">
        <v>757</v>
      </c>
      <c r="F517" s="414"/>
      <c r="G517" s="314">
        <f t="shared" ref="G517:H519" si="38">G518</f>
        <v>420</v>
      </c>
      <c r="H517" s="314">
        <f t="shared" si="38"/>
        <v>420</v>
      </c>
      <c r="I517" s="334"/>
      <c r="J517" s="321"/>
    </row>
    <row r="518" spans="1:10" ht="15.75" x14ac:dyDescent="0.25">
      <c r="A518" s="399" t="s">
        <v>598</v>
      </c>
      <c r="B518" s="455">
        <v>903</v>
      </c>
      <c r="C518" s="402" t="s">
        <v>174</v>
      </c>
      <c r="D518" s="402" t="s">
        <v>159</v>
      </c>
      <c r="E518" s="402" t="s">
        <v>759</v>
      </c>
      <c r="F518" s="402"/>
      <c r="G518" s="318">
        <f t="shared" si="38"/>
        <v>420</v>
      </c>
      <c r="H518" s="318">
        <f t="shared" si="38"/>
        <v>420</v>
      </c>
      <c r="I518" s="334"/>
      <c r="J518" s="321"/>
    </row>
    <row r="519" spans="1:10" ht="15.75" x14ac:dyDescent="0.25">
      <c r="A519" s="399" t="s">
        <v>177</v>
      </c>
      <c r="B519" s="455">
        <v>903</v>
      </c>
      <c r="C519" s="402" t="s">
        <v>174</v>
      </c>
      <c r="D519" s="402" t="s">
        <v>159</v>
      </c>
      <c r="E519" s="402" t="s">
        <v>759</v>
      </c>
      <c r="F519" s="402" t="s">
        <v>178</v>
      </c>
      <c r="G519" s="318">
        <f t="shared" si="38"/>
        <v>420</v>
      </c>
      <c r="H519" s="318">
        <f t="shared" si="38"/>
        <v>420</v>
      </c>
      <c r="I519" s="334"/>
      <c r="J519" s="321"/>
    </row>
    <row r="520" spans="1:10" ht="15.75" x14ac:dyDescent="0.25">
      <c r="A520" s="399" t="s">
        <v>216</v>
      </c>
      <c r="B520" s="455">
        <v>903</v>
      </c>
      <c r="C520" s="402" t="s">
        <v>174</v>
      </c>
      <c r="D520" s="402" t="s">
        <v>159</v>
      </c>
      <c r="E520" s="402" t="s">
        <v>759</v>
      </c>
      <c r="F520" s="402" t="s">
        <v>217</v>
      </c>
      <c r="G520" s="318">
        <v>420</v>
      </c>
      <c r="H520" s="318">
        <v>420</v>
      </c>
      <c r="I520" s="334"/>
      <c r="J520" s="321"/>
    </row>
    <row r="521" spans="1:10" ht="15.75" x14ac:dyDescent="0.25">
      <c r="A521" s="417" t="s">
        <v>288</v>
      </c>
      <c r="B521" s="454">
        <v>903</v>
      </c>
      <c r="C521" s="414" t="s">
        <v>171</v>
      </c>
      <c r="D521" s="402"/>
      <c r="E521" s="402"/>
      <c r="F521" s="402"/>
      <c r="G521" s="314">
        <f>G522</f>
        <v>6358.2</v>
      </c>
      <c r="H521" s="314">
        <f>H522</f>
        <v>6358.2</v>
      </c>
      <c r="I521" s="334"/>
      <c r="J521" s="321"/>
    </row>
    <row r="522" spans="1:10" ht="15.75" x14ac:dyDescent="0.25">
      <c r="A522" s="417" t="s">
        <v>289</v>
      </c>
      <c r="B522" s="454">
        <v>903</v>
      </c>
      <c r="C522" s="414" t="s">
        <v>171</v>
      </c>
      <c r="D522" s="414" t="s">
        <v>158</v>
      </c>
      <c r="E522" s="414"/>
      <c r="F522" s="414"/>
      <c r="G522" s="314">
        <f>G523+G536</f>
        <v>6358.2</v>
      </c>
      <c r="H522" s="314">
        <f>H523+H536</f>
        <v>6358.2</v>
      </c>
      <c r="I522" s="334"/>
      <c r="J522" s="321"/>
    </row>
    <row r="523" spans="1:10" ht="31.5" x14ac:dyDescent="0.25">
      <c r="A523" s="417" t="s">
        <v>854</v>
      </c>
      <c r="B523" s="454">
        <v>903</v>
      </c>
      <c r="C523" s="414" t="s">
        <v>171</v>
      </c>
      <c r="D523" s="414" t="s">
        <v>158</v>
      </c>
      <c r="E523" s="414" t="s">
        <v>189</v>
      </c>
      <c r="F523" s="414"/>
      <c r="G523" s="314">
        <f>G524+G532</f>
        <v>6283.3</v>
      </c>
      <c r="H523" s="314">
        <f>H524+H532</f>
        <v>6283.3</v>
      </c>
      <c r="I523" s="334"/>
      <c r="J523" s="321"/>
    </row>
    <row r="524" spans="1:10" ht="31.5" x14ac:dyDescent="0.25">
      <c r="A524" s="417" t="s">
        <v>815</v>
      </c>
      <c r="B524" s="454">
        <v>903</v>
      </c>
      <c r="C524" s="414" t="s">
        <v>171</v>
      </c>
      <c r="D524" s="414" t="s">
        <v>158</v>
      </c>
      <c r="E524" s="414" t="s">
        <v>743</v>
      </c>
      <c r="F524" s="414"/>
      <c r="G524" s="314">
        <f>G525</f>
        <v>6025.3</v>
      </c>
      <c r="H524" s="314">
        <f>H525</f>
        <v>6025.3</v>
      </c>
      <c r="I524" s="334"/>
      <c r="J524" s="321"/>
    </row>
    <row r="525" spans="1:10" ht="15.75" x14ac:dyDescent="0.25">
      <c r="A525" s="399" t="s">
        <v>379</v>
      </c>
      <c r="B525" s="455">
        <v>903</v>
      </c>
      <c r="C525" s="402" t="s">
        <v>171</v>
      </c>
      <c r="D525" s="402" t="s">
        <v>158</v>
      </c>
      <c r="E525" s="402" t="s">
        <v>744</v>
      </c>
      <c r="F525" s="402"/>
      <c r="G525" s="318">
        <f>G526+G528+G530</f>
        <v>6025.3</v>
      </c>
      <c r="H525" s="318">
        <f>H526+H528+H530</f>
        <v>6025.3</v>
      </c>
      <c r="I525" s="334"/>
      <c r="J525" s="321"/>
    </row>
    <row r="526" spans="1:10" ht="63" x14ac:dyDescent="0.25">
      <c r="A526" s="399" t="s">
        <v>119</v>
      </c>
      <c r="B526" s="455">
        <v>903</v>
      </c>
      <c r="C526" s="402" t="s">
        <v>171</v>
      </c>
      <c r="D526" s="402" t="s">
        <v>158</v>
      </c>
      <c r="E526" s="402" t="s">
        <v>744</v>
      </c>
      <c r="F526" s="402" t="s">
        <v>120</v>
      </c>
      <c r="G526" s="318">
        <f>G527</f>
        <v>5124.5</v>
      </c>
      <c r="H526" s="318">
        <f>H527</f>
        <v>5124.5</v>
      </c>
      <c r="I526" s="334"/>
      <c r="J526" s="321"/>
    </row>
    <row r="527" spans="1:10" ht="15.75" x14ac:dyDescent="0.25">
      <c r="A527" s="399" t="s">
        <v>155</v>
      </c>
      <c r="B527" s="455">
        <v>903</v>
      </c>
      <c r="C527" s="402" t="s">
        <v>171</v>
      </c>
      <c r="D527" s="402" t="s">
        <v>158</v>
      </c>
      <c r="E527" s="402" t="s">
        <v>744</v>
      </c>
      <c r="F527" s="402" t="s">
        <v>156</v>
      </c>
      <c r="G527" s="20">
        <v>5124.5</v>
      </c>
      <c r="H527" s="20">
        <f>G527</f>
        <v>5124.5</v>
      </c>
      <c r="I527" s="334"/>
      <c r="J527" s="334"/>
    </row>
    <row r="528" spans="1:10" ht="31.5" x14ac:dyDescent="0.25">
      <c r="A528" s="399" t="s">
        <v>123</v>
      </c>
      <c r="B528" s="455">
        <v>903</v>
      </c>
      <c r="C528" s="402" t="s">
        <v>171</v>
      </c>
      <c r="D528" s="402" t="s">
        <v>158</v>
      </c>
      <c r="E528" s="402" t="s">
        <v>744</v>
      </c>
      <c r="F528" s="402" t="s">
        <v>124</v>
      </c>
      <c r="G528" s="318">
        <f>G529</f>
        <v>890.3</v>
      </c>
      <c r="H528" s="318">
        <f>H529</f>
        <v>890.3</v>
      </c>
      <c r="I528" s="334"/>
      <c r="J528" s="321"/>
    </row>
    <row r="529" spans="1:10" ht="31.5" x14ac:dyDescent="0.25">
      <c r="A529" s="399" t="s">
        <v>125</v>
      </c>
      <c r="B529" s="455">
        <v>903</v>
      </c>
      <c r="C529" s="402" t="s">
        <v>171</v>
      </c>
      <c r="D529" s="402" t="s">
        <v>158</v>
      </c>
      <c r="E529" s="402" t="s">
        <v>744</v>
      </c>
      <c r="F529" s="402" t="s">
        <v>126</v>
      </c>
      <c r="G529" s="20">
        <v>890.3</v>
      </c>
      <c r="H529" s="20">
        <v>890.3</v>
      </c>
      <c r="I529" s="334"/>
      <c r="J529" s="321"/>
    </row>
    <row r="530" spans="1:10" ht="15.75" x14ac:dyDescent="0.25">
      <c r="A530" s="399" t="s">
        <v>127</v>
      </c>
      <c r="B530" s="455">
        <v>903</v>
      </c>
      <c r="C530" s="402" t="s">
        <v>171</v>
      </c>
      <c r="D530" s="402" t="s">
        <v>158</v>
      </c>
      <c r="E530" s="402" t="s">
        <v>744</v>
      </c>
      <c r="F530" s="402" t="s">
        <v>134</v>
      </c>
      <c r="G530" s="318">
        <f>G531</f>
        <v>10.5</v>
      </c>
      <c r="H530" s="318">
        <f>H531</f>
        <v>10.5</v>
      </c>
      <c r="I530" s="334"/>
      <c r="J530" s="321"/>
    </row>
    <row r="531" spans="1:10" ht="15.75" x14ac:dyDescent="0.25">
      <c r="A531" s="399" t="s">
        <v>280</v>
      </c>
      <c r="B531" s="455">
        <v>903</v>
      </c>
      <c r="C531" s="402" t="s">
        <v>171</v>
      </c>
      <c r="D531" s="402" t="s">
        <v>158</v>
      </c>
      <c r="E531" s="402" t="s">
        <v>744</v>
      </c>
      <c r="F531" s="402" t="s">
        <v>130</v>
      </c>
      <c r="G531" s="318">
        <v>10.5</v>
      </c>
      <c r="H531" s="318">
        <v>10.5</v>
      </c>
      <c r="I531" s="334"/>
      <c r="J531" s="321"/>
    </row>
    <row r="532" spans="1:10" ht="31.5" x14ac:dyDescent="0.25">
      <c r="A532" s="417" t="s">
        <v>514</v>
      </c>
      <c r="B532" s="454">
        <v>903</v>
      </c>
      <c r="C532" s="414" t="s">
        <v>171</v>
      </c>
      <c r="D532" s="414" t="s">
        <v>158</v>
      </c>
      <c r="E532" s="414" t="s">
        <v>748</v>
      </c>
      <c r="F532" s="414"/>
      <c r="G532" s="314">
        <f t="shared" ref="G532:H534" si="39">G533</f>
        <v>258</v>
      </c>
      <c r="H532" s="314">
        <f t="shared" si="39"/>
        <v>258</v>
      </c>
      <c r="I532" s="334"/>
      <c r="J532" s="321"/>
    </row>
    <row r="533" spans="1:10" ht="31.5" x14ac:dyDescent="0.25">
      <c r="A533" s="399" t="s">
        <v>416</v>
      </c>
      <c r="B533" s="455">
        <v>903</v>
      </c>
      <c r="C533" s="402" t="s">
        <v>171</v>
      </c>
      <c r="D533" s="402" t="s">
        <v>158</v>
      </c>
      <c r="E533" s="402" t="s">
        <v>749</v>
      </c>
      <c r="F533" s="402"/>
      <c r="G533" s="318">
        <f t="shared" si="39"/>
        <v>258</v>
      </c>
      <c r="H533" s="318">
        <f t="shared" si="39"/>
        <v>258</v>
      </c>
      <c r="I533" s="334"/>
      <c r="J533" s="321"/>
    </row>
    <row r="534" spans="1:10" ht="63" x14ac:dyDescent="0.25">
      <c r="A534" s="399" t="s">
        <v>119</v>
      </c>
      <c r="B534" s="455">
        <v>903</v>
      </c>
      <c r="C534" s="402" t="s">
        <v>171</v>
      </c>
      <c r="D534" s="402" t="s">
        <v>158</v>
      </c>
      <c r="E534" s="402" t="s">
        <v>749</v>
      </c>
      <c r="F534" s="402" t="s">
        <v>120</v>
      </c>
      <c r="G534" s="318">
        <f t="shared" si="39"/>
        <v>258</v>
      </c>
      <c r="H534" s="318">
        <f t="shared" si="39"/>
        <v>258</v>
      </c>
      <c r="I534" s="334"/>
      <c r="J534" s="321"/>
    </row>
    <row r="535" spans="1:10" ht="15.75" x14ac:dyDescent="0.25">
      <c r="A535" s="399" t="s">
        <v>155</v>
      </c>
      <c r="B535" s="455">
        <v>903</v>
      </c>
      <c r="C535" s="402" t="s">
        <v>171</v>
      </c>
      <c r="D535" s="402" t="s">
        <v>158</v>
      </c>
      <c r="E535" s="402" t="s">
        <v>749</v>
      </c>
      <c r="F535" s="402" t="s">
        <v>156</v>
      </c>
      <c r="G535" s="318">
        <v>258</v>
      </c>
      <c r="H535" s="318">
        <v>258</v>
      </c>
      <c r="I535" s="334"/>
      <c r="J535" s="321"/>
    </row>
    <row r="536" spans="1:10" ht="47.25" x14ac:dyDescent="0.25">
      <c r="A536" s="463" t="s">
        <v>844</v>
      </c>
      <c r="B536" s="454">
        <v>903</v>
      </c>
      <c r="C536" s="414" t="s">
        <v>171</v>
      </c>
      <c r="D536" s="414" t="s">
        <v>158</v>
      </c>
      <c r="E536" s="414" t="s">
        <v>339</v>
      </c>
      <c r="F536" s="464"/>
      <c r="G536" s="314">
        <f>G538</f>
        <v>74.900000000000006</v>
      </c>
      <c r="H536" s="314">
        <f>H538</f>
        <v>74.900000000000006</v>
      </c>
      <c r="I536" s="334"/>
      <c r="J536" s="321"/>
    </row>
    <row r="537" spans="1:10" ht="47.25" x14ac:dyDescent="0.25">
      <c r="A537" s="463" t="s">
        <v>463</v>
      </c>
      <c r="B537" s="454">
        <v>903</v>
      </c>
      <c r="C537" s="414" t="s">
        <v>171</v>
      </c>
      <c r="D537" s="414" t="s">
        <v>158</v>
      </c>
      <c r="E537" s="414" t="s">
        <v>461</v>
      </c>
      <c r="F537" s="464"/>
      <c r="G537" s="314">
        <f t="shared" ref="G537:H539" si="40">G538</f>
        <v>74.900000000000006</v>
      </c>
      <c r="H537" s="314">
        <f t="shared" si="40"/>
        <v>74.900000000000006</v>
      </c>
      <c r="I537" s="334"/>
      <c r="J537" s="321"/>
    </row>
    <row r="538" spans="1:10" ht="31.5" x14ac:dyDescent="0.25">
      <c r="A538" s="466" t="s">
        <v>567</v>
      </c>
      <c r="B538" s="455">
        <v>903</v>
      </c>
      <c r="C538" s="402" t="s">
        <v>171</v>
      </c>
      <c r="D538" s="402" t="s">
        <v>158</v>
      </c>
      <c r="E538" s="402" t="s">
        <v>462</v>
      </c>
      <c r="F538" s="467"/>
      <c r="G538" s="318">
        <f t="shared" si="40"/>
        <v>74.900000000000006</v>
      </c>
      <c r="H538" s="318">
        <f t="shared" si="40"/>
        <v>74.900000000000006</v>
      </c>
      <c r="I538" s="334"/>
      <c r="J538" s="321"/>
    </row>
    <row r="539" spans="1:10" ht="31.5" x14ac:dyDescent="0.25">
      <c r="A539" s="399" t="s">
        <v>123</v>
      </c>
      <c r="B539" s="455">
        <v>903</v>
      </c>
      <c r="C539" s="402" t="s">
        <v>171</v>
      </c>
      <c r="D539" s="402" t="s">
        <v>158</v>
      </c>
      <c r="E539" s="402" t="s">
        <v>462</v>
      </c>
      <c r="F539" s="467" t="s">
        <v>124</v>
      </c>
      <c r="G539" s="318">
        <f t="shared" si="40"/>
        <v>74.900000000000006</v>
      </c>
      <c r="H539" s="318">
        <f t="shared" si="40"/>
        <v>74.900000000000006</v>
      </c>
      <c r="I539" s="334"/>
      <c r="J539" s="321"/>
    </row>
    <row r="540" spans="1:10" ht="31.5" x14ac:dyDescent="0.25">
      <c r="A540" s="399" t="s">
        <v>125</v>
      </c>
      <c r="B540" s="455">
        <v>903</v>
      </c>
      <c r="C540" s="402" t="s">
        <v>171</v>
      </c>
      <c r="D540" s="402" t="s">
        <v>158</v>
      </c>
      <c r="E540" s="402" t="s">
        <v>462</v>
      </c>
      <c r="F540" s="467" t="s">
        <v>126</v>
      </c>
      <c r="G540" s="318">
        <v>74.900000000000006</v>
      </c>
      <c r="H540" s="318">
        <v>74.900000000000006</v>
      </c>
      <c r="I540" s="334"/>
      <c r="J540" s="321"/>
    </row>
    <row r="541" spans="1:10" ht="31.5" x14ac:dyDescent="0.25">
      <c r="A541" s="454" t="s">
        <v>1106</v>
      </c>
      <c r="B541" s="454">
        <v>904</v>
      </c>
      <c r="C541" s="414"/>
      <c r="D541" s="414"/>
      <c r="E541" s="414"/>
      <c r="F541" s="464"/>
      <c r="G541" s="314">
        <f>G542</f>
        <v>2959.4</v>
      </c>
      <c r="H541" s="314">
        <f>H542</f>
        <v>2959.4</v>
      </c>
      <c r="I541" s="334"/>
      <c r="J541" s="321"/>
    </row>
    <row r="542" spans="1:10" ht="15.75" x14ac:dyDescent="0.25">
      <c r="A542" s="413" t="s">
        <v>115</v>
      </c>
      <c r="B542" s="454">
        <v>904</v>
      </c>
      <c r="C542" s="414" t="s">
        <v>116</v>
      </c>
      <c r="D542" s="414"/>
      <c r="E542" s="414"/>
      <c r="F542" s="464"/>
      <c r="G542" s="314">
        <f>G543</f>
        <v>2959.4</v>
      </c>
      <c r="H542" s="314">
        <f>H543</f>
        <v>2959.4</v>
      </c>
      <c r="I542" s="334"/>
      <c r="J542" s="321"/>
    </row>
    <row r="543" spans="1:10" ht="47.25" x14ac:dyDescent="0.25">
      <c r="A543" s="417" t="s">
        <v>117</v>
      </c>
      <c r="B543" s="454">
        <v>904</v>
      </c>
      <c r="C543" s="414" t="s">
        <v>116</v>
      </c>
      <c r="D543" s="414" t="s">
        <v>118</v>
      </c>
      <c r="E543" s="414"/>
      <c r="F543" s="414"/>
      <c r="G543" s="314">
        <f t="shared" ref="G543:H544" si="41">G544</f>
        <v>2959.4</v>
      </c>
      <c r="H543" s="314">
        <f t="shared" si="41"/>
        <v>2959.4</v>
      </c>
      <c r="I543" s="334"/>
      <c r="J543" s="321"/>
    </row>
    <row r="544" spans="1:10" ht="31.5" x14ac:dyDescent="0.25">
      <c r="A544" s="417" t="s">
        <v>488</v>
      </c>
      <c r="B544" s="454">
        <v>904</v>
      </c>
      <c r="C544" s="414" t="s">
        <v>116</v>
      </c>
      <c r="D544" s="414" t="s">
        <v>118</v>
      </c>
      <c r="E544" s="414" t="s">
        <v>434</v>
      </c>
      <c r="F544" s="414"/>
      <c r="G544" s="314">
        <f t="shared" si="41"/>
        <v>2959.4</v>
      </c>
      <c r="H544" s="314">
        <f t="shared" si="41"/>
        <v>2959.4</v>
      </c>
      <c r="I544" s="334"/>
      <c r="J544" s="321"/>
    </row>
    <row r="545" spans="1:10" ht="31.5" x14ac:dyDescent="0.25">
      <c r="A545" s="417" t="s">
        <v>1097</v>
      </c>
      <c r="B545" s="454">
        <v>904</v>
      </c>
      <c r="C545" s="414" t="s">
        <v>116</v>
      </c>
      <c r="D545" s="414" t="s">
        <v>118</v>
      </c>
      <c r="E545" s="414" t="s">
        <v>1098</v>
      </c>
      <c r="F545" s="414"/>
      <c r="G545" s="314">
        <f>G546+G551</f>
        <v>2959.4</v>
      </c>
      <c r="H545" s="314">
        <f>H546+H551</f>
        <v>2959.4</v>
      </c>
      <c r="I545" s="334"/>
      <c r="J545" s="321"/>
    </row>
    <row r="546" spans="1:10" ht="31.5" x14ac:dyDescent="0.25">
      <c r="A546" s="399" t="s">
        <v>468</v>
      </c>
      <c r="B546" s="455">
        <v>904</v>
      </c>
      <c r="C546" s="402" t="s">
        <v>116</v>
      </c>
      <c r="D546" s="402" t="s">
        <v>118</v>
      </c>
      <c r="E546" s="402" t="s">
        <v>1101</v>
      </c>
      <c r="F546" s="402"/>
      <c r="G546" s="318">
        <f>G547+G549</f>
        <v>723.6</v>
      </c>
      <c r="H546" s="318">
        <f>H547+H549</f>
        <v>723.6</v>
      </c>
      <c r="I546" s="334"/>
      <c r="J546" s="321"/>
    </row>
    <row r="547" spans="1:10" ht="63" x14ac:dyDescent="0.25">
      <c r="A547" s="399" t="s">
        <v>119</v>
      </c>
      <c r="B547" s="455">
        <v>904</v>
      </c>
      <c r="C547" s="402" t="s">
        <v>116</v>
      </c>
      <c r="D547" s="402" t="s">
        <v>118</v>
      </c>
      <c r="E547" s="402" t="s">
        <v>1101</v>
      </c>
      <c r="F547" s="402" t="s">
        <v>120</v>
      </c>
      <c r="G547" s="318">
        <f>G548</f>
        <v>630.6</v>
      </c>
      <c r="H547" s="318">
        <f>H548</f>
        <v>630.6</v>
      </c>
      <c r="I547" s="334"/>
      <c r="J547" s="321"/>
    </row>
    <row r="548" spans="1:10" ht="31.5" x14ac:dyDescent="0.25">
      <c r="A548" s="399" t="s">
        <v>121</v>
      </c>
      <c r="B548" s="455">
        <v>904</v>
      </c>
      <c r="C548" s="402" t="s">
        <v>116</v>
      </c>
      <c r="D548" s="402" t="s">
        <v>118</v>
      </c>
      <c r="E548" s="402" t="s">
        <v>1101</v>
      </c>
      <c r="F548" s="402" t="s">
        <v>122</v>
      </c>
      <c r="G548" s="318">
        <v>630.6</v>
      </c>
      <c r="H548" s="318">
        <f>G548</f>
        <v>630.6</v>
      </c>
      <c r="I548" s="334"/>
      <c r="J548" s="321"/>
    </row>
    <row r="549" spans="1:10" ht="31.5" x14ac:dyDescent="0.25">
      <c r="A549" s="399" t="s">
        <v>153</v>
      </c>
      <c r="B549" s="455">
        <v>904</v>
      </c>
      <c r="C549" s="402" t="s">
        <v>116</v>
      </c>
      <c r="D549" s="402" t="s">
        <v>118</v>
      </c>
      <c r="E549" s="402" t="s">
        <v>1101</v>
      </c>
      <c r="F549" s="402" t="s">
        <v>124</v>
      </c>
      <c r="G549" s="318">
        <f>G550</f>
        <v>93</v>
      </c>
      <c r="H549" s="318">
        <f>H550</f>
        <v>93</v>
      </c>
      <c r="I549" s="334"/>
      <c r="J549" s="321"/>
    </row>
    <row r="550" spans="1:10" ht="31.5" x14ac:dyDescent="0.25">
      <c r="A550" s="399" t="s">
        <v>125</v>
      </c>
      <c r="B550" s="455">
        <v>904</v>
      </c>
      <c r="C550" s="402" t="s">
        <v>116</v>
      </c>
      <c r="D550" s="402" t="s">
        <v>118</v>
      </c>
      <c r="E550" s="402" t="s">
        <v>1101</v>
      </c>
      <c r="F550" s="402" t="s">
        <v>126</v>
      </c>
      <c r="G550" s="318">
        <v>93</v>
      </c>
      <c r="H550" s="318">
        <v>93</v>
      </c>
      <c r="I550" s="334"/>
      <c r="J550" s="321"/>
    </row>
    <row r="551" spans="1:10" ht="47.25" x14ac:dyDescent="0.25">
      <c r="A551" s="399" t="s">
        <v>1099</v>
      </c>
      <c r="B551" s="455">
        <v>904</v>
      </c>
      <c r="C551" s="402" t="s">
        <v>116</v>
      </c>
      <c r="D551" s="402" t="s">
        <v>118</v>
      </c>
      <c r="E551" s="402" t="s">
        <v>1100</v>
      </c>
      <c r="F551" s="402"/>
      <c r="G551" s="318">
        <f>G552</f>
        <v>2235.8000000000002</v>
      </c>
      <c r="H551" s="318">
        <f>H552</f>
        <v>2235.8000000000002</v>
      </c>
      <c r="I551" s="334"/>
      <c r="J551" s="321"/>
    </row>
    <row r="552" spans="1:10" ht="63" x14ac:dyDescent="0.25">
      <c r="A552" s="399" t="s">
        <v>119</v>
      </c>
      <c r="B552" s="455">
        <v>904</v>
      </c>
      <c r="C552" s="402" t="s">
        <v>116</v>
      </c>
      <c r="D552" s="402" t="s">
        <v>118</v>
      </c>
      <c r="E552" s="402" t="s">
        <v>1100</v>
      </c>
      <c r="F552" s="402" t="s">
        <v>120</v>
      </c>
      <c r="G552" s="318">
        <f>G553</f>
        <v>2235.8000000000002</v>
      </c>
      <c r="H552" s="318">
        <f>H553</f>
        <v>2235.8000000000002</v>
      </c>
      <c r="I552" s="334"/>
      <c r="J552" s="321"/>
    </row>
    <row r="553" spans="1:10" ht="31.5" x14ac:dyDescent="0.25">
      <c r="A553" s="399" t="s">
        <v>121</v>
      </c>
      <c r="B553" s="455">
        <v>904</v>
      </c>
      <c r="C553" s="402" t="s">
        <v>116</v>
      </c>
      <c r="D553" s="402" t="s">
        <v>118</v>
      </c>
      <c r="E553" s="402" t="s">
        <v>1100</v>
      </c>
      <c r="F553" s="402" t="s">
        <v>122</v>
      </c>
      <c r="G553" s="318">
        <v>2235.8000000000002</v>
      </c>
      <c r="H553" s="318">
        <f>G553</f>
        <v>2235.8000000000002</v>
      </c>
      <c r="I553" s="334"/>
      <c r="J553" s="321"/>
    </row>
    <row r="554" spans="1:10" ht="31.5" x14ac:dyDescent="0.25">
      <c r="A554" s="399" t="s">
        <v>416</v>
      </c>
      <c r="B554" s="455">
        <v>904</v>
      </c>
      <c r="C554" s="402" t="s">
        <v>116</v>
      </c>
      <c r="D554" s="402" t="s">
        <v>118</v>
      </c>
      <c r="E554" s="402" t="s">
        <v>1153</v>
      </c>
      <c r="F554" s="402"/>
      <c r="G554" s="318">
        <f>G555</f>
        <v>43</v>
      </c>
      <c r="H554" s="318">
        <f>H555</f>
        <v>0</v>
      </c>
      <c r="I554" s="334"/>
      <c r="J554" s="321"/>
    </row>
    <row r="555" spans="1:10" ht="63" x14ac:dyDescent="0.25">
      <c r="A555" s="399" t="s">
        <v>119</v>
      </c>
      <c r="B555" s="455">
        <v>904</v>
      </c>
      <c r="C555" s="402" t="s">
        <v>116</v>
      </c>
      <c r="D555" s="402" t="s">
        <v>118</v>
      </c>
      <c r="E555" s="402" t="s">
        <v>1153</v>
      </c>
      <c r="F555" s="402" t="s">
        <v>120</v>
      </c>
      <c r="G555" s="318">
        <f>G556</f>
        <v>43</v>
      </c>
      <c r="H555" s="318">
        <f>H556</f>
        <v>0</v>
      </c>
      <c r="I555" s="334"/>
      <c r="J555" s="321"/>
    </row>
    <row r="556" spans="1:10" ht="31.5" x14ac:dyDescent="0.25">
      <c r="A556" s="399" t="s">
        <v>121</v>
      </c>
      <c r="B556" s="455">
        <v>904</v>
      </c>
      <c r="C556" s="402" t="s">
        <v>116</v>
      </c>
      <c r="D556" s="402" t="s">
        <v>118</v>
      </c>
      <c r="E556" s="402" t="s">
        <v>1153</v>
      </c>
      <c r="F556" s="402" t="s">
        <v>122</v>
      </c>
      <c r="G556" s="318">
        <v>43</v>
      </c>
      <c r="H556" s="318">
        <v>0</v>
      </c>
      <c r="I556" s="334"/>
      <c r="J556" s="321"/>
    </row>
    <row r="557" spans="1:10" ht="31.5" x14ac:dyDescent="0.25">
      <c r="A557" s="454" t="s">
        <v>229</v>
      </c>
      <c r="B557" s="454">
        <v>905</v>
      </c>
      <c r="C557" s="402"/>
      <c r="D557" s="402"/>
      <c r="E557" s="402"/>
      <c r="F557" s="402"/>
      <c r="G557" s="314">
        <f>G558+G592+G602</f>
        <v>19524.8</v>
      </c>
      <c r="H557" s="314">
        <f>H558+H592+H602</f>
        <v>19525.400000000001</v>
      </c>
      <c r="I557" s="334"/>
      <c r="J557" s="321"/>
    </row>
    <row r="558" spans="1:10" ht="15.75" x14ac:dyDescent="0.25">
      <c r="A558" s="417" t="s">
        <v>115</v>
      </c>
      <c r="B558" s="454">
        <v>905</v>
      </c>
      <c r="C558" s="414" t="s">
        <v>116</v>
      </c>
      <c r="D558" s="402"/>
      <c r="E558" s="402"/>
      <c r="F558" s="402"/>
      <c r="G558" s="314">
        <f>G559+G576</f>
        <v>19254.399999999998</v>
      </c>
      <c r="H558" s="314">
        <f>H559+H576</f>
        <v>19255</v>
      </c>
      <c r="I558" s="334"/>
      <c r="J558" s="321"/>
    </row>
    <row r="559" spans="1:10" ht="65.25" customHeight="1" x14ac:dyDescent="0.25">
      <c r="A559" s="417" t="s">
        <v>138</v>
      </c>
      <c r="B559" s="454">
        <v>905</v>
      </c>
      <c r="C559" s="414" t="s">
        <v>116</v>
      </c>
      <c r="D559" s="414" t="s">
        <v>139</v>
      </c>
      <c r="E559" s="414"/>
      <c r="F559" s="414"/>
      <c r="G559" s="314">
        <f>G560</f>
        <v>13325.699999999999</v>
      </c>
      <c r="H559" s="314">
        <f>H560</f>
        <v>13326.3</v>
      </c>
      <c r="I559" s="334"/>
      <c r="J559" s="321"/>
    </row>
    <row r="560" spans="1:10" ht="31.5" x14ac:dyDescent="0.25">
      <c r="A560" s="417" t="s">
        <v>488</v>
      </c>
      <c r="B560" s="454">
        <v>905</v>
      </c>
      <c r="C560" s="414" t="s">
        <v>116</v>
      </c>
      <c r="D560" s="414" t="s">
        <v>139</v>
      </c>
      <c r="E560" s="414" t="s">
        <v>434</v>
      </c>
      <c r="F560" s="414"/>
      <c r="G560" s="314">
        <f>G561+G572</f>
        <v>13325.699999999999</v>
      </c>
      <c r="H560" s="314">
        <f>H561+H572</f>
        <v>13326.3</v>
      </c>
      <c r="I560" s="334"/>
      <c r="J560" s="321"/>
    </row>
    <row r="561" spans="1:11" ht="15.75" x14ac:dyDescent="0.25">
      <c r="A561" s="417" t="s">
        <v>489</v>
      </c>
      <c r="B561" s="454">
        <v>905</v>
      </c>
      <c r="C561" s="414" t="s">
        <v>116</v>
      </c>
      <c r="D561" s="414" t="s">
        <v>139</v>
      </c>
      <c r="E561" s="414" t="s">
        <v>435</v>
      </c>
      <c r="F561" s="414"/>
      <c r="G561" s="314">
        <f>G562+G569</f>
        <v>13308.4</v>
      </c>
      <c r="H561" s="314">
        <f>H562+H569</f>
        <v>13308.4</v>
      </c>
      <c r="I561" s="334"/>
      <c r="J561" s="321"/>
    </row>
    <row r="562" spans="1:11" ht="28.5" customHeight="1" x14ac:dyDescent="0.25">
      <c r="A562" s="399" t="s">
        <v>468</v>
      </c>
      <c r="B562" s="455">
        <v>905</v>
      </c>
      <c r="C562" s="402" t="s">
        <v>116</v>
      </c>
      <c r="D562" s="402" t="s">
        <v>139</v>
      </c>
      <c r="E562" s="402" t="s">
        <v>436</v>
      </c>
      <c r="F562" s="402"/>
      <c r="G562" s="318">
        <f>G563+G565+G567</f>
        <v>12835.4</v>
      </c>
      <c r="H562" s="318">
        <f>H563+H565+H567</f>
        <v>12835.4</v>
      </c>
      <c r="I562" s="334"/>
      <c r="J562" s="321"/>
    </row>
    <row r="563" spans="1:11" ht="63" x14ac:dyDescent="0.25">
      <c r="A563" s="399" t="s">
        <v>119</v>
      </c>
      <c r="B563" s="455">
        <v>905</v>
      </c>
      <c r="C563" s="402" t="s">
        <v>116</v>
      </c>
      <c r="D563" s="402" t="s">
        <v>139</v>
      </c>
      <c r="E563" s="402" t="s">
        <v>436</v>
      </c>
      <c r="F563" s="402" t="s">
        <v>120</v>
      </c>
      <c r="G563" s="318">
        <f>G564</f>
        <v>12294.4</v>
      </c>
      <c r="H563" s="318">
        <f>H564</f>
        <v>12294.4</v>
      </c>
      <c r="I563" s="334"/>
      <c r="J563" s="321"/>
    </row>
    <row r="564" spans="1:11" ht="31.5" x14ac:dyDescent="0.25">
      <c r="A564" s="399" t="s">
        <v>121</v>
      </c>
      <c r="B564" s="455">
        <v>905</v>
      </c>
      <c r="C564" s="402" t="s">
        <v>116</v>
      </c>
      <c r="D564" s="402" t="s">
        <v>139</v>
      </c>
      <c r="E564" s="402" t="s">
        <v>436</v>
      </c>
      <c r="F564" s="402" t="s">
        <v>122</v>
      </c>
      <c r="G564" s="20">
        <v>12294.4</v>
      </c>
      <c r="H564" s="20">
        <f>G564</f>
        <v>12294.4</v>
      </c>
      <c r="I564" s="334"/>
      <c r="J564" s="334"/>
      <c r="K564" s="335"/>
    </row>
    <row r="565" spans="1:11" ht="31.5" x14ac:dyDescent="0.25">
      <c r="A565" s="399" t="s">
        <v>123</v>
      </c>
      <c r="B565" s="455">
        <v>905</v>
      </c>
      <c r="C565" s="402" t="s">
        <v>116</v>
      </c>
      <c r="D565" s="402" t="s">
        <v>139</v>
      </c>
      <c r="E565" s="402" t="s">
        <v>436</v>
      </c>
      <c r="F565" s="402" t="s">
        <v>124</v>
      </c>
      <c r="G565" s="318">
        <f>G566</f>
        <v>410</v>
      </c>
      <c r="H565" s="318">
        <f>H566</f>
        <v>410</v>
      </c>
      <c r="I565" s="334"/>
      <c r="J565" s="321"/>
    </row>
    <row r="566" spans="1:11" ht="31.5" x14ac:dyDescent="0.25">
      <c r="A566" s="399" t="s">
        <v>125</v>
      </c>
      <c r="B566" s="455">
        <v>905</v>
      </c>
      <c r="C566" s="402" t="s">
        <v>116</v>
      </c>
      <c r="D566" s="402" t="s">
        <v>139</v>
      </c>
      <c r="E566" s="402" t="s">
        <v>436</v>
      </c>
      <c r="F566" s="402" t="s">
        <v>126</v>
      </c>
      <c r="G566" s="20">
        <v>410</v>
      </c>
      <c r="H566" s="20">
        <v>410</v>
      </c>
      <c r="I566" s="334"/>
      <c r="J566" s="334"/>
    </row>
    <row r="567" spans="1:11" ht="15.75" x14ac:dyDescent="0.25">
      <c r="A567" s="399" t="s">
        <v>127</v>
      </c>
      <c r="B567" s="455">
        <v>905</v>
      </c>
      <c r="C567" s="402" t="s">
        <v>116</v>
      </c>
      <c r="D567" s="402" t="s">
        <v>139</v>
      </c>
      <c r="E567" s="402" t="s">
        <v>436</v>
      </c>
      <c r="F567" s="402" t="s">
        <v>134</v>
      </c>
      <c r="G567" s="318">
        <f>G568</f>
        <v>131</v>
      </c>
      <c r="H567" s="318">
        <f>H568</f>
        <v>131</v>
      </c>
      <c r="I567" s="334"/>
      <c r="J567" s="321"/>
    </row>
    <row r="568" spans="1:11" ht="15.75" x14ac:dyDescent="0.25">
      <c r="A568" s="399" t="s">
        <v>280</v>
      </c>
      <c r="B568" s="455">
        <v>905</v>
      </c>
      <c r="C568" s="402" t="s">
        <v>116</v>
      </c>
      <c r="D568" s="402" t="s">
        <v>139</v>
      </c>
      <c r="E568" s="402" t="s">
        <v>436</v>
      </c>
      <c r="F568" s="402" t="s">
        <v>130</v>
      </c>
      <c r="G568" s="318">
        <v>131</v>
      </c>
      <c r="H568" s="318">
        <v>131</v>
      </c>
      <c r="I568" s="334"/>
      <c r="J568" s="334"/>
      <c r="K568" s="335"/>
    </row>
    <row r="569" spans="1:11" ht="31.5" x14ac:dyDescent="0.25">
      <c r="A569" s="399" t="s">
        <v>416</v>
      </c>
      <c r="B569" s="455">
        <v>905</v>
      </c>
      <c r="C569" s="402" t="s">
        <v>116</v>
      </c>
      <c r="D569" s="402" t="s">
        <v>139</v>
      </c>
      <c r="E569" s="402" t="s">
        <v>438</v>
      </c>
      <c r="F569" s="402"/>
      <c r="G569" s="318">
        <f>G570</f>
        <v>473</v>
      </c>
      <c r="H569" s="318">
        <f>H570</f>
        <v>473</v>
      </c>
      <c r="I569" s="334"/>
      <c r="J569" s="321"/>
    </row>
    <row r="570" spans="1:11" ht="63" x14ac:dyDescent="0.25">
      <c r="A570" s="399" t="s">
        <v>119</v>
      </c>
      <c r="B570" s="455">
        <v>905</v>
      </c>
      <c r="C570" s="402" t="s">
        <v>116</v>
      </c>
      <c r="D570" s="402" t="s">
        <v>139</v>
      </c>
      <c r="E570" s="402" t="s">
        <v>438</v>
      </c>
      <c r="F570" s="402" t="s">
        <v>120</v>
      </c>
      <c r="G570" s="318">
        <f>G571</f>
        <v>473</v>
      </c>
      <c r="H570" s="318">
        <f>H571</f>
        <v>473</v>
      </c>
      <c r="I570" s="334"/>
      <c r="J570" s="321"/>
    </row>
    <row r="571" spans="1:11" ht="31.5" x14ac:dyDescent="0.25">
      <c r="A571" s="399" t="s">
        <v>121</v>
      </c>
      <c r="B571" s="455">
        <v>905</v>
      </c>
      <c r="C571" s="402" t="s">
        <v>116</v>
      </c>
      <c r="D571" s="402" t="s">
        <v>139</v>
      </c>
      <c r="E571" s="402" t="s">
        <v>438</v>
      </c>
      <c r="F571" s="402" t="s">
        <v>122</v>
      </c>
      <c r="G571" s="318">
        <v>473</v>
      </c>
      <c r="H571" s="318">
        <v>473</v>
      </c>
      <c r="I571" s="334"/>
      <c r="J571" s="321"/>
    </row>
    <row r="572" spans="1:11" ht="31.5" x14ac:dyDescent="0.25">
      <c r="A572" s="417" t="s">
        <v>460</v>
      </c>
      <c r="B572" s="454">
        <v>905</v>
      </c>
      <c r="C572" s="414" t="s">
        <v>116</v>
      </c>
      <c r="D572" s="414" t="s">
        <v>139</v>
      </c>
      <c r="E572" s="414" t="s">
        <v>439</v>
      </c>
      <c r="F572" s="414"/>
      <c r="G572" s="314">
        <f t="shared" ref="G572:H574" si="42">G573</f>
        <v>17.3</v>
      </c>
      <c r="H572" s="314">
        <f t="shared" si="42"/>
        <v>17.899999999999999</v>
      </c>
      <c r="I572" s="334"/>
      <c r="J572" s="321"/>
    </row>
    <row r="573" spans="1:11" ht="77.45" customHeight="1" x14ac:dyDescent="0.25">
      <c r="A573" s="401" t="s">
        <v>719</v>
      </c>
      <c r="B573" s="455">
        <v>905</v>
      </c>
      <c r="C573" s="402" t="s">
        <v>116</v>
      </c>
      <c r="D573" s="402" t="s">
        <v>139</v>
      </c>
      <c r="E573" s="402" t="s">
        <v>718</v>
      </c>
      <c r="F573" s="402"/>
      <c r="G573" s="318">
        <f t="shared" si="42"/>
        <v>17.3</v>
      </c>
      <c r="H573" s="318">
        <f t="shared" si="42"/>
        <v>17.899999999999999</v>
      </c>
      <c r="I573" s="334"/>
      <c r="J573" s="321"/>
    </row>
    <row r="574" spans="1:11" ht="63" x14ac:dyDescent="0.25">
      <c r="A574" s="399" t="s">
        <v>119</v>
      </c>
      <c r="B574" s="455">
        <v>905</v>
      </c>
      <c r="C574" s="402" t="s">
        <v>116</v>
      </c>
      <c r="D574" s="402" t="s">
        <v>139</v>
      </c>
      <c r="E574" s="402" t="s">
        <v>718</v>
      </c>
      <c r="F574" s="402" t="s">
        <v>120</v>
      </c>
      <c r="G574" s="318">
        <f t="shared" si="42"/>
        <v>17.3</v>
      </c>
      <c r="H574" s="318">
        <f t="shared" si="42"/>
        <v>17.899999999999999</v>
      </c>
      <c r="I574" s="334"/>
      <c r="J574" s="321"/>
    </row>
    <row r="575" spans="1:11" ht="31.5" x14ac:dyDescent="0.25">
      <c r="A575" s="399" t="s">
        <v>121</v>
      </c>
      <c r="B575" s="455">
        <v>905</v>
      </c>
      <c r="C575" s="402" t="s">
        <v>116</v>
      </c>
      <c r="D575" s="402" t="s">
        <v>139</v>
      </c>
      <c r="E575" s="402" t="s">
        <v>718</v>
      </c>
      <c r="F575" s="402" t="s">
        <v>122</v>
      </c>
      <c r="G575" s="318">
        <v>17.3</v>
      </c>
      <c r="H575" s="318">
        <v>17.899999999999999</v>
      </c>
      <c r="I575" s="334"/>
      <c r="J575" s="321"/>
    </row>
    <row r="576" spans="1:11" ht="15.75" x14ac:dyDescent="0.25">
      <c r="A576" s="417" t="s">
        <v>131</v>
      </c>
      <c r="B576" s="454">
        <v>905</v>
      </c>
      <c r="C576" s="414" t="s">
        <v>116</v>
      </c>
      <c r="D576" s="414" t="s">
        <v>132</v>
      </c>
      <c r="E576" s="414"/>
      <c r="F576" s="414"/>
      <c r="G576" s="314">
        <f>G577+G587</f>
        <v>5928.7</v>
      </c>
      <c r="H576" s="314">
        <f>H577+H587</f>
        <v>5928.7</v>
      </c>
      <c r="I576" s="334"/>
      <c r="J576" s="321"/>
    </row>
    <row r="577" spans="1:10" ht="15.75" x14ac:dyDescent="0.25">
      <c r="A577" s="417" t="s">
        <v>133</v>
      </c>
      <c r="B577" s="454">
        <v>905</v>
      </c>
      <c r="C577" s="414" t="s">
        <v>116</v>
      </c>
      <c r="D577" s="414" t="s">
        <v>132</v>
      </c>
      <c r="E577" s="414" t="s">
        <v>442</v>
      </c>
      <c r="F577" s="414"/>
      <c r="G577" s="314">
        <f>G578</f>
        <v>5928.7</v>
      </c>
      <c r="H577" s="314">
        <f>H578</f>
        <v>5928.7</v>
      </c>
      <c r="I577" s="334"/>
      <c r="J577" s="321"/>
    </row>
    <row r="578" spans="1:10" ht="31.5" x14ac:dyDescent="0.25">
      <c r="A578" s="417" t="s">
        <v>446</v>
      </c>
      <c r="B578" s="454">
        <v>905</v>
      </c>
      <c r="C578" s="414" t="s">
        <v>116</v>
      </c>
      <c r="D578" s="414" t="s">
        <v>132</v>
      </c>
      <c r="E578" s="414" t="s">
        <v>441</v>
      </c>
      <c r="F578" s="414"/>
      <c r="G578" s="314">
        <f>G579+G584</f>
        <v>5928.7</v>
      </c>
      <c r="H578" s="314">
        <f>H579+H584</f>
        <v>5928.7</v>
      </c>
      <c r="I578" s="334"/>
      <c r="J578" s="321"/>
    </row>
    <row r="579" spans="1:10" ht="47.25" x14ac:dyDescent="0.25">
      <c r="A579" s="399" t="s">
        <v>230</v>
      </c>
      <c r="B579" s="455">
        <v>905</v>
      </c>
      <c r="C579" s="402" t="s">
        <v>116</v>
      </c>
      <c r="D579" s="402" t="s">
        <v>132</v>
      </c>
      <c r="E579" s="402" t="s">
        <v>574</v>
      </c>
      <c r="F579" s="402"/>
      <c r="G579" s="318">
        <f>G580+G582</f>
        <v>5928.7</v>
      </c>
      <c r="H579" s="318">
        <f>H580+H582</f>
        <v>5928.7</v>
      </c>
      <c r="I579" s="334"/>
      <c r="J579" s="321"/>
    </row>
    <row r="580" spans="1:10" ht="31.5" x14ac:dyDescent="0.25">
      <c r="A580" s="399" t="s">
        <v>123</v>
      </c>
      <c r="B580" s="455">
        <v>905</v>
      </c>
      <c r="C580" s="402" t="s">
        <v>116</v>
      </c>
      <c r="D580" s="402" t="s">
        <v>132</v>
      </c>
      <c r="E580" s="402" t="s">
        <v>574</v>
      </c>
      <c r="F580" s="402" t="s">
        <v>124</v>
      </c>
      <c r="G580" s="318">
        <f>G581</f>
        <v>5928.7</v>
      </c>
      <c r="H580" s="318">
        <f>H581</f>
        <v>5928.7</v>
      </c>
      <c r="I580" s="334"/>
      <c r="J580" s="321"/>
    </row>
    <row r="581" spans="1:10" ht="31.5" x14ac:dyDescent="0.25">
      <c r="A581" s="399" t="s">
        <v>125</v>
      </c>
      <c r="B581" s="455">
        <v>905</v>
      </c>
      <c r="C581" s="402" t="s">
        <v>116</v>
      </c>
      <c r="D581" s="402" t="s">
        <v>132</v>
      </c>
      <c r="E581" s="402" t="s">
        <v>574</v>
      </c>
      <c r="F581" s="402" t="s">
        <v>126</v>
      </c>
      <c r="G581" s="318">
        <v>5928.7</v>
      </c>
      <c r="H581" s="318">
        <v>5928.7</v>
      </c>
      <c r="I581" s="334"/>
      <c r="J581" s="334"/>
    </row>
    <row r="582" spans="1:10" ht="15.75" hidden="1" x14ac:dyDescent="0.25">
      <c r="A582" s="399" t="s">
        <v>127</v>
      </c>
      <c r="B582" s="455">
        <v>905</v>
      </c>
      <c r="C582" s="402" t="s">
        <v>116</v>
      </c>
      <c r="D582" s="402" t="s">
        <v>132</v>
      </c>
      <c r="E582" s="402" t="s">
        <v>574</v>
      </c>
      <c r="F582" s="402" t="s">
        <v>134</v>
      </c>
      <c r="G582" s="318">
        <f>G583</f>
        <v>0</v>
      </c>
      <c r="H582" s="318">
        <f>H583</f>
        <v>0</v>
      </c>
      <c r="I582" s="334"/>
      <c r="J582" s="334"/>
    </row>
    <row r="583" spans="1:10" ht="31.5" hidden="1" x14ac:dyDescent="0.25">
      <c r="A583" s="399" t="s">
        <v>413</v>
      </c>
      <c r="B583" s="455">
        <v>905</v>
      </c>
      <c r="C583" s="402" t="s">
        <v>116</v>
      </c>
      <c r="D583" s="402" t="s">
        <v>132</v>
      </c>
      <c r="E583" s="402" t="s">
        <v>574</v>
      </c>
      <c r="F583" s="402" t="s">
        <v>136</v>
      </c>
      <c r="G583" s="318"/>
      <c r="H583" s="318"/>
      <c r="I583" s="334"/>
      <c r="J583" s="334"/>
    </row>
    <row r="584" spans="1:10" ht="31.5" hidden="1" x14ac:dyDescent="0.25">
      <c r="A584" s="399" t="s">
        <v>502</v>
      </c>
      <c r="B584" s="455">
        <v>905</v>
      </c>
      <c r="C584" s="402" t="s">
        <v>116</v>
      </c>
      <c r="D584" s="402" t="s">
        <v>132</v>
      </c>
      <c r="E584" s="402" t="s">
        <v>575</v>
      </c>
      <c r="F584" s="402"/>
      <c r="G584" s="318">
        <f>G585</f>
        <v>0</v>
      </c>
      <c r="H584" s="318">
        <f>H585</f>
        <v>0</v>
      </c>
      <c r="I584" s="334"/>
      <c r="J584" s="321"/>
    </row>
    <row r="585" spans="1:10" ht="31.5" hidden="1" x14ac:dyDescent="0.25">
      <c r="A585" s="399" t="s">
        <v>123</v>
      </c>
      <c r="B585" s="455">
        <v>905</v>
      </c>
      <c r="C585" s="402" t="s">
        <v>116</v>
      </c>
      <c r="D585" s="402" t="s">
        <v>132</v>
      </c>
      <c r="E585" s="402" t="s">
        <v>575</v>
      </c>
      <c r="F585" s="402" t="s">
        <v>124</v>
      </c>
      <c r="G585" s="318">
        <f>G586</f>
        <v>0</v>
      </c>
      <c r="H585" s="318">
        <f>H586</f>
        <v>0</v>
      </c>
      <c r="I585" s="334"/>
      <c r="J585" s="321"/>
    </row>
    <row r="586" spans="1:10" ht="31.5" hidden="1" x14ac:dyDescent="0.25">
      <c r="A586" s="399" t="s">
        <v>125</v>
      </c>
      <c r="B586" s="455">
        <v>905</v>
      </c>
      <c r="C586" s="402" t="s">
        <v>116</v>
      </c>
      <c r="D586" s="402" t="s">
        <v>132</v>
      </c>
      <c r="E586" s="402" t="s">
        <v>575</v>
      </c>
      <c r="F586" s="402" t="s">
        <v>126</v>
      </c>
      <c r="G586" s="318">
        <f>100-100</f>
        <v>0</v>
      </c>
      <c r="H586" s="318">
        <f>100-100</f>
        <v>0</v>
      </c>
      <c r="I586" s="334"/>
      <c r="J586" s="321"/>
    </row>
    <row r="587" spans="1:10" s="134" customFormat="1" ht="69.400000000000006" hidden="1" customHeight="1" x14ac:dyDescent="0.25">
      <c r="A587" s="417" t="s">
        <v>977</v>
      </c>
      <c r="B587" s="454">
        <v>905</v>
      </c>
      <c r="C587" s="414" t="s">
        <v>116</v>
      </c>
      <c r="D587" s="414" t="s">
        <v>132</v>
      </c>
      <c r="E587" s="414" t="s">
        <v>360</v>
      </c>
      <c r="F587" s="414"/>
      <c r="G587" s="314">
        <f t="shared" ref="G587:H590" si="43">G588</f>
        <v>0</v>
      </c>
      <c r="H587" s="314">
        <f t="shared" si="43"/>
        <v>0</v>
      </c>
      <c r="I587" s="337"/>
      <c r="J587" s="78"/>
    </row>
    <row r="588" spans="1:10" s="134" customFormat="1" ht="29.25" hidden="1" customHeight="1" x14ac:dyDescent="0.25">
      <c r="A588" s="417" t="s">
        <v>501</v>
      </c>
      <c r="B588" s="454">
        <v>905</v>
      </c>
      <c r="C588" s="414" t="s">
        <v>116</v>
      </c>
      <c r="D588" s="414" t="s">
        <v>132</v>
      </c>
      <c r="E588" s="414" t="s">
        <v>583</v>
      </c>
      <c r="F588" s="414"/>
      <c r="G588" s="314">
        <f t="shared" si="43"/>
        <v>0</v>
      </c>
      <c r="H588" s="314">
        <f t="shared" si="43"/>
        <v>0</v>
      </c>
      <c r="I588" s="337"/>
      <c r="J588" s="78"/>
    </row>
    <row r="589" spans="1:10" s="134" customFormat="1" ht="15.75" hidden="1" x14ac:dyDescent="0.25">
      <c r="A589" s="399" t="s">
        <v>973</v>
      </c>
      <c r="B589" s="455">
        <v>905</v>
      </c>
      <c r="C589" s="402" t="s">
        <v>116</v>
      </c>
      <c r="D589" s="402" t="s">
        <v>132</v>
      </c>
      <c r="E589" s="402" t="s">
        <v>584</v>
      </c>
      <c r="F589" s="402"/>
      <c r="G589" s="318">
        <f t="shared" si="43"/>
        <v>0</v>
      </c>
      <c r="H589" s="318">
        <f t="shared" si="43"/>
        <v>0</v>
      </c>
      <c r="I589" s="337"/>
      <c r="J589" s="78"/>
    </row>
    <row r="590" spans="1:10" s="134" customFormat="1" ht="31.5" hidden="1" x14ac:dyDescent="0.25">
      <c r="A590" s="399" t="s">
        <v>123</v>
      </c>
      <c r="B590" s="455">
        <v>905</v>
      </c>
      <c r="C590" s="402" t="s">
        <v>116</v>
      </c>
      <c r="D590" s="402" t="s">
        <v>132</v>
      </c>
      <c r="E590" s="402" t="s">
        <v>584</v>
      </c>
      <c r="F590" s="402" t="s">
        <v>124</v>
      </c>
      <c r="G590" s="318">
        <f t="shared" si="43"/>
        <v>0</v>
      </c>
      <c r="H590" s="318">
        <f t="shared" si="43"/>
        <v>0</v>
      </c>
      <c r="I590" s="337"/>
      <c r="J590" s="78"/>
    </row>
    <row r="591" spans="1:10" s="134" customFormat="1" ht="31.5" hidden="1" x14ac:dyDescent="0.25">
      <c r="A591" s="399" t="s">
        <v>125</v>
      </c>
      <c r="B591" s="455">
        <v>905</v>
      </c>
      <c r="C591" s="402" t="s">
        <v>116</v>
      </c>
      <c r="D591" s="402" t="s">
        <v>132</v>
      </c>
      <c r="E591" s="402" t="s">
        <v>584</v>
      </c>
      <c r="F591" s="402" t="s">
        <v>126</v>
      </c>
      <c r="G591" s="318"/>
      <c r="H591" s="318"/>
      <c r="I591" s="337"/>
      <c r="J591" s="78"/>
    </row>
    <row r="592" spans="1:10" ht="15.75" x14ac:dyDescent="0.25">
      <c r="A592" s="463" t="s">
        <v>231</v>
      </c>
      <c r="B592" s="454">
        <v>905</v>
      </c>
      <c r="C592" s="414" t="s">
        <v>168</v>
      </c>
      <c r="D592" s="414"/>
      <c r="E592" s="414"/>
      <c r="F592" s="414"/>
      <c r="G592" s="314">
        <f t="shared" ref="G592:H594" si="44">G593</f>
        <v>270.39999999999998</v>
      </c>
      <c r="H592" s="314">
        <f t="shared" si="44"/>
        <v>270.39999999999998</v>
      </c>
      <c r="I592" s="334"/>
      <c r="J592" s="321"/>
    </row>
    <row r="593" spans="1:10" ht="15.75" x14ac:dyDescent="0.25">
      <c r="A593" s="463" t="s">
        <v>232</v>
      </c>
      <c r="B593" s="454">
        <v>905</v>
      </c>
      <c r="C593" s="414" t="s">
        <v>168</v>
      </c>
      <c r="D593" s="414" t="s">
        <v>116</v>
      </c>
      <c r="E593" s="414"/>
      <c r="F593" s="414"/>
      <c r="G593" s="314">
        <f t="shared" si="44"/>
        <v>270.39999999999998</v>
      </c>
      <c r="H593" s="314">
        <f t="shared" si="44"/>
        <v>270.39999999999998</v>
      </c>
      <c r="I593" s="334"/>
      <c r="J593" s="321"/>
    </row>
    <row r="594" spans="1:10" ht="15.75" x14ac:dyDescent="0.25">
      <c r="A594" s="417" t="s">
        <v>133</v>
      </c>
      <c r="B594" s="454">
        <v>905</v>
      </c>
      <c r="C594" s="414" t="s">
        <v>168</v>
      </c>
      <c r="D594" s="414" t="s">
        <v>116</v>
      </c>
      <c r="E594" s="414" t="s">
        <v>442</v>
      </c>
      <c r="F594" s="414"/>
      <c r="G594" s="314">
        <f t="shared" si="44"/>
        <v>270.39999999999998</v>
      </c>
      <c r="H594" s="314">
        <f t="shared" si="44"/>
        <v>270.39999999999998</v>
      </c>
      <c r="I594" s="334"/>
      <c r="J594" s="321"/>
    </row>
    <row r="595" spans="1:10" ht="31.5" x14ac:dyDescent="0.25">
      <c r="A595" s="417" t="s">
        <v>446</v>
      </c>
      <c r="B595" s="454">
        <v>905</v>
      </c>
      <c r="C595" s="414" t="s">
        <v>168</v>
      </c>
      <c r="D595" s="414" t="s">
        <v>116</v>
      </c>
      <c r="E595" s="414" t="s">
        <v>441</v>
      </c>
      <c r="F595" s="414"/>
      <c r="G595" s="314">
        <f>G596+G599</f>
        <v>270.39999999999998</v>
      </c>
      <c r="H595" s="314">
        <f>H596+H599</f>
        <v>270.39999999999998</v>
      </c>
      <c r="I595" s="334"/>
      <c r="J595" s="321"/>
    </row>
    <row r="596" spans="1:10" ht="31.5" x14ac:dyDescent="0.25">
      <c r="A596" s="459" t="s">
        <v>233</v>
      </c>
      <c r="B596" s="455">
        <v>905</v>
      </c>
      <c r="C596" s="402" t="s">
        <v>168</v>
      </c>
      <c r="D596" s="402" t="s">
        <v>116</v>
      </c>
      <c r="E596" s="402" t="s">
        <v>526</v>
      </c>
      <c r="F596" s="402"/>
      <c r="G596" s="318">
        <f>G597</f>
        <v>270.39999999999998</v>
      </c>
      <c r="H596" s="318">
        <f>H597</f>
        <v>270.39999999999998</v>
      </c>
      <c r="I596" s="334"/>
      <c r="J596" s="321"/>
    </row>
    <row r="597" spans="1:10" ht="31.5" x14ac:dyDescent="0.25">
      <c r="A597" s="399" t="s">
        <v>123</v>
      </c>
      <c r="B597" s="455">
        <v>905</v>
      </c>
      <c r="C597" s="402" t="s">
        <v>168</v>
      </c>
      <c r="D597" s="402" t="s">
        <v>116</v>
      </c>
      <c r="E597" s="402" t="s">
        <v>526</v>
      </c>
      <c r="F597" s="402" t="s">
        <v>124</v>
      </c>
      <c r="G597" s="318">
        <f>G598</f>
        <v>270.39999999999998</v>
      </c>
      <c r="H597" s="318">
        <f>H598</f>
        <v>270.39999999999998</v>
      </c>
      <c r="I597" s="334"/>
      <c r="J597" s="321"/>
    </row>
    <row r="598" spans="1:10" ht="31.5" x14ac:dyDescent="0.25">
      <c r="A598" s="399" t="s">
        <v>125</v>
      </c>
      <c r="B598" s="455">
        <v>905</v>
      </c>
      <c r="C598" s="402" t="s">
        <v>168</v>
      </c>
      <c r="D598" s="402" t="s">
        <v>116</v>
      </c>
      <c r="E598" s="402" t="s">
        <v>526</v>
      </c>
      <c r="F598" s="402" t="s">
        <v>126</v>
      </c>
      <c r="G598" s="318">
        <v>270.39999999999998</v>
      </c>
      <c r="H598" s="318">
        <v>270.39999999999998</v>
      </c>
      <c r="I598" s="334"/>
      <c r="J598" s="321"/>
    </row>
    <row r="599" spans="1:10" ht="31.5" hidden="1" x14ac:dyDescent="0.25">
      <c r="A599" s="459" t="s">
        <v>503</v>
      </c>
      <c r="B599" s="455">
        <v>905</v>
      </c>
      <c r="C599" s="402" t="s">
        <v>168</v>
      </c>
      <c r="D599" s="402" t="s">
        <v>116</v>
      </c>
      <c r="E599" s="402" t="s">
        <v>527</v>
      </c>
      <c r="F599" s="402"/>
      <c r="G599" s="318">
        <f>G600</f>
        <v>0</v>
      </c>
      <c r="H599" s="318">
        <f>H600</f>
        <v>0</v>
      </c>
      <c r="I599" s="334"/>
      <c r="J599" s="321"/>
    </row>
    <row r="600" spans="1:10" ht="31.5" hidden="1" x14ac:dyDescent="0.25">
      <c r="A600" s="399" t="s">
        <v>123</v>
      </c>
      <c r="B600" s="455">
        <v>905</v>
      </c>
      <c r="C600" s="402" t="s">
        <v>168</v>
      </c>
      <c r="D600" s="402" t="s">
        <v>116</v>
      </c>
      <c r="E600" s="402" t="s">
        <v>527</v>
      </c>
      <c r="F600" s="402" t="s">
        <v>124</v>
      </c>
      <c r="G600" s="318">
        <f>G601</f>
        <v>0</v>
      </c>
      <c r="H600" s="318">
        <f>H601</f>
        <v>0</v>
      </c>
      <c r="I600" s="334"/>
      <c r="J600" s="321"/>
    </row>
    <row r="601" spans="1:10" ht="31.5" hidden="1" x14ac:dyDescent="0.25">
      <c r="A601" s="399" t="s">
        <v>125</v>
      </c>
      <c r="B601" s="455">
        <v>905</v>
      </c>
      <c r="C601" s="402" t="s">
        <v>168</v>
      </c>
      <c r="D601" s="402" t="s">
        <v>116</v>
      </c>
      <c r="E601" s="402" t="s">
        <v>527</v>
      </c>
      <c r="F601" s="402" t="s">
        <v>126</v>
      </c>
      <c r="G601" s="318">
        <v>0</v>
      </c>
      <c r="H601" s="318">
        <v>0</v>
      </c>
      <c r="I601" s="334"/>
      <c r="J601" s="321"/>
    </row>
    <row r="602" spans="1:10" ht="15.75" hidden="1" x14ac:dyDescent="0.25">
      <c r="A602" s="417" t="s">
        <v>173</v>
      </c>
      <c r="B602" s="454">
        <v>905</v>
      </c>
      <c r="C602" s="414" t="s">
        <v>174</v>
      </c>
      <c r="D602" s="402"/>
      <c r="E602" s="402"/>
      <c r="F602" s="402"/>
      <c r="G602" s="314">
        <f t="shared" ref="G602:H606" si="45">G603</f>
        <v>0</v>
      </c>
      <c r="H602" s="314">
        <f t="shared" si="45"/>
        <v>0</v>
      </c>
      <c r="I602" s="334"/>
      <c r="J602" s="321"/>
    </row>
    <row r="603" spans="1:10" ht="15.75" hidden="1" x14ac:dyDescent="0.25">
      <c r="A603" s="417" t="s">
        <v>234</v>
      </c>
      <c r="B603" s="454">
        <v>905</v>
      </c>
      <c r="C603" s="414" t="s">
        <v>174</v>
      </c>
      <c r="D603" s="414" t="s">
        <v>139</v>
      </c>
      <c r="E603" s="402"/>
      <c r="F603" s="402"/>
      <c r="G603" s="314">
        <f t="shared" si="45"/>
        <v>0</v>
      </c>
      <c r="H603" s="314">
        <f t="shared" si="45"/>
        <v>0</v>
      </c>
      <c r="I603" s="334"/>
      <c r="J603" s="321"/>
    </row>
    <row r="604" spans="1:10" ht="31.5" hidden="1" x14ac:dyDescent="0.25">
      <c r="A604" s="417" t="s">
        <v>460</v>
      </c>
      <c r="B604" s="454">
        <v>905</v>
      </c>
      <c r="C604" s="414" t="s">
        <v>174</v>
      </c>
      <c r="D604" s="414" t="s">
        <v>139</v>
      </c>
      <c r="E604" s="414" t="s">
        <v>439</v>
      </c>
      <c r="F604" s="402"/>
      <c r="G604" s="314">
        <f t="shared" si="45"/>
        <v>0</v>
      </c>
      <c r="H604" s="314">
        <f t="shared" si="45"/>
        <v>0</v>
      </c>
      <c r="I604" s="334"/>
      <c r="J604" s="321"/>
    </row>
    <row r="605" spans="1:10" ht="48" hidden="1" customHeight="1" x14ac:dyDescent="0.25">
      <c r="A605" s="399" t="s">
        <v>838</v>
      </c>
      <c r="B605" s="455">
        <v>905</v>
      </c>
      <c r="C605" s="402" t="s">
        <v>174</v>
      </c>
      <c r="D605" s="402" t="s">
        <v>139</v>
      </c>
      <c r="E605" s="402" t="s">
        <v>720</v>
      </c>
      <c r="F605" s="402"/>
      <c r="G605" s="318">
        <f t="shared" si="45"/>
        <v>0</v>
      </c>
      <c r="H605" s="318">
        <f t="shared" si="45"/>
        <v>0</v>
      </c>
      <c r="I605" s="334"/>
      <c r="J605" s="321"/>
    </row>
    <row r="606" spans="1:10" ht="31.5" hidden="1" x14ac:dyDescent="0.25">
      <c r="A606" s="399" t="s">
        <v>123</v>
      </c>
      <c r="B606" s="455">
        <v>905</v>
      </c>
      <c r="C606" s="402" t="s">
        <v>174</v>
      </c>
      <c r="D606" s="402" t="s">
        <v>139</v>
      </c>
      <c r="E606" s="402" t="s">
        <v>720</v>
      </c>
      <c r="F606" s="402" t="s">
        <v>124</v>
      </c>
      <c r="G606" s="318">
        <f t="shared" si="45"/>
        <v>0</v>
      </c>
      <c r="H606" s="318">
        <f t="shared" si="45"/>
        <v>0</v>
      </c>
      <c r="I606" s="334"/>
      <c r="J606" s="321"/>
    </row>
    <row r="607" spans="1:10" ht="31.5" hidden="1" x14ac:dyDescent="0.25">
      <c r="A607" s="399" t="s">
        <v>125</v>
      </c>
      <c r="B607" s="455">
        <v>905</v>
      </c>
      <c r="C607" s="402" t="s">
        <v>174</v>
      </c>
      <c r="D607" s="402" t="s">
        <v>139</v>
      </c>
      <c r="E607" s="402" t="s">
        <v>720</v>
      </c>
      <c r="F607" s="402" t="s">
        <v>126</v>
      </c>
      <c r="G607" s="318">
        <f>1975.4-1975.4</f>
        <v>0</v>
      </c>
      <c r="H607" s="318">
        <f>1975.4-1975.4</f>
        <v>0</v>
      </c>
      <c r="I607" s="334"/>
      <c r="J607" s="321"/>
    </row>
    <row r="608" spans="1:10" ht="31.5" x14ac:dyDescent="0.25">
      <c r="A608" s="454" t="s">
        <v>235</v>
      </c>
      <c r="B608" s="454">
        <v>906</v>
      </c>
      <c r="C608" s="414"/>
      <c r="D608" s="414"/>
      <c r="E608" s="414"/>
      <c r="F608" s="414"/>
      <c r="G608" s="314">
        <f>G616+G609</f>
        <v>365678.5</v>
      </c>
      <c r="H608" s="314">
        <f>H616+H609</f>
        <v>321632.90000000002</v>
      </c>
      <c r="I608" s="334"/>
      <c r="J608" s="321"/>
    </row>
    <row r="609" spans="1:10" ht="15.75" x14ac:dyDescent="0.25">
      <c r="A609" s="417" t="s">
        <v>115</v>
      </c>
      <c r="B609" s="454">
        <v>906</v>
      </c>
      <c r="C609" s="414" t="s">
        <v>116</v>
      </c>
      <c r="D609" s="414"/>
      <c r="E609" s="414"/>
      <c r="F609" s="414"/>
      <c r="G609" s="314">
        <f t="shared" ref="G609:H614" si="46">G610</f>
        <v>100</v>
      </c>
      <c r="H609" s="314">
        <f t="shared" si="46"/>
        <v>0</v>
      </c>
      <c r="I609" s="334"/>
      <c r="J609" s="321"/>
    </row>
    <row r="610" spans="1:10" ht="15.75" x14ac:dyDescent="0.25">
      <c r="A610" s="413" t="s">
        <v>131</v>
      </c>
      <c r="B610" s="454">
        <v>906</v>
      </c>
      <c r="C610" s="414" t="s">
        <v>116</v>
      </c>
      <c r="D610" s="414" t="s">
        <v>132</v>
      </c>
      <c r="E610" s="414"/>
      <c r="F610" s="414"/>
      <c r="G610" s="314">
        <f t="shared" si="46"/>
        <v>100</v>
      </c>
      <c r="H610" s="314">
        <f t="shared" si="46"/>
        <v>0</v>
      </c>
      <c r="I610" s="334"/>
      <c r="J610" s="321"/>
    </row>
    <row r="611" spans="1:10" ht="31.5" x14ac:dyDescent="0.25">
      <c r="A611" s="417" t="s">
        <v>857</v>
      </c>
      <c r="B611" s="454">
        <v>906</v>
      </c>
      <c r="C611" s="414" t="s">
        <v>116</v>
      </c>
      <c r="D611" s="414" t="s">
        <v>132</v>
      </c>
      <c r="E611" s="414" t="s">
        <v>209</v>
      </c>
      <c r="F611" s="414"/>
      <c r="G611" s="314">
        <f t="shared" si="46"/>
        <v>100</v>
      </c>
      <c r="H611" s="314">
        <f t="shared" si="46"/>
        <v>0</v>
      </c>
      <c r="I611" s="334"/>
      <c r="J611" s="321"/>
    </row>
    <row r="612" spans="1:10" ht="31.5" x14ac:dyDescent="0.25">
      <c r="A612" s="471" t="s">
        <v>610</v>
      </c>
      <c r="B612" s="454">
        <v>906</v>
      </c>
      <c r="C612" s="414" t="s">
        <v>116</v>
      </c>
      <c r="D612" s="414" t="s">
        <v>132</v>
      </c>
      <c r="E612" s="414" t="s">
        <v>611</v>
      </c>
      <c r="F612" s="414"/>
      <c r="G612" s="314">
        <f t="shared" si="46"/>
        <v>100</v>
      </c>
      <c r="H612" s="314">
        <f t="shared" si="46"/>
        <v>0</v>
      </c>
      <c r="I612" s="334"/>
      <c r="J612" s="321"/>
    </row>
    <row r="613" spans="1:10" ht="31.5" x14ac:dyDescent="0.25">
      <c r="A613" s="472" t="s">
        <v>210</v>
      </c>
      <c r="B613" s="455">
        <v>906</v>
      </c>
      <c r="C613" s="402" t="s">
        <v>116</v>
      </c>
      <c r="D613" s="402" t="s">
        <v>132</v>
      </c>
      <c r="E613" s="402" t="s">
        <v>612</v>
      </c>
      <c r="F613" s="402"/>
      <c r="G613" s="318">
        <f t="shared" si="46"/>
        <v>100</v>
      </c>
      <c r="H613" s="318">
        <f t="shared" si="46"/>
        <v>0</v>
      </c>
      <c r="I613" s="334"/>
      <c r="J613" s="321"/>
    </row>
    <row r="614" spans="1:10" ht="31.5" x14ac:dyDescent="0.25">
      <c r="A614" s="399" t="s">
        <v>123</v>
      </c>
      <c r="B614" s="455">
        <v>906</v>
      </c>
      <c r="C614" s="402" t="s">
        <v>116</v>
      </c>
      <c r="D614" s="402" t="s">
        <v>132</v>
      </c>
      <c r="E614" s="402" t="s">
        <v>612</v>
      </c>
      <c r="F614" s="402" t="s">
        <v>124</v>
      </c>
      <c r="G614" s="318">
        <f t="shared" si="46"/>
        <v>100</v>
      </c>
      <c r="H614" s="318">
        <f t="shared" si="46"/>
        <v>0</v>
      </c>
      <c r="I614" s="334"/>
      <c r="J614" s="321"/>
    </row>
    <row r="615" spans="1:10" ht="31.5" x14ac:dyDescent="0.25">
      <c r="A615" s="399" t="s">
        <v>125</v>
      </c>
      <c r="B615" s="455">
        <v>906</v>
      </c>
      <c r="C615" s="402" t="s">
        <v>116</v>
      </c>
      <c r="D615" s="402" t="s">
        <v>132</v>
      </c>
      <c r="E615" s="402" t="s">
        <v>612</v>
      </c>
      <c r="F615" s="402" t="s">
        <v>126</v>
      </c>
      <c r="G615" s="318">
        <v>100</v>
      </c>
      <c r="H615" s="318">
        <v>0</v>
      </c>
      <c r="I615" s="334"/>
      <c r="J615" s="321"/>
    </row>
    <row r="616" spans="1:10" ht="15.75" x14ac:dyDescent="0.25">
      <c r="A616" s="417" t="s">
        <v>186</v>
      </c>
      <c r="B616" s="454">
        <v>906</v>
      </c>
      <c r="C616" s="414" t="s">
        <v>187</v>
      </c>
      <c r="D616" s="414"/>
      <c r="E616" s="414"/>
      <c r="F616" s="414"/>
      <c r="G616" s="314">
        <f>G617+G679+G801+G807+G768</f>
        <v>365578.5</v>
      </c>
      <c r="H616" s="314">
        <f>H617+H679+H801+H807+H768</f>
        <v>321632.90000000002</v>
      </c>
      <c r="I616" s="334"/>
      <c r="J616" s="321"/>
    </row>
    <row r="617" spans="1:10" ht="15.75" x14ac:dyDescent="0.25">
      <c r="A617" s="417" t="s">
        <v>236</v>
      </c>
      <c r="B617" s="454">
        <v>906</v>
      </c>
      <c r="C617" s="414" t="s">
        <v>187</v>
      </c>
      <c r="D617" s="414" t="s">
        <v>116</v>
      </c>
      <c r="E617" s="414"/>
      <c r="F617" s="414"/>
      <c r="G617" s="314">
        <f>G618+G669+G674</f>
        <v>90820.19</v>
      </c>
      <c r="H617" s="314">
        <f>H618+H669+H674</f>
        <v>84821.090000000011</v>
      </c>
      <c r="I617" s="334"/>
      <c r="J617" s="321"/>
    </row>
    <row r="618" spans="1:10" ht="36" customHeight="1" x14ac:dyDescent="0.25">
      <c r="A618" s="417" t="s">
        <v>858</v>
      </c>
      <c r="B618" s="454">
        <v>906</v>
      </c>
      <c r="C618" s="414" t="s">
        <v>187</v>
      </c>
      <c r="D618" s="414" t="s">
        <v>116</v>
      </c>
      <c r="E618" s="414" t="s">
        <v>237</v>
      </c>
      <c r="F618" s="414"/>
      <c r="G618" s="314">
        <f>G619+G623+G630+G640+G650+G654+G661+G665</f>
        <v>90168.39</v>
      </c>
      <c r="H618" s="314">
        <f>H619+H623+H630+H640+H650+H654+H661+H665</f>
        <v>84224.290000000008</v>
      </c>
      <c r="I618" s="334"/>
      <c r="J618" s="321"/>
    </row>
    <row r="619" spans="1:10" ht="38.25" customHeight="1" x14ac:dyDescent="0.25">
      <c r="A619" s="417" t="s">
        <v>507</v>
      </c>
      <c r="B619" s="454">
        <v>906</v>
      </c>
      <c r="C619" s="414" t="s">
        <v>187</v>
      </c>
      <c r="D619" s="414" t="s">
        <v>116</v>
      </c>
      <c r="E619" s="414" t="s">
        <v>766</v>
      </c>
      <c r="F619" s="414"/>
      <c r="G619" s="314">
        <f t="shared" ref="G619:H621" si="47">G620</f>
        <v>16777.2</v>
      </c>
      <c r="H619" s="314">
        <f t="shared" si="47"/>
        <v>16777.2</v>
      </c>
      <c r="I619" s="334"/>
      <c r="J619" s="321"/>
    </row>
    <row r="620" spans="1:10" ht="31.5" x14ac:dyDescent="0.25">
      <c r="A620" s="399" t="s">
        <v>765</v>
      </c>
      <c r="B620" s="455">
        <v>906</v>
      </c>
      <c r="C620" s="402" t="s">
        <v>187</v>
      </c>
      <c r="D620" s="402" t="s">
        <v>116</v>
      </c>
      <c r="E620" s="402" t="s">
        <v>767</v>
      </c>
      <c r="F620" s="402"/>
      <c r="G620" s="318">
        <f t="shared" si="47"/>
        <v>16777.2</v>
      </c>
      <c r="H620" s="318">
        <f t="shared" si="47"/>
        <v>16777.2</v>
      </c>
      <c r="I620" s="334"/>
      <c r="J620" s="321"/>
    </row>
    <row r="621" spans="1:10" ht="31.5" x14ac:dyDescent="0.25">
      <c r="A621" s="399" t="s">
        <v>191</v>
      </c>
      <c r="B621" s="455">
        <v>906</v>
      </c>
      <c r="C621" s="402" t="s">
        <v>187</v>
      </c>
      <c r="D621" s="402" t="s">
        <v>116</v>
      </c>
      <c r="E621" s="402" t="s">
        <v>767</v>
      </c>
      <c r="F621" s="402" t="s">
        <v>192</v>
      </c>
      <c r="G621" s="318">
        <f t="shared" si="47"/>
        <v>16777.2</v>
      </c>
      <c r="H621" s="318">
        <f t="shared" si="47"/>
        <v>16777.2</v>
      </c>
      <c r="I621" s="334"/>
      <c r="J621" s="321"/>
    </row>
    <row r="622" spans="1:10" ht="15.75" x14ac:dyDescent="0.25">
      <c r="A622" s="399" t="s">
        <v>193</v>
      </c>
      <c r="B622" s="455">
        <v>906</v>
      </c>
      <c r="C622" s="402" t="s">
        <v>187</v>
      </c>
      <c r="D622" s="402" t="s">
        <v>116</v>
      </c>
      <c r="E622" s="402" t="s">
        <v>767</v>
      </c>
      <c r="F622" s="402" t="s">
        <v>194</v>
      </c>
      <c r="G622" s="20">
        <v>16777.2</v>
      </c>
      <c r="H622" s="20">
        <f>G622</f>
        <v>16777.2</v>
      </c>
      <c r="I622" s="334"/>
      <c r="J622" s="321"/>
    </row>
    <row r="623" spans="1:10" ht="31.7" customHeight="1" x14ac:dyDescent="0.25">
      <c r="A623" s="417" t="s">
        <v>471</v>
      </c>
      <c r="B623" s="454">
        <v>906</v>
      </c>
      <c r="C623" s="414" t="s">
        <v>187</v>
      </c>
      <c r="D623" s="414" t="s">
        <v>116</v>
      </c>
      <c r="E623" s="414" t="s">
        <v>768</v>
      </c>
      <c r="F623" s="414"/>
      <c r="G623" s="30">
        <f>G624+G627</f>
        <v>63608.810000000005</v>
      </c>
      <c r="H623" s="30">
        <f>H624+H627</f>
        <v>57657.810000000005</v>
      </c>
      <c r="I623" s="334"/>
      <c r="J623" s="321"/>
    </row>
    <row r="624" spans="1:10" ht="31.7" customHeight="1" x14ac:dyDescent="0.25">
      <c r="A624" s="401" t="s">
        <v>200</v>
      </c>
      <c r="B624" s="455">
        <v>906</v>
      </c>
      <c r="C624" s="402" t="s">
        <v>187</v>
      </c>
      <c r="D624" s="402" t="s">
        <v>116</v>
      </c>
      <c r="E624" s="402" t="s">
        <v>884</v>
      </c>
      <c r="F624" s="402"/>
      <c r="G624" s="318">
        <f>G625</f>
        <v>3430</v>
      </c>
      <c r="H624" s="318">
        <f>H625</f>
        <v>3430</v>
      </c>
      <c r="I624" s="334"/>
      <c r="J624" s="321"/>
    </row>
    <row r="625" spans="1:10" ht="31.7" customHeight="1" x14ac:dyDescent="0.25">
      <c r="A625" s="399" t="s">
        <v>191</v>
      </c>
      <c r="B625" s="455">
        <v>906</v>
      </c>
      <c r="C625" s="402" t="s">
        <v>187</v>
      </c>
      <c r="D625" s="402" t="s">
        <v>116</v>
      </c>
      <c r="E625" s="402" t="s">
        <v>884</v>
      </c>
      <c r="F625" s="402" t="s">
        <v>192</v>
      </c>
      <c r="G625" s="318">
        <f>G626</f>
        <v>3430</v>
      </c>
      <c r="H625" s="318">
        <f>H626</f>
        <v>3430</v>
      </c>
      <c r="I625" s="334"/>
      <c r="J625" s="321"/>
    </row>
    <row r="626" spans="1:10" ht="18.399999999999999" customHeight="1" x14ac:dyDescent="0.25">
      <c r="A626" s="399" t="s">
        <v>193</v>
      </c>
      <c r="B626" s="455">
        <v>906</v>
      </c>
      <c r="C626" s="402" t="s">
        <v>187</v>
      </c>
      <c r="D626" s="402" t="s">
        <v>116</v>
      </c>
      <c r="E626" s="402" t="s">
        <v>884</v>
      </c>
      <c r="F626" s="402" t="s">
        <v>194</v>
      </c>
      <c r="G626" s="20">
        <f>3050+100+280</f>
        <v>3430</v>
      </c>
      <c r="H626" s="20">
        <f>3050+100+280</f>
        <v>3430</v>
      </c>
      <c r="I626" s="334" t="s">
        <v>1335</v>
      </c>
      <c r="J626" s="321"/>
    </row>
    <row r="627" spans="1:10" ht="31.5" x14ac:dyDescent="0.25">
      <c r="A627" s="399" t="s">
        <v>1147</v>
      </c>
      <c r="B627" s="455">
        <v>906</v>
      </c>
      <c r="C627" s="402" t="s">
        <v>187</v>
      </c>
      <c r="D627" s="402" t="s">
        <v>116</v>
      </c>
      <c r="E627" s="402" t="s">
        <v>1148</v>
      </c>
      <c r="F627" s="402"/>
      <c r="G627" s="318">
        <f>G628</f>
        <v>60178.810000000005</v>
      </c>
      <c r="H627" s="318">
        <f>H628</f>
        <v>54227.810000000005</v>
      </c>
      <c r="I627" s="334"/>
      <c r="J627" s="321"/>
    </row>
    <row r="628" spans="1:10" ht="31.5" x14ac:dyDescent="0.25">
      <c r="A628" s="399" t="s">
        <v>191</v>
      </c>
      <c r="B628" s="455">
        <v>906</v>
      </c>
      <c r="C628" s="402" t="s">
        <v>187</v>
      </c>
      <c r="D628" s="402" t="s">
        <v>116</v>
      </c>
      <c r="E628" s="402" t="s">
        <v>1148</v>
      </c>
      <c r="F628" s="402" t="s">
        <v>192</v>
      </c>
      <c r="G628" s="318">
        <f>G629</f>
        <v>60178.810000000005</v>
      </c>
      <c r="H628" s="318">
        <f>H629</f>
        <v>54227.810000000005</v>
      </c>
      <c r="I628" s="334"/>
      <c r="J628" s="321"/>
    </row>
    <row r="629" spans="1:10" ht="15.75" x14ac:dyDescent="0.25">
      <c r="A629" s="399" t="s">
        <v>193</v>
      </c>
      <c r="B629" s="455">
        <v>906</v>
      </c>
      <c r="C629" s="402" t="s">
        <v>187</v>
      </c>
      <c r="D629" s="402" t="s">
        <v>116</v>
      </c>
      <c r="E629" s="402" t="s">
        <v>1148</v>
      </c>
      <c r="F629" s="402" t="s">
        <v>194</v>
      </c>
      <c r="G629" s="20">
        <f>59700.4+478.41</f>
        <v>60178.810000000005</v>
      </c>
      <c r="H629" s="20">
        <f>53749.4+478.41</f>
        <v>54227.810000000005</v>
      </c>
      <c r="I629" s="334" t="s">
        <v>1323</v>
      </c>
      <c r="J629" s="321"/>
    </row>
    <row r="630" spans="1:10" ht="30.2" customHeight="1" x14ac:dyDescent="0.25">
      <c r="A630" s="417" t="s">
        <v>782</v>
      </c>
      <c r="B630" s="454">
        <v>906</v>
      </c>
      <c r="C630" s="414" t="s">
        <v>187</v>
      </c>
      <c r="D630" s="414" t="s">
        <v>116</v>
      </c>
      <c r="E630" s="414" t="s">
        <v>770</v>
      </c>
      <c r="F630" s="414"/>
      <c r="G630" s="314">
        <f>G631+G634+G637</f>
        <v>4749.3999999999996</v>
      </c>
      <c r="H630" s="314">
        <f>H631+H634+H637</f>
        <v>4749.3999999999996</v>
      </c>
      <c r="I630" s="334"/>
      <c r="J630" s="321"/>
    </row>
    <row r="631" spans="1:10" ht="35.450000000000003" hidden="1" customHeight="1" x14ac:dyDescent="0.25">
      <c r="A631" s="399" t="s">
        <v>195</v>
      </c>
      <c r="B631" s="455">
        <v>906</v>
      </c>
      <c r="C631" s="402" t="s">
        <v>187</v>
      </c>
      <c r="D631" s="402" t="s">
        <v>116</v>
      </c>
      <c r="E631" s="402" t="s">
        <v>826</v>
      </c>
      <c r="F631" s="402"/>
      <c r="G631" s="318">
        <f>G632</f>
        <v>0</v>
      </c>
      <c r="H631" s="318">
        <f>H632</f>
        <v>0</v>
      </c>
      <c r="I631" s="334"/>
      <c r="J631" s="321"/>
    </row>
    <row r="632" spans="1:10" ht="35.450000000000003" hidden="1" customHeight="1" x14ac:dyDescent="0.25">
      <c r="A632" s="399" t="s">
        <v>191</v>
      </c>
      <c r="B632" s="455">
        <v>906</v>
      </c>
      <c r="C632" s="402" t="s">
        <v>187</v>
      </c>
      <c r="D632" s="402" t="s">
        <v>116</v>
      </c>
      <c r="E632" s="402" t="s">
        <v>826</v>
      </c>
      <c r="F632" s="402" t="s">
        <v>192</v>
      </c>
      <c r="G632" s="318">
        <f>G633</f>
        <v>0</v>
      </c>
      <c r="H632" s="318">
        <f>H633</f>
        <v>0</v>
      </c>
      <c r="I632" s="334"/>
      <c r="J632" s="321"/>
    </row>
    <row r="633" spans="1:10" ht="15.75" hidden="1" customHeight="1" x14ac:dyDescent="0.25">
      <c r="A633" s="399" t="s">
        <v>193</v>
      </c>
      <c r="B633" s="455">
        <v>906</v>
      </c>
      <c r="C633" s="402" t="s">
        <v>187</v>
      </c>
      <c r="D633" s="402" t="s">
        <v>116</v>
      </c>
      <c r="E633" s="402" t="s">
        <v>826</v>
      </c>
      <c r="F633" s="402" t="s">
        <v>194</v>
      </c>
      <c r="G633" s="318"/>
      <c r="H633" s="318"/>
      <c r="I633" s="334"/>
      <c r="J633" s="321"/>
    </row>
    <row r="634" spans="1:10" ht="37.5" hidden="1" customHeight="1" x14ac:dyDescent="0.25">
      <c r="A634" s="399" t="s">
        <v>196</v>
      </c>
      <c r="B634" s="455">
        <v>906</v>
      </c>
      <c r="C634" s="402" t="s">
        <v>187</v>
      </c>
      <c r="D634" s="402" t="s">
        <v>116</v>
      </c>
      <c r="E634" s="402" t="s">
        <v>827</v>
      </c>
      <c r="F634" s="402"/>
      <c r="G634" s="318">
        <f>G635</f>
        <v>0</v>
      </c>
      <c r="H634" s="318">
        <f>H635</f>
        <v>0</v>
      </c>
      <c r="I634" s="334"/>
      <c r="J634" s="321"/>
    </row>
    <row r="635" spans="1:10" ht="31.5" hidden="1" x14ac:dyDescent="0.25">
      <c r="A635" s="399" t="s">
        <v>191</v>
      </c>
      <c r="B635" s="455">
        <v>906</v>
      </c>
      <c r="C635" s="402" t="s">
        <v>187</v>
      </c>
      <c r="D635" s="402" t="s">
        <v>116</v>
      </c>
      <c r="E635" s="402" t="s">
        <v>827</v>
      </c>
      <c r="F635" s="402" t="s">
        <v>192</v>
      </c>
      <c r="G635" s="318">
        <f>G636</f>
        <v>0</v>
      </c>
      <c r="H635" s="318">
        <f>H636</f>
        <v>0</v>
      </c>
      <c r="I635" s="334"/>
      <c r="J635" s="321"/>
    </row>
    <row r="636" spans="1:10" ht="15.75" hidden="1" x14ac:dyDescent="0.25">
      <c r="A636" s="399" t="s">
        <v>193</v>
      </c>
      <c r="B636" s="455">
        <v>906</v>
      </c>
      <c r="C636" s="402" t="s">
        <v>187</v>
      </c>
      <c r="D636" s="402" t="s">
        <v>116</v>
      </c>
      <c r="E636" s="402" t="s">
        <v>827</v>
      </c>
      <c r="F636" s="402" t="s">
        <v>194</v>
      </c>
      <c r="G636" s="318"/>
      <c r="H636" s="318"/>
      <c r="I636" s="334"/>
      <c r="J636" s="321"/>
    </row>
    <row r="637" spans="1:10" ht="31.5" x14ac:dyDescent="0.25">
      <c r="A637" s="459" t="s">
        <v>238</v>
      </c>
      <c r="B637" s="455">
        <v>906</v>
      </c>
      <c r="C637" s="402" t="s">
        <v>187</v>
      </c>
      <c r="D637" s="402" t="s">
        <v>116</v>
      </c>
      <c r="E637" s="402" t="s">
        <v>771</v>
      </c>
      <c r="F637" s="402"/>
      <c r="G637" s="318">
        <f>G638</f>
        <v>4749.3999999999996</v>
      </c>
      <c r="H637" s="318">
        <f>H638</f>
        <v>4749.3999999999996</v>
      </c>
      <c r="I637" s="334"/>
      <c r="J637" s="321"/>
    </row>
    <row r="638" spans="1:10" ht="31.5" x14ac:dyDescent="0.25">
      <c r="A638" s="399" t="s">
        <v>191</v>
      </c>
      <c r="B638" s="455">
        <v>906</v>
      </c>
      <c r="C638" s="402" t="s">
        <v>187</v>
      </c>
      <c r="D638" s="402" t="s">
        <v>116</v>
      </c>
      <c r="E638" s="402" t="s">
        <v>771</v>
      </c>
      <c r="F638" s="402" t="s">
        <v>192</v>
      </c>
      <c r="G638" s="318">
        <f>G639</f>
        <v>4749.3999999999996</v>
      </c>
      <c r="H638" s="318">
        <f>H639</f>
        <v>4749.3999999999996</v>
      </c>
      <c r="I638" s="334"/>
      <c r="J638" s="321"/>
    </row>
    <row r="639" spans="1:10" ht="15.75" x14ac:dyDescent="0.25">
      <c r="A639" s="399" t="s">
        <v>193</v>
      </c>
      <c r="B639" s="455">
        <v>906</v>
      </c>
      <c r="C639" s="402" t="s">
        <v>187</v>
      </c>
      <c r="D639" s="402" t="s">
        <v>116</v>
      </c>
      <c r="E639" s="402" t="s">
        <v>771</v>
      </c>
      <c r="F639" s="402" t="s">
        <v>194</v>
      </c>
      <c r="G639" s="565">
        <f>4766-16.6</f>
        <v>4749.3999999999996</v>
      </c>
      <c r="H639" s="565">
        <f>4766-16.6</f>
        <v>4749.3999999999996</v>
      </c>
      <c r="I639" s="334"/>
      <c r="J639" s="321"/>
    </row>
    <row r="640" spans="1:10" ht="31.5" x14ac:dyDescent="0.25">
      <c r="A640" s="486" t="s">
        <v>515</v>
      </c>
      <c r="B640" s="454">
        <v>906</v>
      </c>
      <c r="C640" s="414" t="s">
        <v>187</v>
      </c>
      <c r="D640" s="414" t="s">
        <v>116</v>
      </c>
      <c r="E640" s="414" t="s">
        <v>773</v>
      </c>
      <c r="F640" s="414"/>
      <c r="G640" s="30">
        <f>G641+G644+G647</f>
        <v>4142</v>
      </c>
      <c r="H640" s="30">
        <f>H641+H644+H647</f>
        <v>4142</v>
      </c>
      <c r="I640" s="334"/>
      <c r="J640" s="321"/>
    </row>
    <row r="641" spans="1:10" ht="31.7" hidden="1" customHeight="1" x14ac:dyDescent="0.25">
      <c r="A641" s="399" t="s">
        <v>198</v>
      </c>
      <c r="B641" s="455">
        <v>906</v>
      </c>
      <c r="C641" s="402" t="s">
        <v>187</v>
      </c>
      <c r="D641" s="402" t="s">
        <v>116</v>
      </c>
      <c r="E641" s="402" t="s">
        <v>786</v>
      </c>
      <c r="F641" s="402"/>
      <c r="G641" s="318">
        <f>G642</f>
        <v>0</v>
      </c>
      <c r="H641" s="318">
        <f>H642</f>
        <v>0</v>
      </c>
      <c r="I641" s="334"/>
      <c r="J641" s="321"/>
    </row>
    <row r="642" spans="1:10" ht="38.25" hidden="1" customHeight="1" x14ac:dyDescent="0.25">
      <c r="A642" s="399" t="s">
        <v>191</v>
      </c>
      <c r="B642" s="455">
        <v>906</v>
      </c>
      <c r="C642" s="402" t="s">
        <v>187</v>
      </c>
      <c r="D642" s="402" t="s">
        <v>116</v>
      </c>
      <c r="E642" s="402" t="s">
        <v>786</v>
      </c>
      <c r="F642" s="402" t="s">
        <v>192</v>
      </c>
      <c r="G642" s="318">
        <f>G643</f>
        <v>0</v>
      </c>
      <c r="H642" s="318">
        <f>H643</f>
        <v>0</v>
      </c>
      <c r="I642" s="334"/>
      <c r="J642" s="321"/>
    </row>
    <row r="643" spans="1:10" ht="15.75" hidden="1" customHeight="1" x14ac:dyDescent="0.25">
      <c r="A643" s="399" t="s">
        <v>193</v>
      </c>
      <c r="B643" s="455">
        <v>906</v>
      </c>
      <c r="C643" s="402" t="s">
        <v>187</v>
      </c>
      <c r="D643" s="402" t="s">
        <v>116</v>
      </c>
      <c r="E643" s="402" t="s">
        <v>786</v>
      </c>
      <c r="F643" s="402" t="s">
        <v>194</v>
      </c>
      <c r="G643" s="318">
        <v>0</v>
      </c>
      <c r="H643" s="318">
        <v>0</v>
      </c>
      <c r="I643" s="334"/>
      <c r="J643" s="321"/>
    </row>
    <row r="644" spans="1:10" ht="34.5" customHeight="1" x14ac:dyDescent="0.25">
      <c r="A644" s="487" t="s">
        <v>344</v>
      </c>
      <c r="B644" s="455">
        <v>906</v>
      </c>
      <c r="C644" s="402" t="s">
        <v>187</v>
      </c>
      <c r="D644" s="402" t="s">
        <v>116</v>
      </c>
      <c r="E644" s="402" t="s">
        <v>774</v>
      </c>
      <c r="F644" s="402"/>
      <c r="G644" s="318">
        <f>G645</f>
        <v>2882</v>
      </c>
      <c r="H644" s="318">
        <f>H645</f>
        <v>2882</v>
      </c>
      <c r="I644" s="334"/>
      <c r="J644" s="321"/>
    </row>
    <row r="645" spans="1:10" ht="32.25" customHeight="1" x14ac:dyDescent="0.25">
      <c r="A645" s="459" t="s">
        <v>191</v>
      </c>
      <c r="B645" s="455">
        <v>906</v>
      </c>
      <c r="C645" s="402" t="s">
        <v>187</v>
      </c>
      <c r="D645" s="402" t="s">
        <v>116</v>
      </c>
      <c r="E645" s="402" t="s">
        <v>774</v>
      </c>
      <c r="F645" s="402" t="s">
        <v>192</v>
      </c>
      <c r="G645" s="318">
        <f>G646</f>
        <v>2882</v>
      </c>
      <c r="H645" s="318">
        <f>H646</f>
        <v>2882</v>
      </c>
      <c r="I645" s="334"/>
      <c r="J645" s="321"/>
    </row>
    <row r="646" spans="1:10" ht="15.75" customHeight="1" x14ac:dyDescent="0.25">
      <c r="A646" s="488" t="s">
        <v>193</v>
      </c>
      <c r="B646" s="455">
        <v>906</v>
      </c>
      <c r="C646" s="402" t="s">
        <v>187</v>
      </c>
      <c r="D646" s="402" t="s">
        <v>116</v>
      </c>
      <c r="E646" s="402" t="s">
        <v>774</v>
      </c>
      <c r="F646" s="402" t="s">
        <v>194</v>
      </c>
      <c r="G646" s="318">
        <v>2882</v>
      </c>
      <c r="H646" s="318">
        <v>2882</v>
      </c>
      <c r="I646" s="334"/>
      <c r="J646" s="321"/>
    </row>
    <row r="647" spans="1:10" ht="50.25" customHeight="1" x14ac:dyDescent="0.25">
      <c r="A647" s="487" t="s">
        <v>345</v>
      </c>
      <c r="B647" s="455">
        <v>906</v>
      </c>
      <c r="C647" s="402" t="s">
        <v>187</v>
      </c>
      <c r="D647" s="402" t="s">
        <v>116</v>
      </c>
      <c r="E647" s="402" t="s">
        <v>775</v>
      </c>
      <c r="F647" s="402"/>
      <c r="G647" s="318">
        <f>G648</f>
        <v>1260</v>
      </c>
      <c r="H647" s="318">
        <f>H648</f>
        <v>1260</v>
      </c>
      <c r="I647" s="334"/>
      <c r="J647" s="321"/>
    </row>
    <row r="648" spans="1:10" ht="31.5" x14ac:dyDescent="0.25">
      <c r="A648" s="459" t="s">
        <v>191</v>
      </c>
      <c r="B648" s="455">
        <v>906</v>
      </c>
      <c r="C648" s="402" t="s">
        <v>187</v>
      </c>
      <c r="D648" s="402" t="s">
        <v>116</v>
      </c>
      <c r="E648" s="402" t="s">
        <v>775</v>
      </c>
      <c r="F648" s="402" t="s">
        <v>192</v>
      </c>
      <c r="G648" s="318">
        <f>G649</f>
        <v>1260</v>
      </c>
      <c r="H648" s="318">
        <f>H649</f>
        <v>1260</v>
      </c>
      <c r="I648" s="334"/>
      <c r="J648" s="321"/>
    </row>
    <row r="649" spans="1:10" ht="15.75" x14ac:dyDescent="0.25">
      <c r="A649" s="488" t="s">
        <v>193</v>
      </c>
      <c r="B649" s="455">
        <v>906</v>
      </c>
      <c r="C649" s="402" t="s">
        <v>187</v>
      </c>
      <c r="D649" s="402" t="s">
        <v>116</v>
      </c>
      <c r="E649" s="402" t="s">
        <v>775</v>
      </c>
      <c r="F649" s="402" t="s">
        <v>194</v>
      </c>
      <c r="G649" s="318">
        <v>1260</v>
      </c>
      <c r="H649" s="318">
        <v>1260</v>
      </c>
      <c r="I649" s="334"/>
      <c r="J649" s="321"/>
    </row>
    <row r="650" spans="1:10" ht="36" customHeight="1" x14ac:dyDescent="0.25">
      <c r="A650" s="417" t="s">
        <v>1107</v>
      </c>
      <c r="B650" s="454">
        <v>906</v>
      </c>
      <c r="C650" s="414" t="s">
        <v>187</v>
      </c>
      <c r="D650" s="414" t="s">
        <v>116</v>
      </c>
      <c r="E650" s="414" t="s">
        <v>776</v>
      </c>
      <c r="F650" s="414"/>
      <c r="G650" s="314">
        <f t="shared" ref="G650:H652" si="48">G651</f>
        <v>189.9</v>
      </c>
      <c r="H650" s="314">
        <f t="shared" si="48"/>
        <v>196.79999999999998</v>
      </c>
      <c r="I650" s="334"/>
      <c r="J650" s="321"/>
    </row>
    <row r="651" spans="1:10" ht="31.5" x14ac:dyDescent="0.25">
      <c r="A651" s="399" t="s">
        <v>1108</v>
      </c>
      <c r="B651" s="455">
        <v>906</v>
      </c>
      <c r="C651" s="402" t="s">
        <v>187</v>
      </c>
      <c r="D651" s="402" t="s">
        <v>116</v>
      </c>
      <c r="E651" s="402" t="s">
        <v>1109</v>
      </c>
      <c r="F651" s="402"/>
      <c r="G651" s="318">
        <f t="shared" si="48"/>
        <v>189.9</v>
      </c>
      <c r="H651" s="318">
        <f t="shared" si="48"/>
        <v>196.79999999999998</v>
      </c>
      <c r="I651" s="334"/>
      <c r="J651" s="321"/>
    </row>
    <row r="652" spans="1:10" ht="31.5" x14ac:dyDescent="0.25">
      <c r="A652" s="459" t="s">
        <v>191</v>
      </c>
      <c r="B652" s="455">
        <v>906</v>
      </c>
      <c r="C652" s="402" t="s">
        <v>187</v>
      </c>
      <c r="D652" s="402" t="s">
        <v>116</v>
      </c>
      <c r="E652" s="402" t="s">
        <v>1109</v>
      </c>
      <c r="F652" s="402" t="s">
        <v>192</v>
      </c>
      <c r="G652" s="318">
        <f t="shared" si="48"/>
        <v>189.9</v>
      </c>
      <c r="H652" s="318">
        <f t="shared" si="48"/>
        <v>196.79999999999998</v>
      </c>
      <c r="I652" s="334"/>
      <c r="J652" s="321"/>
    </row>
    <row r="653" spans="1:10" ht="18.75" customHeight="1" x14ac:dyDescent="0.25">
      <c r="A653" s="488" t="s">
        <v>193</v>
      </c>
      <c r="B653" s="455">
        <v>906</v>
      </c>
      <c r="C653" s="402" t="s">
        <v>187</v>
      </c>
      <c r="D653" s="402" t="s">
        <v>116</v>
      </c>
      <c r="E653" s="402" t="s">
        <v>1109</v>
      </c>
      <c r="F653" s="402" t="s">
        <v>194</v>
      </c>
      <c r="G653" s="318">
        <f>124.4+48.9+16.6</f>
        <v>189.9</v>
      </c>
      <c r="H653" s="318">
        <f>124.4+55.8+16.6</f>
        <v>196.79999999999998</v>
      </c>
      <c r="I653" s="334" t="s">
        <v>1303</v>
      </c>
      <c r="J653" s="321"/>
    </row>
    <row r="654" spans="1:10" ht="84.2" customHeight="1" x14ac:dyDescent="0.25">
      <c r="A654" s="417" t="s">
        <v>717</v>
      </c>
      <c r="B654" s="454">
        <v>906</v>
      </c>
      <c r="C654" s="414" t="s">
        <v>187</v>
      </c>
      <c r="D654" s="414" t="s">
        <v>116</v>
      </c>
      <c r="E654" s="414" t="s">
        <v>777</v>
      </c>
      <c r="F654" s="414"/>
      <c r="G654" s="314">
        <f>G655+G658</f>
        <v>701.07999999999993</v>
      </c>
      <c r="H654" s="314">
        <f>H655+H658</f>
        <v>701.07999999999993</v>
      </c>
      <c r="I654" s="334"/>
      <c r="J654" s="321"/>
    </row>
    <row r="655" spans="1:10" ht="79.5" customHeight="1" x14ac:dyDescent="0.25">
      <c r="A655" s="489" t="s">
        <v>969</v>
      </c>
      <c r="B655" s="455">
        <v>906</v>
      </c>
      <c r="C655" s="402" t="s">
        <v>187</v>
      </c>
      <c r="D655" s="402" t="s">
        <v>116</v>
      </c>
      <c r="E655" s="402" t="s">
        <v>778</v>
      </c>
      <c r="F655" s="402"/>
      <c r="G655" s="318">
        <f>G656</f>
        <v>701.07999999999993</v>
      </c>
      <c r="H655" s="318">
        <f>H656</f>
        <v>701.07999999999993</v>
      </c>
      <c r="I655" s="334"/>
      <c r="J655" s="321"/>
    </row>
    <row r="656" spans="1:10" ht="33.75" customHeight="1" x14ac:dyDescent="0.25">
      <c r="A656" s="399" t="s">
        <v>191</v>
      </c>
      <c r="B656" s="455">
        <v>906</v>
      </c>
      <c r="C656" s="402" t="s">
        <v>187</v>
      </c>
      <c r="D656" s="402" t="s">
        <v>116</v>
      </c>
      <c r="E656" s="402" t="s">
        <v>778</v>
      </c>
      <c r="F656" s="402" t="s">
        <v>192</v>
      </c>
      <c r="G656" s="318">
        <f>G657</f>
        <v>701.07999999999993</v>
      </c>
      <c r="H656" s="318">
        <f>H657</f>
        <v>701.07999999999993</v>
      </c>
      <c r="I656" s="334"/>
      <c r="J656" s="321"/>
    </row>
    <row r="657" spans="1:12" ht="18.75" customHeight="1" x14ac:dyDescent="0.25">
      <c r="A657" s="399" t="s">
        <v>193</v>
      </c>
      <c r="B657" s="455">
        <v>906</v>
      </c>
      <c r="C657" s="402" t="s">
        <v>187</v>
      </c>
      <c r="D657" s="402" t="s">
        <v>116</v>
      </c>
      <c r="E657" s="402" t="s">
        <v>778</v>
      </c>
      <c r="F657" s="402" t="s">
        <v>194</v>
      </c>
      <c r="G657" s="318">
        <f>652+27.9+21.18</f>
        <v>701.07999999999993</v>
      </c>
      <c r="H657" s="318">
        <f>652+27.9+21.18</f>
        <v>701.07999999999993</v>
      </c>
      <c r="I657" s="334" t="s">
        <v>1209</v>
      </c>
      <c r="J657" s="321"/>
    </row>
    <row r="658" spans="1:12" ht="82.5" hidden="1" customHeight="1" x14ac:dyDescent="0.25">
      <c r="A658" s="489" t="s">
        <v>726</v>
      </c>
      <c r="B658" s="455">
        <v>906</v>
      </c>
      <c r="C658" s="402" t="s">
        <v>187</v>
      </c>
      <c r="D658" s="402" t="s">
        <v>116</v>
      </c>
      <c r="E658" s="402" t="s">
        <v>779</v>
      </c>
      <c r="F658" s="402"/>
      <c r="G658" s="318">
        <f>G659</f>
        <v>0</v>
      </c>
      <c r="H658" s="318">
        <f>H659</f>
        <v>0</v>
      </c>
      <c r="I658" s="334"/>
      <c r="J658" s="321"/>
    </row>
    <row r="659" spans="1:12" ht="36.75" hidden="1" customHeight="1" x14ac:dyDescent="0.25">
      <c r="A659" s="399" t="s">
        <v>191</v>
      </c>
      <c r="B659" s="455">
        <v>906</v>
      </c>
      <c r="C659" s="402" t="s">
        <v>187</v>
      </c>
      <c r="D659" s="402" t="s">
        <v>116</v>
      </c>
      <c r="E659" s="402" t="s">
        <v>779</v>
      </c>
      <c r="F659" s="402" t="s">
        <v>192</v>
      </c>
      <c r="G659" s="318">
        <f>G660</f>
        <v>0</v>
      </c>
      <c r="H659" s="318">
        <f>H660</f>
        <v>0</v>
      </c>
      <c r="I659" s="334"/>
      <c r="J659" s="321"/>
    </row>
    <row r="660" spans="1:12" ht="18.75" hidden="1" customHeight="1" x14ac:dyDescent="0.25">
      <c r="A660" s="399" t="s">
        <v>193</v>
      </c>
      <c r="B660" s="455">
        <v>906</v>
      </c>
      <c r="C660" s="402" t="s">
        <v>187</v>
      </c>
      <c r="D660" s="402" t="s">
        <v>116</v>
      </c>
      <c r="E660" s="402" t="s">
        <v>779</v>
      </c>
      <c r="F660" s="402" t="s">
        <v>194</v>
      </c>
      <c r="G660" s="318"/>
      <c r="H660" s="318"/>
      <c r="I660" s="334"/>
      <c r="J660" s="321"/>
    </row>
    <row r="661" spans="1:12" ht="31.5" hidden="1" x14ac:dyDescent="0.25">
      <c r="A661" s="490" t="s">
        <v>1024</v>
      </c>
      <c r="B661" s="454">
        <v>906</v>
      </c>
      <c r="C661" s="414" t="s">
        <v>187</v>
      </c>
      <c r="D661" s="414" t="s">
        <v>116</v>
      </c>
      <c r="E661" s="414" t="s">
        <v>1026</v>
      </c>
      <c r="F661" s="414"/>
      <c r="G661" s="318">
        <f t="shared" ref="G661:H663" si="49">G662</f>
        <v>0</v>
      </c>
      <c r="H661" s="318">
        <f t="shared" si="49"/>
        <v>0</v>
      </c>
      <c r="I661" s="334"/>
      <c r="J661" s="321"/>
    </row>
    <row r="662" spans="1:12" ht="31.5" hidden="1" x14ac:dyDescent="0.25">
      <c r="A662" s="491" t="s">
        <v>1025</v>
      </c>
      <c r="B662" s="455">
        <v>906</v>
      </c>
      <c r="C662" s="402" t="s">
        <v>187</v>
      </c>
      <c r="D662" s="402" t="s">
        <v>116</v>
      </c>
      <c r="E662" s="402" t="s">
        <v>1027</v>
      </c>
      <c r="F662" s="402"/>
      <c r="G662" s="318">
        <f t="shared" si="49"/>
        <v>0</v>
      </c>
      <c r="H662" s="318">
        <f t="shared" si="49"/>
        <v>0</v>
      </c>
      <c r="I662" s="334"/>
      <c r="J662" s="321"/>
    </row>
    <row r="663" spans="1:12" ht="31.5" hidden="1" x14ac:dyDescent="0.25">
      <c r="A663" s="401" t="s">
        <v>191</v>
      </c>
      <c r="B663" s="455">
        <v>906</v>
      </c>
      <c r="C663" s="402" t="s">
        <v>187</v>
      </c>
      <c r="D663" s="402" t="s">
        <v>116</v>
      </c>
      <c r="E663" s="402" t="s">
        <v>1027</v>
      </c>
      <c r="F663" s="402" t="s">
        <v>192</v>
      </c>
      <c r="G663" s="318">
        <f t="shared" si="49"/>
        <v>0</v>
      </c>
      <c r="H663" s="318">
        <f t="shared" si="49"/>
        <v>0</v>
      </c>
      <c r="I663" s="334"/>
      <c r="J663" s="321"/>
    </row>
    <row r="664" spans="1:12" ht="18.75" hidden="1" customHeight="1" x14ac:dyDescent="0.25">
      <c r="A664" s="401" t="s">
        <v>193</v>
      </c>
      <c r="B664" s="455">
        <v>906</v>
      </c>
      <c r="C664" s="402" t="s">
        <v>187</v>
      </c>
      <c r="D664" s="402" t="s">
        <v>116</v>
      </c>
      <c r="E664" s="402" t="s">
        <v>1027</v>
      </c>
      <c r="F664" s="402" t="s">
        <v>194</v>
      </c>
      <c r="G664" s="318"/>
      <c r="H664" s="318"/>
      <c r="I664" s="334"/>
      <c r="J664" s="321"/>
    </row>
    <row r="665" spans="1:12" ht="33" hidden="1" customHeight="1" x14ac:dyDescent="0.25">
      <c r="A665" s="490" t="s">
        <v>1028</v>
      </c>
      <c r="B665" s="454">
        <v>906</v>
      </c>
      <c r="C665" s="414" t="s">
        <v>187</v>
      </c>
      <c r="D665" s="414" t="s">
        <v>116</v>
      </c>
      <c r="E665" s="414" t="s">
        <v>1031</v>
      </c>
      <c r="F665" s="414"/>
      <c r="G665" s="314">
        <f t="shared" ref="G665:H667" si="50">G666</f>
        <v>0</v>
      </c>
      <c r="H665" s="314">
        <f t="shared" si="50"/>
        <v>0</v>
      </c>
      <c r="I665" s="334"/>
      <c r="J665" s="321"/>
    </row>
    <row r="666" spans="1:12" ht="33" hidden="1" customHeight="1" x14ac:dyDescent="0.25">
      <c r="A666" s="491" t="s">
        <v>1029</v>
      </c>
      <c r="B666" s="455">
        <v>906</v>
      </c>
      <c r="C666" s="402" t="s">
        <v>187</v>
      </c>
      <c r="D666" s="402" t="s">
        <v>116</v>
      </c>
      <c r="E666" s="402" t="s">
        <v>1030</v>
      </c>
      <c r="F666" s="402"/>
      <c r="G666" s="318">
        <f t="shared" si="50"/>
        <v>0</v>
      </c>
      <c r="H666" s="318">
        <f t="shared" si="50"/>
        <v>0</v>
      </c>
      <c r="I666" s="334"/>
      <c r="J666" s="321"/>
    </row>
    <row r="667" spans="1:12" ht="31.5" hidden="1" x14ac:dyDescent="0.25">
      <c r="A667" s="401" t="s">
        <v>191</v>
      </c>
      <c r="B667" s="455">
        <v>906</v>
      </c>
      <c r="C667" s="402" t="s">
        <v>187</v>
      </c>
      <c r="D667" s="402" t="s">
        <v>116</v>
      </c>
      <c r="E667" s="402" t="s">
        <v>1030</v>
      </c>
      <c r="F667" s="402" t="s">
        <v>192</v>
      </c>
      <c r="G667" s="318">
        <f t="shared" si="50"/>
        <v>0</v>
      </c>
      <c r="H667" s="318">
        <f t="shared" si="50"/>
        <v>0</v>
      </c>
      <c r="I667" s="334"/>
      <c r="J667" s="321"/>
    </row>
    <row r="668" spans="1:12" ht="18.75" hidden="1" customHeight="1" x14ac:dyDescent="0.25">
      <c r="A668" s="401" t="s">
        <v>193</v>
      </c>
      <c r="B668" s="455">
        <v>906</v>
      </c>
      <c r="C668" s="402" t="s">
        <v>187</v>
      </c>
      <c r="D668" s="402" t="s">
        <v>116</v>
      </c>
      <c r="E668" s="402" t="s">
        <v>1030</v>
      </c>
      <c r="F668" s="402" t="s">
        <v>194</v>
      </c>
      <c r="G668" s="318"/>
      <c r="H668" s="318"/>
      <c r="I668" s="334"/>
      <c r="J668" s="321"/>
      <c r="L668" s="327"/>
    </row>
    <row r="669" spans="1:12" ht="46.9" customHeight="1" x14ac:dyDescent="0.25">
      <c r="A669" s="413" t="s">
        <v>859</v>
      </c>
      <c r="B669" s="454">
        <v>906</v>
      </c>
      <c r="C669" s="414" t="s">
        <v>187</v>
      </c>
      <c r="D669" s="414" t="s">
        <v>116</v>
      </c>
      <c r="E669" s="414" t="s">
        <v>206</v>
      </c>
      <c r="F669" s="414"/>
      <c r="G669" s="314">
        <f t="shared" ref="G669:H672" si="51">G670</f>
        <v>80</v>
      </c>
      <c r="H669" s="314">
        <f t="shared" si="51"/>
        <v>25</v>
      </c>
      <c r="I669" s="334"/>
      <c r="J669" s="321"/>
    </row>
    <row r="670" spans="1:12" ht="49.7" customHeight="1" x14ac:dyDescent="0.25">
      <c r="A670" s="413" t="s">
        <v>572</v>
      </c>
      <c r="B670" s="454">
        <v>906</v>
      </c>
      <c r="C670" s="414" t="s">
        <v>187</v>
      </c>
      <c r="D670" s="414" t="s">
        <v>116</v>
      </c>
      <c r="E670" s="414" t="s">
        <v>504</v>
      </c>
      <c r="F670" s="414"/>
      <c r="G670" s="314">
        <f t="shared" si="51"/>
        <v>80</v>
      </c>
      <c r="H670" s="314">
        <f t="shared" si="51"/>
        <v>25</v>
      </c>
      <c r="I670" s="334"/>
      <c r="J670" s="321"/>
    </row>
    <row r="671" spans="1:12" ht="48.95" customHeight="1" x14ac:dyDescent="0.25">
      <c r="A671" s="401" t="s">
        <v>635</v>
      </c>
      <c r="B671" s="455">
        <v>906</v>
      </c>
      <c r="C671" s="402" t="s">
        <v>187</v>
      </c>
      <c r="D671" s="402" t="s">
        <v>116</v>
      </c>
      <c r="E671" s="402" t="s">
        <v>505</v>
      </c>
      <c r="F671" s="402"/>
      <c r="G671" s="318">
        <f t="shared" si="51"/>
        <v>80</v>
      </c>
      <c r="H671" s="318">
        <f t="shared" si="51"/>
        <v>25</v>
      </c>
      <c r="I671" s="334"/>
      <c r="J671" s="321"/>
    </row>
    <row r="672" spans="1:12" ht="42" customHeight="1" x14ac:dyDescent="0.25">
      <c r="A672" s="401" t="s">
        <v>191</v>
      </c>
      <c r="B672" s="455">
        <v>906</v>
      </c>
      <c r="C672" s="402" t="s">
        <v>187</v>
      </c>
      <c r="D672" s="402" t="s">
        <v>116</v>
      </c>
      <c r="E672" s="402" t="s">
        <v>505</v>
      </c>
      <c r="F672" s="402" t="s">
        <v>192</v>
      </c>
      <c r="G672" s="318">
        <f t="shared" si="51"/>
        <v>80</v>
      </c>
      <c r="H672" s="318">
        <f t="shared" si="51"/>
        <v>25</v>
      </c>
      <c r="I672" s="334"/>
      <c r="J672" s="321"/>
    </row>
    <row r="673" spans="1:10" ht="16.5" customHeight="1" x14ac:dyDescent="0.25">
      <c r="A673" s="401" t="s">
        <v>193</v>
      </c>
      <c r="B673" s="455">
        <v>906</v>
      </c>
      <c r="C673" s="402" t="s">
        <v>187</v>
      </c>
      <c r="D673" s="402" t="s">
        <v>116</v>
      </c>
      <c r="E673" s="402" t="s">
        <v>505</v>
      </c>
      <c r="F673" s="402" t="s">
        <v>194</v>
      </c>
      <c r="G673" s="318">
        <v>80</v>
      </c>
      <c r="H673" s="318">
        <v>25</v>
      </c>
      <c r="I673" s="334"/>
      <c r="J673" s="321"/>
    </row>
    <row r="674" spans="1:10" ht="46.5" customHeight="1" x14ac:dyDescent="0.25">
      <c r="A674" s="463" t="s">
        <v>844</v>
      </c>
      <c r="B674" s="454">
        <v>906</v>
      </c>
      <c r="C674" s="414" t="s">
        <v>187</v>
      </c>
      <c r="D674" s="414" t="s">
        <v>116</v>
      </c>
      <c r="E674" s="414" t="s">
        <v>339</v>
      </c>
      <c r="F674" s="464"/>
      <c r="G674" s="314">
        <f>G676</f>
        <v>571.79999999999995</v>
      </c>
      <c r="H674" s="314">
        <f>H676</f>
        <v>571.79999999999995</v>
      </c>
      <c r="I674" s="334"/>
      <c r="J674" s="321"/>
    </row>
    <row r="675" spans="1:10" ht="46.5" customHeight="1" x14ac:dyDescent="0.25">
      <c r="A675" s="463" t="s">
        <v>463</v>
      </c>
      <c r="B675" s="454">
        <v>906</v>
      </c>
      <c r="C675" s="414" t="s">
        <v>187</v>
      </c>
      <c r="D675" s="414" t="s">
        <v>116</v>
      </c>
      <c r="E675" s="414" t="s">
        <v>461</v>
      </c>
      <c r="F675" s="464"/>
      <c r="G675" s="314">
        <f t="shared" ref="G675:H677" si="52">G676</f>
        <v>571.79999999999995</v>
      </c>
      <c r="H675" s="314">
        <f t="shared" si="52"/>
        <v>571.79999999999995</v>
      </c>
      <c r="I675" s="334"/>
      <c r="J675" s="321"/>
    </row>
    <row r="676" spans="1:10" ht="36" customHeight="1" x14ac:dyDescent="0.25">
      <c r="A676" s="466" t="s">
        <v>359</v>
      </c>
      <c r="B676" s="455">
        <v>906</v>
      </c>
      <c r="C676" s="402" t="s">
        <v>187</v>
      </c>
      <c r="D676" s="402" t="s">
        <v>116</v>
      </c>
      <c r="E676" s="402" t="s">
        <v>506</v>
      </c>
      <c r="F676" s="467"/>
      <c r="G676" s="318">
        <f t="shared" si="52"/>
        <v>571.79999999999995</v>
      </c>
      <c r="H676" s="318">
        <f t="shared" si="52"/>
        <v>571.79999999999995</v>
      </c>
      <c r="I676" s="334"/>
      <c r="J676" s="321"/>
    </row>
    <row r="677" spans="1:10" ht="35.450000000000003" customHeight="1" x14ac:dyDescent="0.25">
      <c r="A677" s="459" t="s">
        <v>191</v>
      </c>
      <c r="B677" s="455">
        <v>906</v>
      </c>
      <c r="C677" s="402" t="s">
        <v>187</v>
      </c>
      <c r="D677" s="402" t="s">
        <v>116</v>
      </c>
      <c r="E677" s="402" t="s">
        <v>506</v>
      </c>
      <c r="F677" s="467" t="s">
        <v>192</v>
      </c>
      <c r="G677" s="318">
        <f t="shared" si="52"/>
        <v>571.79999999999995</v>
      </c>
      <c r="H677" s="318">
        <f t="shared" si="52"/>
        <v>571.79999999999995</v>
      </c>
      <c r="I677" s="334"/>
      <c r="J677" s="321"/>
    </row>
    <row r="678" spans="1:10" ht="15.75" customHeight="1" x14ac:dyDescent="0.25">
      <c r="A678" s="488" t="s">
        <v>193</v>
      </c>
      <c r="B678" s="455">
        <v>906</v>
      </c>
      <c r="C678" s="402" t="s">
        <v>187</v>
      </c>
      <c r="D678" s="402" t="s">
        <v>116</v>
      </c>
      <c r="E678" s="402" t="s">
        <v>506</v>
      </c>
      <c r="F678" s="467" t="s">
        <v>194</v>
      </c>
      <c r="G678" s="318">
        <v>571.79999999999995</v>
      </c>
      <c r="H678" s="318">
        <v>571.79999999999995</v>
      </c>
      <c r="I678" s="334"/>
      <c r="J678" s="321"/>
    </row>
    <row r="679" spans="1:10" ht="15.75" x14ac:dyDescent="0.25">
      <c r="A679" s="417" t="s">
        <v>239</v>
      </c>
      <c r="B679" s="454">
        <v>906</v>
      </c>
      <c r="C679" s="414" t="s">
        <v>187</v>
      </c>
      <c r="D679" s="414" t="s">
        <v>158</v>
      </c>
      <c r="E679" s="414"/>
      <c r="F679" s="414"/>
      <c r="G679" s="314">
        <f>G680+G758+G763</f>
        <v>202665.56</v>
      </c>
      <c r="H679" s="314">
        <f>H680+H758+H763</f>
        <v>164386.26</v>
      </c>
      <c r="I679" s="334"/>
      <c r="J679" s="321"/>
    </row>
    <row r="680" spans="1:10" ht="36.75" customHeight="1" x14ac:dyDescent="0.25">
      <c r="A680" s="417" t="s">
        <v>860</v>
      </c>
      <c r="B680" s="454">
        <v>906</v>
      </c>
      <c r="C680" s="414" t="s">
        <v>187</v>
      </c>
      <c r="D680" s="414" t="s">
        <v>158</v>
      </c>
      <c r="E680" s="414" t="s">
        <v>237</v>
      </c>
      <c r="F680" s="414"/>
      <c r="G680" s="314">
        <f>G681+G685+G698+G711+G718+G722+G726+G746+G730+G734+G750+G738+G742+G754</f>
        <v>201734.72</v>
      </c>
      <c r="H680" s="314">
        <f>H681+H685+H698+H711+H718+H722+H726+H746+H730+H734+H750+H738+H742+H754</f>
        <v>163455.42000000001</v>
      </c>
      <c r="I680" s="334"/>
      <c r="J680" s="321"/>
    </row>
    <row r="681" spans="1:10" ht="37.5" customHeight="1" x14ac:dyDescent="0.25">
      <c r="A681" s="417" t="s">
        <v>507</v>
      </c>
      <c r="B681" s="454">
        <v>906</v>
      </c>
      <c r="C681" s="414" t="s">
        <v>187</v>
      </c>
      <c r="D681" s="414" t="s">
        <v>158</v>
      </c>
      <c r="E681" s="414" t="s">
        <v>766</v>
      </c>
      <c r="F681" s="414"/>
      <c r="G681" s="314">
        <f t="shared" ref="G681:H683" si="53">G682</f>
        <v>30618.400000000001</v>
      </c>
      <c r="H681" s="314">
        <f t="shared" si="53"/>
        <v>30618.400000000001</v>
      </c>
      <c r="I681" s="334"/>
      <c r="J681" s="321"/>
    </row>
    <row r="682" spans="1:10" ht="31.5" x14ac:dyDescent="0.25">
      <c r="A682" s="399" t="s">
        <v>769</v>
      </c>
      <c r="B682" s="455">
        <v>906</v>
      </c>
      <c r="C682" s="402" t="s">
        <v>187</v>
      </c>
      <c r="D682" s="402" t="s">
        <v>158</v>
      </c>
      <c r="E682" s="402" t="s">
        <v>780</v>
      </c>
      <c r="F682" s="402"/>
      <c r="G682" s="318">
        <f t="shared" si="53"/>
        <v>30618.400000000001</v>
      </c>
      <c r="H682" s="318">
        <f t="shared" si="53"/>
        <v>30618.400000000001</v>
      </c>
      <c r="I682" s="334"/>
      <c r="J682" s="321"/>
    </row>
    <row r="683" spans="1:10" ht="32.25" customHeight="1" x14ac:dyDescent="0.25">
      <c r="A683" s="399" t="s">
        <v>191</v>
      </c>
      <c r="B683" s="455">
        <v>906</v>
      </c>
      <c r="C683" s="402" t="s">
        <v>187</v>
      </c>
      <c r="D683" s="402" t="s">
        <v>158</v>
      </c>
      <c r="E683" s="402" t="s">
        <v>780</v>
      </c>
      <c r="F683" s="402" t="s">
        <v>192</v>
      </c>
      <c r="G683" s="318">
        <f t="shared" si="53"/>
        <v>30618.400000000001</v>
      </c>
      <c r="H683" s="318">
        <f t="shared" si="53"/>
        <v>30618.400000000001</v>
      </c>
      <c r="I683" s="334"/>
      <c r="J683" s="321"/>
    </row>
    <row r="684" spans="1:10" ht="15.75" x14ac:dyDescent="0.25">
      <c r="A684" s="399" t="s">
        <v>193</v>
      </c>
      <c r="B684" s="455">
        <v>906</v>
      </c>
      <c r="C684" s="402" t="s">
        <v>187</v>
      </c>
      <c r="D684" s="402" t="s">
        <v>158</v>
      </c>
      <c r="E684" s="402" t="s">
        <v>780</v>
      </c>
      <c r="F684" s="402" t="s">
        <v>194</v>
      </c>
      <c r="G684" s="20">
        <v>30618.400000000001</v>
      </c>
      <c r="H684" s="20">
        <f>G684</f>
        <v>30618.400000000001</v>
      </c>
      <c r="I684" s="338"/>
      <c r="J684" s="321"/>
    </row>
    <row r="685" spans="1:10" ht="36.75" customHeight="1" x14ac:dyDescent="0.25">
      <c r="A685" s="417" t="s">
        <v>471</v>
      </c>
      <c r="B685" s="454">
        <v>906</v>
      </c>
      <c r="C685" s="414" t="s">
        <v>187</v>
      </c>
      <c r="D685" s="414" t="s">
        <v>158</v>
      </c>
      <c r="E685" s="414" t="s">
        <v>768</v>
      </c>
      <c r="F685" s="414"/>
      <c r="G685" s="30">
        <f>G686+G689+G692+G695</f>
        <v>154802.51</v>
      </c>
      <c r="H685" s="30">
        <f>H686+H689+H692+H695</f>
        <v>118711.51</v>
      </c>
      <c r="I685" s="334"/>
      <c r="J685" s="321"/>
    </row>
    <row r="686" spans="1:10" ht="50.25" customHeight="1" x14ac:dyDescent="0.25">
      <c r="A686" s="399" t="s">
        <v>886</v>
      </c>
      <c r="B686" s="455">
        <v>906</v>
      </c>
      <c r="C686" s="402" t="s">
        <v>187</v>
      </c>
      <c r="D686" s="402" t="s">
        <v>158</v>
      </c>
      <c r="E686" s="402" t="s">
        <v>887</v>
      </c>
      <c r="F686" s="402"/>
      <c r="G686" s="20">
        <f>G687</f>
        <v>7421.4</v>
      </c>
      <c r="H686" s="20">
        <f>H687</f>
        <v>7421.4</v>
      </c>
      <c r="I686" s="334"/>
      <c r="J686" s="321"/>
    </row>
    <row r="687" spans="1:10" ht="36.75" customHeight="1" x14ac:dyDescent="0.25">
      <c r="A687" s="399" t="s">
        <v>191</v>
      </c>
      <c r="B687" s="455">
        <v>906</v>
      </c>
      <c r="C687" s="402" t="s">
        <v>187</v>
      </c>
      <c r="D687" s="402" t="s">
        <v>158</v>
      </c>
      <c r="E687" s="402" t="s">
        <v>887</v>
      </c>
      <c r="F687" s="402" t="s">
        <v>192</v>
      </c>
      <c r="G687" s="20">
        <f>G688</f>
        <v>7421.4</v>
      </c>
      <c r="H687" s="20">
        <f>H688</f>
        <v>7421.4</v>
      </c>
      <c r="I687" s="334"/>
      <c r="J687" s="321"/>
    </row>
    <row r="688" spans="1:10" ht="19.7" customHeight="1" x14ac:dyDescent="0.25">
      <c r="A688" s="399" t="s">
        <v>193</v>
      </c>
      <c r="B688" s="455">
        <v>906</v>
      </c>
      <c r="C688" s="402" t="s">
        <v>187</v>
      </c>
      <c r="D688" s="402" t="s">
        <v>158</v>
      </c>
      <c r="E688" s="402" t="s">
        <v>887</v>
      </c>
      <c r="F688" s="402" t="s">
        <v>194</v>
      </c>
      <c r="G688" s="20">
        <v>7421.4</v>
      </c>
      <c r="H688" s="20">
        <v>7421.4</v>
      </c>
      <c r="I688" s="334"/>
      <c r="J688" s="321"/>
    </row>
    <row r="689" spans="1:10" ht="88.35" customHeight="1" x14ac:dyDescent="0.25">
      <c r="A689" s="401" t="s">
        <v>200</v>
      </c>
      <c r="B689" s="455">
        <v>906</v>
      </c>
      <c r="C689" s="402" t="s">
        <v>187</v>
      </c>
      <c r="D689" s="402" t="s">
        <v>158</v>
      </c>
      <c r="E689" s="402" t="s">
        <v>884</v>
      </c>
      <c r="F689" s="402"/>
      <c r="G689" s="318">
        <f>G690</f>
        <v>5001</v>
      </c>
      <c r="H689" s="318">
        <f>H690</f>
        <v>5001</v>
      </c>
      <c r="I689" s="334"/>
      <c r="J689" s="321"/>
    </row>
    <row r="690" spans="1:10" ht="36.75" customHeight="1" x14ac:dyDescent="0.25">
      <c r="A690" s="399" t="s">
        <v>191</v>
      </c>
      <c r="B690" s="455">
        <v>906</v>
      </c>
      <c r="C690" s="402" t="s">
        <v>187</v>
      </c>
      <c r="D690" s="402" t="s">
        <v>158</v>
      </c>
      <c r="E690" s="402" t="s">
        <v>884</v>
      </c>
      <c r="F690" s="402" t="s">
        <v>192</v>
      </c>
      <c r="G690" s="318">
        <f>G691</f>
        <v>5001</v>
      </c>
      <c r="H690" s="318">
        <f>H691</f>
        <v>5001</v>
      </c>
      <c r="I690" s="334"/>
      <c r="J690" s="321"/>
    </row>
    <row r="691" spans="1:10" ht="14.25" customHeight="1" x14ac:dyDescent="0.25">
      <c r="A691" s="399" t="s">
        <v>193</v>
      </c>
      <c r="B691" s="455">
        <v>906</v>
      </c>
      <c r="C691" s="402" t="s">
        <v>187</v>
      </c>
      <c r="D691" s="402" t="s">
        <v>158</v>
      </c>
      <c r="E691" s="402" t="s">
        <v>884</v>
      </c>
      <c r="F691" s="402" t="s">
        <v>194</v>
      </c>
      <c r="G691" s="20">
        <f>5000+1</f>
        <v>5001</v>
      </c>
      <c r="H691" s="20">
        <f>5000+1</f>
        <v>5001</v>
      </c>
      <c r="I691" s="334" t="s">
        <v>1345</v>
      </c>
      <c r="J691" s="321"/>
    </row>
    <row r="692" spans="1:10" ht="47.25" x14ac:dyDescent="0.25">
      <c r="A692" s="401" t="s">
        <v>244</v>
      </c>
      <c r="B692" s="455">
        <v>906</v>
      </c>
      <c r="C692" s="402" t="s">
        <v>187</v>
      </c>
      <c r="D692" s="402" t="s">
        <v>158</v>
      </c>
      <c r="E692" s="402" t="s">
        <v>781</v>
      </c>
      <c r="F692" s="402"/>
      <c r="G692" s="318">
        <f>G693</f>
        <v>909.3</v>
      </c>
      <c r="H692" s="318">
        <f>H693</f>
        <v>909.3</v>
      </c>
      <c r="I692" s="334"/>
      <c r="J692" s="321"/>
    </row>
    <row r="693" spans="1:10" ht="31.5" x14ac:dyDescent="0.25">
      <c r="A693" s="399" t="s">
        <v>191</v>
      </c>
      <c r="B693" s="455">
        <v>906</v>
      </c>
      <c r="C693" s="402" t="s">
        <v>187</v>
      </c>
      <c r="D693" s="402" t="s">
        <v>158</v>
      </c>
      <c r="E693" s="402" t="s">
        <v>781</v>
      </c>
      <c r="F693" s="402" t="s">
        <v>192</v>
      </c>
      <c r="G693" s="318">
        <f>G694</f>
        <v>909.3</v>
      </c>
      <c r="H693" s="318">
        <f>H694</f>
        <v>909.3</v>
      </c>
      <c r="I693" s="334"/>
      <c r="J693" s="321"/>
    </row>
    <row r="694" spans="1:10" ht="15.75" x14ac:dyDescent="0.25">
      <c r="A694" s="399" t="s">
        <v>193</v>
      </c>
      <c r="B694" s="455">
        <v>906</v>
      </c>
      <c r="C694" s="402" t="s">
        <v>187</v>
      </c>
      <c r="D694" s="402" t="s">
        <v>158</v>
      </c>
      <c r="E694" s="402" t="s">
        <v>781</v>
      </c>
      <c r="F694" s="402" t="s">
        <v>194</v>
      </c>
      <c r="G694" s="20">
        <v>909.3</v>
      </c>
      <c r="H694" s="20">
        <v>909.3</v>
      </c>
      <c r="I694" s="334"/>
      <c r="J694" s="321"/>
    </row>
    <row r="695" spans="1:10" ht="31.5" x14ac:dyDescent="0.25">
      <c r="A695" s="399" t="s">
        <v>1147</v>
      </c>
      <c r="B695" s="455">
        <v>906</v>
      </c>
      <c r="C695" s="402" t="s">
        <v>187</v>
      </c>
      <c r="D695" s="402" t="s">
        <v>158</v>
      </c>
      <c r="E695" s="402" t="s">
        <v>1148</v>
      </c>
      <c r="F695" s="402"/>
      <c r="G695" s="20">
        <f>G696</f>
        <v>141470.81</v>
      </c>
      <c r="H695" s="20">
        <f>H696</f>
        <v>105379.81</v>
      </c>
      <c r="I695" s="334"/>
      <c r="J695" s="321"/>
    </row>
    <row r="696" spans="1:10" ht="31.5" x14ac:dyDescent="0.25">
      <c r="A696" s="399" t="s">
        <v>191</v>
      </c>
      <c r="B696" s="455">
        <v>906</v>
      </c>
      <c r="C696" s="402" t="s">
        <v>187</v>
      </c>
      <c r="D696" s="402" t="s">
        <v>158</v>
      </c>
      <c r="E696" s="402" t="s">
        <v>1148</v>
      </c>
      <c r="F696" s="402" t="s">
        <v>192</v>
      </c>
      <c r="G696" s="20">
        <f>G697</f>
        <v>141470.81</v>
      </c>
      <c r="H696" s="20">
        <f>H697</f>
        <v>105379.81</v>
      </c>
      <c r="I696" s="334"/>
      <c r="J696" s="321"/>
    </row>
    <row r="697" spans="1:10" ht="15.75" x14ac:dyDescent="0.25">
      <c r="A697" s="399" t="s">
        <v>193</v>
      </c>
      <c r="B697" s="455">
        <v>906</v>
      </c>
      <c r="C697" s="402" t="s">
        <v>187</v>
      </c>
      <c r="D697" s="402" t="s">
        <v>158</v>
      </c>
      <c r="E697" s="402" t="s">
        <v>1148</v>
      </c>
      <c r="F697" s="402" t="s">
        <v>194</v>
      </c>
      <c r="G697" s="20">
        <f>141806-335.19</f>
        <v>141470.81</v>
      </c>
      <c r="H697" s="20">
        <f>105730.5-350.69</f>
        <v>105379.81</v>
      </c>
      <c r="I697" s="334" t="s">
        <v>1325</v>
      </c>
      <c r="J697" s="321"/>
    </row>
    <row r="698" spans="1:10" ht="35.450000000000003" customHeight="1" x14ac:dyDescent="0.25">
      <c r="A698" s="417" t="s">
        <v>782</v>
      </c>
      <c r="B698" s="492">
        <v>906</v>
      </c>
      <c r="C698" s="414" t="s">
        <v>187</v>
      </c>
      <c r="D698" s="414" t="s">
        <v>158</v>
      </c>
      <c r="E698" s="414" t="s">
        <v>770</v>
      </c>
      <c r="F698" s="414"/>
      <c r="G698" s="314">
        <f>G699+G702+G705+G708</f>
        <v>208.6</v>
      </c>
      <c r="H698" s="314">
        <f>H699+H702+H705+H708</f>
        <v>208.6</v>
      </c>
      <c r="I698" s="334"/>
      <c r="J698" s="321"/>
    </row>
    <row r="699" spans="1:10" ht="35.450000000000003" hidden="1" customHeight="1" x14ac:dyDescent="0.25">
      <c r="A699" s="399" t="s">
        <v>242</v>
      </c>
      <c r="B699" s="493">
        <v>906</v>
      </c>
      <c r="C699" s="402" t="s">
        <v>187</v>
      </c>
      <c r="D699" s="402" t="s">
        <v>158</v>
      </c>
      <c r="E699" s="402" t="s">
        <v>825</v>
      </c>
      <c r="F699" s="402"/>
      <c r="G699" s="318">
        <f>G700</f>
        <v>0</v>
      </c>
      <c r="H699" s="318">
        <f>H700</f>
        <v>0</v>
      </c>
      <c r="I699" s="334"/>
      <c r="J699" s="321"/>
    </row>
    <row r="700" spans="1:10" ht="39.75" hidden="1" customHeight="1" x14ac:dyDescent="0.25">
      <c r="A700" s="399" t="s">
        <v>191</v>
      </c>
      <c r="B700" s="493">
        <v>906</v>
      </c>
      <c r="C700" s="402" t="s">
        <v>187</v>
      </c>
      <c r="D700" s="402" t="s">
        <v>158</v>
      </c>
      <c r="E700" s="402" t="s">
        <v>825</v>
      </c>
      <c r="F700" s="402" t="s">
        <v>192</v>
      </c>
      <c r="G700" s="318">
        <f>G701</f>
        <v>0</v>
      </c>
      <c r="H700" s="318">
        <f>H701</f>
        <v>0</v>
      </c>
      <c r="I700" s="334"/>
      <c r="J700" s="321"/>
    </row>
    <row r="701" spans="1:10" ht="18.75" hidden="1" customHeight="1" x14ac:dyDescent="0.25">
      <c r="A701" s="399" t="s">
        <v>193</v>
      </c>
      <c r="B701" s="493">
        <v>906</v>
      </c>
      <c r="C701" s="402" t="s">
        <v>187</v>
      </c>
      <c r="D701" s="402" t="s">
        <v>158</v>
      </c>
      <c r="E701" s="402" t="s">
        <v>825</v>
      </c>
      <c r="F701" s="402" t="s">
        <v>194</v>
      </c>
      <c r="G701" s="318">
        <v>0</v>
      </c>
      <c r="H701" s="318">
        <v>0</v>
      </c>
      <c r="I701" s="334"/>
      <c r="J701" s="321"/>
    </row>
    <row r="702" spans="1:10" ht="41.25" hidden="1" customHeight="1" x14ac:dyDescent="0.25">
      <c r="A702" s="399" t="s">
        <v>195</v>
      </c>
      <c r="B702" s="493">
        <v>906</v>
      </c>
      <c r="C702" s="402" t="s">
        <v>187</v>
      </c>
      <c r="D702" s="402" t="s">
        <v>158</v>
      </c>
      <c r="E702" s="402" t="s">
        <v>826</v>
      </c>
      <c r="F702" s="402"/>
      <c r="G702" s="318">
        <f>G703</f>
        <v>0</v>
      </c>
      <c r="H702" s="318">
        <f>H703</f>
        <v>0</v>
      </c>
      <c r="I702" s="334"/>
      <c r="J702" s="321"/>
    </row>
    <row r="703" spans="1:10" ht="33" hidden="1" customHeight="1" x14ac:dyDescent="0.25">
      <c r="A703" s="399" t="s">
        <v>191</v>
      </c>
      <c r="B703" s="493">
        <v>906</v>
      </c>
      <c r="C703" s="402" t="s">
        <v>187</v>
      </c>
      <c r="D703" s="402" t="s">
        <v>158</v>
      </c>
      <c r="E703" s="402" t="s">
        <v>826</v>
      </c>
      <c r="F703" s="402" t="s">
        <v>192</v>
      </c>
      <c r="G703" s="318">
        <f>G704</f>
        <v>0</v>
      </c>
      <c r="H703" s="318">
        <f>H704</f>
        <v>0</v>
      </c>
      <c r="I703" s="334"/>
      <c r="J703" s="321"/>
    </row>
    <row r="704" spans="1:10" ht="18.75" hidden="1" customHeight="1" x14ac:dyDescent="0.25">
      <c r="A704" s="399" t="s">
        <v>193</v>
      </c>
      <c r="B704" s="493">
        <v>906</v>
      </c>
      <c r="C704" s="402" t="s">
        <v>187</v>
      </c>
      <c r="D704" s="402" t="s">
        <v>158</v>
      </c>
      <c r="E704" s="402" t="s">
        <v>826</v>
      </c>
      <c r="F704" s="402" t="s">
        <v>194</v>
      </c>
      <c r="G704" s="318"/>
      <c r="H704" s="318"/>
      <c r="I704" s="334"/>
      <c r="J704" s="321"/>
    </row>
    <row r="705" spans="1:10" ht="31.7" hidden="1" customHeight="1" x14ac:dyDescent="0.25">
      <c r="A705" s="399" t="s">
        <v>196</v>
      </c>
      <c r="B705" s="493">
        <v>906</v>
      </c>
      <c r="C705" s="402" t="s">
        <v>187</v>
      </c>
      <c r="D705" s="402" t="s">
        <v>158</v>
      </c>
      <c r="E705" s="402" t="s">
        <v>827</v>
      </c>
      <c r="F705" s="402"/>
      <c r="G705" s="318">
        <f>G706</f>
        <v>0</v>
      </c>
      <c r="H705" s="318">
        <f>H706</f>
        <v>0</v>
      </c>
      <c r="I705" s="334"/>
      <c r="J705" s="321"/>
    </row>
    <row r="706" spans="1:10" ht="29.25" hidden="1" customHeight="1" x14ac:dyDescent="0.25">
      <c r="A706" s="399" t="s">
        <v>191</v>
      </c>
      <c r="B706" s="493">
        <v>906</v>
      </c>
      <c r="C706" s="402" t="s">
        <v>187</v>
      </c>
      <c r="D706" s="402" t="s">
        <v>158</v>
      </c>
      <c r="E706" s="402" t="s">
        <v>827</v>
      </c>
      <c r="F706" s="402" t="s">
        <v>192</v>
      </c>
      <c r="G706" s="318">
        <f>G707</f>
        <v>0</v>
      </c>
      <c r="H706" s="318">
        <f>H707</f>
        <v>0</v>
      </c>
      <c r="I706" s="334"/>
      <c r="J706" s="321"/>
    </row>
    <row r="707" spans="1:10" ht="18.75" hidden="1" customHeight="1" x14ac:dyDescent="0.25">
      <c r="A707" s="399" t="s">
        <v>193</v>
      </c>
      <c r="B707" s="493">
        <v>906</v>
      </c>
      <c r="C707" s="402" t="s">
        <v>187</v>
      </c>
      <c r="D707" s="402" t="s">
        <v>158</v>
      </c>
      <c r="E707" s="402" t="s">
        <v>827</v>
      </c>
      <c r="F707" s="402" t="s">
        <v>194</v>
      </c>
      <c r="G707" s="318"/>
      <c r="H707" s="318"/>
      <c r="I707" s="334"/>
      <c r="J707" s="321"/>
    </row>
    <row r="708" spans="1:10" ht="36" customHeight="1" x14ac:dyDescent="0.25">
      <c r="A708" s="399" t="s">
        <v>197</v>
      </c>
      <c r="B708" s="493">
        <v>906</v>
      </c>
      <c r="C708" s="402" t="s">
        <v>187</v>
      </c>
      <c r="D708" s="402" t="s">
        <v>158</v>
      </c>
      <c r="E708" s="402" t="s">
        <v>783</v>
      </c>
      <c r="F708" s="402"/>
      <c r="G708" s="318">
        <f>G709</f>
        <v>208.6</v>
      </c>
      <c r="H708" s="318">
        <f>H709</f>
        <v>208.6</v>
      </c>
      <c r="I708" s="334"/>
      <c r="J708" s="321"/>
    </row>
    <row r="709" spans="1:10" ht="39.75" customHeight="1" x14ac:dyDescent="0.25">
      <c r="A709" s="399" t="s">
        <v>191</v>
      </c>
      <c r="B709" s="493">
        <v>906</v>
      </c>
      <c r="C709" s="402" t="s">
        <v>187</v>
      </c>
      <c r="D709" s="402" t="s">
        <v>158</v>
      </c>
      <c r="E709" s="402" t="s">
        <v>783</v>
      </c>
      <c r="F709" s="402" t="s">
        <v>192</v>
      </c>
      <c r="G709" s="318">
        <f>G710</f>
        <v>208.6</v>
      </c>
      <c r="H709" s="318">
        <f>H710</f>
        <v>208.6</v>
      </c>
      <c r="I709" s="334"/>
      <c r="J709" s="321"/>
    </row>
    <row r="710" spans="1:10" ht="18.75" customHeight="1" x14ac:dyDescent="0.25">
      <c r="A710" s="399" t="s">
        <v>193</v>
      </c>
      <c r="B710" s="493">
        <v>906</v>
      </c>
      <c r="C710" s="402" t="s">
        <v>187</v>
      </c>
      <c r="D710" s="402" t="s">
        <v>158</v>
      </c>
      <c r="E710" s="402" t="s">
        <v>783</v>
      </c>
      <c r="F710" s="402" t="s">
        <v>194</v>
      </c>
      <c r="G710" s="318">
        <v>208.6</v>
      </c>
      <c r="H710" s="318">
        <v>208.6</v>
      </c>
      <c r="I710" s="334"/>
      <c r="J710" s="321"/>
    </row>
    <row r="711" spans="1:10" ht="34.5" customHeight="1" x14ac:dyDescent="0.25">
      <c r="A711" s="486" t="s">
        <v>515</v>
      </c>
      <c r="B711" s="454">
        <v>906</v>
      </c>
      <c r="C711" s="414" t="s">
        <v>187</v>
      </c>
      <c r="D711" s="414" t="s">
        <v>158</v>
      </c>
      <c r="E711" s="414" t="s">
        <v>773</v>
      </c>
      <c r="F711" s="414"/>
      <c r="G711" s="30">
        <f>G712+G715</f>
        <v>2967</v>
      </c>
      <c r="H711" s="30">
        <f>H712+H715</f>
        <v>2967</v>
      </c>
      <c r="I711" s="334"/>
      <c r="J711" s="321"/>
    </row>
    <row r="712" spans="1:10" ht="36.75" hidden="1" customHeight="1" x14ac:dyDescent="0.25">
      <c r="A712" s="399" t="s">
        <v>369</v>
      </c>
      <c r="B712" s="455">
        <v>906</v>
      </c>
      <c r="C712" s="402" t="s">
        <v>187</v>
      </c>
      <c r="D712" s="402" t="s">
        <v>158</v>
      </c>
      <c r="E712" s="402" t="s">
        <v>786</v>
      </c>
      <c r="F712" s="402"/>
      <c r="G712" s="318">
        <f>G713</f>
        <v>0</v>
      </c>
      <c r="H712" s="318">
        <f>H713</f>
        <v>0</v>
      </c>
      <c r="I712" s="334"/>
      <c r="J712" s="321"/>
    </row>
    <row r="713" spans="1:10" ht="44.45" hidden="1" customHeight="1" x14ac:dyDescent="0.25">
      <c r="A713" s="399" t="s">
        <v>191</v>
      </c>
      <c r="B713" s="455">
        <v>906</v>
      </c>
      <c r="C713" s="402" t="s">
        <v>187</v>
      </c>
      <c r="D713" s="402" t="s">
        <v>158</v>
      </c>
      <c r="E713" s="402" t="s">
        <v>786</v>
      </c>
      <c r="F713" s="402" t="s">
        <v>192</v>
      </c>
      <c r="G713" s="318">
        <f>G714</f>
        <v>0</v>
      </c>
      <c r="H713" s="318">
        <f>H714</f>
        <v>0</v>
      </c>
      <c r="I713" s="334"/>
      <c r="J713" s="321"/>
    </row>
    <row r="714" spans="1:10" ht="18.75" hidden="1" customHeight="1" x14ac:dyDescent="0.25">
      <c r="A714" s="399" t="s">
        <v>193</v>
      </c>
      <c r="B714" s="455">
        <v>906</v>
      </c>
      <c r="C714" s="402" t="s">
        <v>187</v>
      </c>
      <c r="D714" s="402" t="s">
        <v>158</v>
      </c>
      <c r="E714" s="402" t="s">
        <v>786</v>
      </c>
      <c r="F714" s="402" t="s">
        <v>194</v>
      </c>
      <c r="G714" s="318"/>
      <c r="H714" s="318"/>
      <c r="I714" s="334"/>
      <c r="J714" s="321"/>
    </row>
    <row r="715" spans="1:10" ht="38.25" customHeight="1" x14ac:dyDescent="0.25">
      <c r="A715" s="487" t="s">
        <v>344</v>
      </c>
      <c r="B715" s="455">
        <v>906</v>
      </c>
      <c r="C715" s="402" t="s">
        <v>187</v>
      </c>
      <c r="D715" s="402" t="s">
        <v>158</v>
      </c>
      <c r="E715" s="402" t="s">
        <v>774</v>
      </c>
      <c r="F715" s="402"/>
      <c r="G715" s="318">
        <f>G716</f>
        <v>2967</v>
      </c>
      <c r="H715" s="318">
        <f>H716</f>
        <v>2967</v>
      </c>
      <c r="I715" s="334"/>
      <c r="J715" s="321"/>
    </row>
    <row r="716" spans="1:10" ht="39.200000000000003" customHeight="1" x14ac:dyDescent="0.25">
      <c r="A716" s="459" t="s">
        <v>191</v>
      </c>
      <c r="B716" s="455">
        <v>906</v>
      </c>
      <c r="C716" s="402" t="s">
        <v>187</v>
      </c>
      <c r="D716" s="402" t="s">
        <v>158</v>
      </c>
      <c r="E716" s="402" t="s">
        <v>774</v>
      </c>
      <c r="F716" s="402" t="s">
        <v>192</v>
      </c>
      <c r="G716" s="318">
        <f>G717</f>
        <v>2967</v>
      </c>
      <c r="H716" s="318">
        <f>H717</f>
        <v>2967</v>
      </c>
      <c r="I716" s="334"/>
      <c r="J716" s="321"/>
    </row>
    <row r="717" spans="1:10" ht="18.75" customHeight="1" x14ac:dyDescent="0.25">
      <c r="A717" s="488" t="s">
        <v>193</v>
      </c>
      <c r="B717" s="455">
        <v>906</v>
      </c>
      <c r="C717" s="402" t="s">
        <v>187</v>
      </c>
      <c r="D717" s="402" t="s">
        <v>158</v>
      </c>
      <c r="E717" s="402" t="s">
        <v>774</v>
      </c>
      <c r="F717" s="402" t="s">
        <v>194</v>
      </c>
      <c r="G717" s="318">
        <v>2967</v>
      </c>
      <c r="H717" s="318">
        <v>2967</v>
      </c>
      <c r="I717" s="334"/>
      <c r="J717" s="321"/>
    </row>
    <row r="718" spans="1:10" ht="33" customHeight="1" x14ac:dyDescent="0.25">
      <c r="A718" s="417" t="s">
        <v>1107</v>
      </c>
      <c r="B718" s="492">
        <v>906</v>
      </c>
      <c r="C718" s="414" t="s">
        <v>187</v>
      </c>
      <c r="D718" s="414" t="s">
        <v>158</v>
      </c>
      <c r="E718" s="414" t="s">
        <v>776</v>
      </c>
      <c r="F718" s="414"/>
      <c r="G718" s="314">
        <f t="shared" ref="G718:H720" si="54">G719</f>
        <v>5421.41</v>
      </c>
      <c r="H718" s="314">
        <f t="shared" si="54"/>
        <v>5486.8099999999995</v>
      </c>
      <c r="I718" s="334"/>
      <c r="J718" s="321"/>
    </row>
    <row r="719" spans="1:10" ht="31.5" x14ac:dyDescent="0.25">
      <c r="A719" s="399" t="s">
        <v>1108</v>
      </c>
      <c r="B719" s="493">
        <v>906</v>
      </c>
      <c r="C719" s="402" t="s">
        <v>187</v>
      </c>
      <c r="D719" s="402" t="s">
        <v>158</v>
      </c>
      <c r="E719" s="402" t="s">
        <v>1109</v>
      </c>
      <c r="F719" s="402"/>
      <c r="G719" s="318">
        <f t="shared" si="54"/>
        <v>5421.41</v>
      </c>
      <c r="H719" s="318">
        <f t="shared" si="54"/>
        <v>5486.8099999999995</v>
      </c>
      <c r="I719" s="334"/>
      <c r="J719" s="321"/>
    </row>
    <row r="720" spans="1:10" ht="31.5" x14ac:dyDescent="0.25">
      <c r="A720" s="399" t="s">
        <v>191</v>
      </c>
      <c r="B720" s="493">
        <v>906</v>
      </c>
      <c r="C720" s="402" t="s">
        <v>187</v>
      </c>
      <c r="D720" s="402" t="s">
        <v>158</v>
      </c>
      <c r="E720" s="402" t="s">
        <v>1109</v>
      </c>
      <c r="F720" s="402" t="s">
        <v>192</v>
      </c>
      <c r="G720" s="318">
        <f t="shared" si="54"/>
        <v>5421.41</v>
      </c>
      <c r="H720" s="318">
        <f t="shared" si="54"/>
        <v>5486.8099999999995</v>
      </c>
      <c r="I720" s="334"/>
      <c r="J720" s="321"/>
    </row>
    <row r="721" spans="1:10" ht="15.75" x14ac:dyDescent="0.25">
      <c r="A721" s="399" t="s">
        <v>193</v>
      </c>
      <c r="B721" s="493">
        <v>906</v>
      </c>
      <c r="C721" s="402" t="s">
        <v>187</v>
      </c>
      <c r="D721" s="402" t="s">
        <v>158</v>
      </c>
      <c r="E721" s="402" t="s">
        <v>1109</v>
      </c>
      <c r="F721" s="402" t="s">
        <v>194</v>
      </c>
      <c r="G721" s="20">
        <f>3235.41+158.95-297.85+2373.8-48.9</f>
        <v>5421.41</v>
      </c>
      <c r="H721" s="20">
        <f>3235.41+158.95-297.85+2446.1-55.8</f>
        <v>5486.8099999999995</v>
      </c>
      <c r="I721" s="334" t="s">
        <v>1304</v>
      </c>
      <c r="J721" s="321"/>
    </row>
    <row r="722" spans="1:10" ht="34.5" hidden="1" customHeight="1" x14ac:dyDescent="0.25">
      <c r="A722" s="417" t="s">
        <v>1110</v>
      </c>
      <c r="B722" s="492">
        <v>906</v>
      </c>
      <c r="C722" s="414" t="s">
        <v>187</v>
      </c>
      <c r="D722" s="414" t="s">
        <v>158</v>
      </c>
      <c r="E722" s="414" t="s">
        <v>784</v>
      </c>
      <c r="F722" s="414"/>
      <c r="G722" s="30">
        <f t="shared" ref="G722:H724" si="55">G723</f>
        <v>0</v>
      </c>
      <c r="H722" s="30">
        <f t="shared" si="55"/>
        <v>0</v>
      </c>
      <c r="I722" s="334"/>
      <c r="J722" s="321"/>
    </row>
    <row r="723" spans="1:10" ht="15.75" hidden="1" x14ac:dyDescent="0.25">
      <c r="A723" s="399"/>
      <c r="B723" s="493">
        <v>906</v>
      </c>
      <c r="C723" s="402" t="s">
        <v>187</v>
      </c>
      <c r="D723" s="402" t="s">
        <v>158</v>
      </c>
      <c r="E723" s="402"/>
      <c r="F723" s="402"/>
      <c r="G723" s="318">
        <f t="shared" si="55"/>
        <v>0</v>
      </c>
      <c r="H723" s="318">
        <f t="shared" si="55"/>
        <v>0</v>
      </c>
      <c r="I723" s="334"/>
      <c r="J723" s="321"/>
    </row>
    <row r="724" spans="1:10" ht="31.5" hidden="1" x14ac:dyDescent="0.25">
      <c r="A724" s="399" t="s">
        <v>191</v>
      </c>
      <c r="B724" s="493">
        <v>906</v>
      </c>
      <c r="C724" s="402" t="s">
        <v>187</v>
      </c>
      <c r="D724" s="402" t="s">
        <v>158</v>
      </c>
      <c r="E724" s="402"/>
      <c r="F724" s="402" t="s">
        <v>192</v>
      </c>
      <c r="G724" s="318">
        <f t="shared" si="55"/>
        <v>0</v>
      </c>
      <c r="H724" s="318">
        <f t="shared" si="55"/>
        <v>0</v>
      </c>
      <c r="I724" s="334"/>
      <c r="J724" s="321"/>
    </row>
    <row r="725" spans="1:10" ht="15.75" hidden="1" x14ac:dyDescent="0.25">
      <c r="A725" s="399" t="s">
        <v>193</v>
      </c>
      <c r="B725" s="493">
        <v>906</v>
      </c>
      <c r="C725" s="402" t="s">
        <v>187</v>
      </c>
      <c r="D725" s="402" t="s">
        <v>158</v>
      </c>
      <c r="E725" s="402"/>
      <c r="F725" s="402" t="s">
        <v>194</v>
      </c>
      <c r="G725" s="318"/>
      <c r="H725" s="318"/>
      <c r="I725" s="334"/>
      <c r="J725" s="321"/>
    </row>
    <row r="726" spans="1:10" ht="15.75" hidden="1" x14ac:dyDescent="0.25">
      <c r="A726" s="478" t="s">
        <v>1111</v>
      </c>
      <c r="B726" s="454">
        <v>906</v>
      </c>
      <c r="C726" s="414" t="s">
        <v>187</v>
      </c>
      <c r="D726" s="414" t="s">
        <v>158</v>
      </c>
      <c r="E726" s="414" t="s">
        <v>787</v>
      </c>
      <c r="F726" s="414"/>
      <c r="G726" s="314">
        <f t="shared" ref="G726:H728" si="56">G727</f>
        <v>0</v>
      </c>
      <c r="H726" s="314">
        <f t="shared" si="56"/>
        <v>0</v>
      </c>
      <c r="I726" s="334"/>
      <c r="J726" s="321"/>
    </row>
    <row r="727" spans="1:10" ht="15.75" hidden="1" x14ac:dyDescent="0.25">
      <c r="A727" s="488"/>
      <c r="B727" s="455">
        <v>906</v>
      </c>
      <c r="C727" s="402" t="s">
        <v>187</v>
      </c>
      <c r="D727" s="402" t="s">
        <v>158</v>
      </c>
      <c r="E727" s="402"/>
      <c r="F727" s="402"/>
      <c r="G727" s="318">
        <f t="shared" si="56"/>
        <v>0</v>
      </c>
      <c r="H727" s="318">
        <f t="shared" si="56"/>
        <v>0</v>
      </c>
      <c r="I727" s="334"/>
      <c r="J727" s="321"/>
    </row>
    <row r="728" spans="1:10" ht="31.5" hidden="1" x14ac:dyDescent="0.25">
      <c r="A728" s="401" t="s">
        <v>191</v>
      </c>
      <c r="B728" s="455">
        <v>906</v>
      </c>
      <c r="C728" s="402" t="s">
        <v>187</v>
      </c>
      <c r="D728" s="402" t="s">
        <v>158</v>
      </c>
      <c r="E728" s="402"/>
      <c r="F728" s="402" t="s">
        <v>192</v>
      </c>
      <c r="G728" s="318">
        <f t="shared" si="56"/>
        <v>0</v>
      </c>
      <c r="H728" s="318">
        <f t="shared" si="56"/>
        <v>0</v>
      </c>
      <c r="I728" s="334"/>
      <c r="J728" s="321"/>
    </row>
    <row r="729" spans="1:10" ht="15.75" hidden="1" x14ac:dyDescent="0.25">
      <c r="A729" s="401" t="s">
        <v>193</v>
      </c>
      <c r="B729" s="455">
        <v>906</v>
      </c>
      <c r="C729" s="402" t="s">
        <v>187</v>
      </c>
      <c r="D729" s="402" t="s">
        <v>158</v>
      </c>
      <c r="E729" s="402"/>
      <c r="F729" s="402" t="s">
        <v>194</v>
      </c>
      <c r="G729" s="318"/>
      <c r="H729" s="318"/>
      <c r="I729" s="334"/>
      <c r="J729" s="321"/>
    </row>
    <row r="730" spans="1:10" ht="31.5" x14ac:dyDescent="0.25">
      <c r="A730" s="490" t="s">
        <v>899</v>
      </c>
      <c r="B730" s="454">
        <v>906</v>
      </c>
      <c r="C730" s="414" t="s">
        <v>187</v>
      </c>
      <c r="D730" s="414" t="s">
        <v>158</v>
      </c>
      <c r="E730" s="414" t="s">
        <v>898</v>
      </c>
      <c r="F730" s="414"/>
      <c r="G730" s="314">
        <f t="shared" ref="G730:H732" si="57">G731</f>
        <v>5302.8</v>
      </c>
      <c r="H730" s="314">
        <f t="shared" si="57"/>
        <v>5463.1</v>
      </c>
      <c r="I730" s="334"/>
      <c r="J730" s="321"/>
    </row>
    <row r="731" spans="1:10" ht="51" customHeight="1" x14ac:dyDescent="0.25">
      <c r="A731" s="491" t="s">
        <v>885</v>
      </c>
      <c r="B731" s="455">
        <v>906</v>
      </c>
      <c r="C731" s="402" t="s">
        <v>187</v>
      </c>
      <c r="D731" s="402" t="s">
        <v>158</v>
      </c>
      <c r="E731" s="402" t="s">
        <v>936</v>
      </c>
      <c r="F731" s="402"/>
      <c r="G731" s="318">
        <f t="shared" si="57"/>
        <v>5302.8</v>
      </c>
      <c r="H731" s="318">
        <f t="shared" si="57"/>
        <v>5463.1</v>
      </c>
      <c r="I731" s="334"/>
      <c r="J731" s="321"/>
    </row>
    <row r="732" spans="1:10" ht="31.5" x14ac:dyDescent="0.25">
      <c r="A732" s="401" t="s">
        <v>191</v>
      </c>
      <c r="B732" s="455">
        <v>906</v>
      </c>
      <c r="C732" s="402" t="s">
        <v>187</v>
      </c>
      <c r="D732" s="402" t="s">
        <v>158</v>
      </c>
      <c r="E732" s="402" t="s">
        <v>936</v>
      </c>
      <c r="F732" s="402" t="s">
        <v>192</v>
      </c>
      <c r="G732" s="318">
        <f t="shared" si="57"/>
        <v>5302.8</v>
      </c>
      <c r="H732" s="318">
        <f t="shared" si="57"/>
        <v>5463.1</v>
      </c>
      <c r="I732" s="334"/>
      <c r="J732" s="321"/>
    </row>
    <row r="733" spans="1:10" ht="15.75" x14ac:dyDescent="0.25">
      <c r="A733" s="401" t="s">
        <v>193</v>
      </c>
      <c r="B733" s="455">
        <v>906</v>
      </c>
      <c r="C733" s="402" t="s">
        <v>187</v>
      </c>
      <c r="D733" s="402" t="s">
        <v>158</v>
      </c>
      <c r="E733" s="402" t="s">
        <v>936</v>
      </c>
      <c r="F733" s="402" t="s">
        <v>194</v>
      </c>
      <c r="G733" s="318">
        <f>4931.6+493.7-122.5</f>
        <v>5302.8</v>
      </c>
      <c r="H733" s="318">
        <f>5080.6+508.6-126.1</f>
        <v>5463.1</v>
      </c>
      <c r="I733" s="334" t="s">
        <v>1215</v>
      </c>
      <c r="J733" s="321"/>
    </row>
    <row r="734" spans="1:10" ht="31.5" hidden="1" x14ac:dyDescent="0.25">
      <c r="A734" s="490" t="s">
        <v>916</v>
      </c>
      <c r="B734" s="454">
        <v>906</v>
      </c>
      <c r="C734" s="414" t="s">
        <v>187</v>
      </c>
      <c r="D734" s="414" t="s">
        <v>158</v>
      </c>
      <c r="E734" s="414" t="s">
        <v>904</v>
      </c>
      <c r="F734" s="414"/>
      <c r="G734" s="314">
        <f t="shared" ref="G734:H736" si="58">G735</f>
        <v>0</v>
      </c>
      <c r="H734" s="314">
        <f t="shared" si="58"/>
        <v>0</v>
      </c>
      <c r="I734" s="334"/>
      <c r="J734" s="321"/>
    </row>
    <row r="735" spans="1:10" ht="15.75" hidden="1" x14ac:dyDescent="0.25">
      <c r="A735" s="491" t="s">
        <v>905</v>
      </c>
      <c r="B735" s="455">
        <v>906</v>
      </c>
      <c r="C735" s="402" t="s">
        <v>187</v>
      </c>
      <c r="D735" s="402" t="s">
        <v>158</v>
      </c>
      <c r="E735" s="402" t="s">
        <v>907</v>
      </c>
      <c r="F735" s="402"/>
      <c r="G735" s="318">
        <f t="shared" si="58"/>
        <v>0</v>
      </c>
      <c r="H735" s="318">
        <f t="shared" si="58"/>
        <v>0</v>
      </c>
      <c r="I735" s="334"/>
      <c r="J735" s="321"/>
    </row>
    <row r="736" spans="1:10" ht="31.5" hidden="1" x14ac:dyDescent="0.25">
      <c r="A736" s="401" t="s">
        <v>191</v>
      </c>
      <c r="B736" s="455">
        <v>906</v>
      </c>
      <c r="C736" s="402" t="s">
        <v>187</v>
      </c>
      <c r="D736" s="402" t="s">
        <v>158</v>
      </c>
      <c r="E736" s="402" t="s">
        <v>907</v>
      </c>
      <c r="F736" s="402" t="s">
        <v>192</v>
      </c>
      <c r="G736" s="318">
        <f t="shared" si="58"/>
        <v>0</v>
      </c>
      <c r="H736" s="318">
        <f t="shared" si="58"/>
        <v>0</v>
      </c>
      <c r="I736" s="334"/>
      <c r="J736" s="321"/>
    </row>
    <row r="737" spans="1:13" ht="15.75" hidden="1" x14ac:dyDescent="0.25">
      <c r="A737" s="401" t="s">
        <v>193</v>
      </c>
      <c r="B737" s="455">
        <v>906</v>
      </c>
      <c r="C737" s="402" t="s">
        <v>187</v>
      </c>
      <c r="D737" s="402" t="s">
        <v>158</v>
      </c>
      <c r="E737" s="402" t="s">
        <v>907</v>
      </c>
      <c r="F737" s="402" t="s">
        <v>194</v>
      </c>
      <c r="G737" s="318"/>
      <c r="H737" s="318"/>
      <c r="I737" s="334"/>
      <c r="J737" s="321"/>
    </row>
    <row r="738" spans="1:13" ht="31.5" hidden="1" x14ac:dyDescent="0.25">
      <c r="A738" s="490" t="s">
        <v>1013</v>
      </c>
      <c r="B738" s="454">
        <v>906</v>
      </c>
      <c r="C738" s="414" t="s">
        <v>187</v>
      </c>
      <c r="D738" s="414" t="s">
        <v>158</v>
      </c>
      <c r="E738" s="414" t="s">
        <v>1014</v>
      </c>
      <c r="F738" s="414"/>
      <c r="G738" s="314">
        <f t="shared" ref="G738:H740" si="59">G739</f>
        <v>0</v>
      </c>
      <c r="H738" s="314">
        <f t="shared" si="59"/>
        <v>0</v>
      </c>
      <c r="I738" s="334"/>
      <c r="J738" s="321"/>
    </row>
    <row r="739" spans="1:13" s="134" customFormat="1" ht="31.5" hidden="1" x14ac:dyDescent="0.25">
      <c r="A739" s="491" t="s">
        <v>243</v>
      </c>
      <c r="B739" s="455">
        <v>906</v>
      </c>
      <c r="C739" s="402" t="s">
        <v>187</v>
      </c>
      <c r="D739" s="402" t="s">
        <v>158</v>
      </c>
      <c r="E739" s="402" t="s">
        <v>1015</v>
      </c>
      <c r="F739" s="402"/>
      <c r="G739" s="318">
        <f t="shared" si="59"/>
        <v>0</v>
      </c>
      <c r="H739" s="318">
        <f t="shared" si="59"/>
        <v>0</v>
      </c>
      <c r="I739" s="337"/>
      <c r="J739" s="78"/>
    </row>
    <row r="740" spans="1:13" ht="31.5" hidden="1" x14ac:dyDescent="0.25">
      <c r="A740" s="401" t="s">
        <v>191</v>
      </c>
      <c r="B740" s="455">
        <v>906</v>
      </c>
      <c r="C740" s="402" t="s">
        <v>187</v>
      </c>
      <c r="D740" s="402" t="s">
        <v>158</v>
      </c>
      <c r="E740" s="402" t="s">
        <v>1015</v>
      </c>
      <c r="F740" s="402" t="s">
        <v>192</v>
      </c>
      <c r="G740" s="318">
        <f t="shared" si="59"/>
        <v>0</v>
      </c>
      <c r="H740" s="318">
        <f t="shared" si="59"/>
        <v>0</v>
      </c>
      <c r="I740" s="334"/>
      <c r="J740" s="321"/>
    </row>
    <row r="741" spans="1:13" ht="15.75" hidden="1" x14ac:dyDescent="0.25">
      <c r="A741" s="401" t="s">
        <v>193</v>
      </c>
      <c r="B741" s="455">
        <v>906</v>
      </c>
      <c r="C741" s="402" t="s">
        <v>187</v>
      </c>
      <c r="D741" s="402" t="s">
        <v>158</v>
      </c>
      <c r="E741" s="402" t="s">
        <v>1015</v>
      </c>
      <c r="F741" s="402" t="s">
        <v>194</v>
      </c>
      <c r="G741" s="318"/>
      <c r="H741" s="318"/>
      <c r="I741" s="339"/>
      <c r="J741" s="321"/>
    </row>
    <row r="742" spans="1:13" ht="34.5" hidden="1" customHeight="1" x14ac:dyDescent="0.25">
      <c r="A742" s="490" t="s">
        <v>1024</v>
      </c>
      <c r="B742" s="454">
        <v>906</v>
      </c>
      <c r="C742" s="414" t="s">
        <v>187</v>
      </c>
      <c r="D742" s="414" t="s">
        <v>158</v>
      </c>
      <c r="E742" s="414" t="s">
        <v>1026</v>
      </c>
      <c r="F742" s="414"/>
      <c r="G742" s="314">
        <f t="shared" ref="G742:H744" si="60">G743</f>
        <v>0</v>
      </c>
      <c r="H742" s="314">
        <f t="shared" si="60"/>
        <v>0</v>
      </c>
      <c r="I742" s="340"/>
      <c r="J742" s="321"/>
    </row>
    <row r="743" spans="1:13" ht="31.5" hidden="1" x14ac:dyDescent="0.25">
      <c r="A743" s="491" t="s">
        <v>1025</v>
      </c>
      <c r="B743" s="455">
        <v>906</v>
      </c>
      <c r="C743" s="402" t="s">
        <v>187</v>
      </c>
      <c r="D743" s="402" t="s">
        <v>158</v>
      </c>
      <c r="E743" s="402" t="s">
        <v>1027</v>
      </c>
      <c r="F743" s="402"/>
      <c r="G743" s="318">
        <f t="shared" si="60"/>
        <v>0</v>
      </c>
      <c r="H743" s="318">
        <f t="shared" si="60"/>
        <v>0</v>
      </c>
      <c r="I743" s="334"/>
      <c r="J743" s="321"/>
    </row>
    <row r="744" spans="1:13" ht="31.5" hidden="1" x14ac:dyDescent="0.25">
      <c r="A744" s="401" t="s">
        <v>191</v>
      </c>
      <c r="B744" s="455">
        <v>906</v>
      </c>
      <c r="C744" s="402" t="s">
        <v>187</v>
      </c>
      <c r="D744" s="402" t="s">
        <v>158</v>
      </c>
      <c r="E744" s="402" t="s">
        <v>1027</v>
      </c>
      <c r="F744" s="402" t="s">
        <v>192</v>
      </c>
      <c r="G744" s="318">
        <f t="shared" si="60"/>
        <v>0</v>
      </c>
      <c r="H744" s="318">
        <f t="shared" si="60"/>
        <v>0</v>
      </c>
      <c r="I744" s="341"/>
      <c r="J744" s="321"/>
    </row>
    <row r="745" spans="1:13" ht="15.75" hidden="1" x14ac:dyDescent="0.25">
      <c r="A745" s="401" t="s">
        <v>193</v>
      </c>
      <c r="B745" s="455">
        <v>906</v>
      </c>
      <c r="C745" s="402" t="s">
        <v>187</v>
      </c>
      <c r="D745" s="402" t="s">
        <v>158</v>
      </c>
      <c r="E745" s="402" t="s">
        <v>1027</v>
      </c>
      <c r="F745" s="402" t="s">
        <v>194</v>
      </c>
      <c r="G745" s="318"/>
      <c r="H745" s="318"/>
      <c r="I745" s="334"/>
      <c r="J745" s="330"/>
      <c r="K745" s="330"/>
      <c r="L745" s="324"/>
      <c r="M745" s="325"/>
    </row>
    <row r="746" spans="1:13" ht="36" hidden="1" customHeight="1" x14ac:dyDescent="0.25">
      <c r="A746" s="478" t="s">
        <v>722</v>
      </c>
      <c r="B746" s="454">
        <v>906</v>
      </c>
      <c r="C746" s="414" t="s">
        <v>187</v>
      </c>
      <c r="D746" s="414" t="s">
        <v>158</v>
      </c>
      <c r="E746" s="414" t="s">
        <v>828</v>
      </c>
      <c r="F746" s="414"/>
      <c r="G746" s="314">
        <f t="shared" ref="G746:H748" si="61">G747</f>
        <v>0</v>
      </c>
      <c r="H746" s="314">
        <f t="shared" si="61"/>
        <v>0</v>
      </c>
      <c r="I746" s="341"/>
      <c r="J746" s="307"/>
      <c r="K746" s="307"/>
      <c r="L746" s="307"/>
      <c r="M746" s="308"/>
    </row>
    <row r="747" spans="1:13" ht="63" hidden="1" x14ac:dyDescent="0.25">
      <c r="A747" s="488" t="s">
        <v>971</v>
      </c>
      <c r="B747" s="455">
        <v>906</v>
      </c>
      <c r="C747" s="402" t="s">
        <v>187</v>
      </c>
      <c r="D747" s="402" t="s">
        <v>158</v>
      </c>
      <c r="E747" s="402" t="s">
        <v>829</v>
      </c>
      <c r="F747" s="402"/>
      <c r="G747" s="318">
        <f t="shared" si="61"/>
        <v>0</v>
      </c>
      <c r="H747" s="318">
        <f t="shared" si="61"/>
        <v>0</v>
      </c>
      <c r="I747" s="334"/>
      <c r="J747" s="302"/>
    </row>
    <row r="748" spans="1:13" ht="31.5" hidden="1" x14ac:dyDescent="0.25">
      <c r="A748" s="401" t="s">
        <v>191</v>
      </c>
      <c r="B748" s="455">
        <v>906</v>
      </c>
      <c r="C748" s="402" t="s">
        <v>187</v>
      </c>
      <c r="D748" s="402" t="s">
        <v>158</v>
      </c>
      <c r="E748" s="402" t="s">
        <v>829</v>
      </c>
      <c r="F748" s="402" t="s">
        <v>192</v>
      </c>
      <c r="G748" s="318">
        <f t="shared" si="61"/>
        <v>0</v>
      </c>
      <c r="H748" s="318">
        <f t="shared" si="61"/>
        <v>0</v>
      </c>
      <c r="I748" s="334"/>
      <c r="J748" s="321"/>
    </row>
    <row r="749" spans="1:13" ht="15.75" hidden="1" x14ac:dyDescent="0.25">
      <c r="A749" s="401" t="s">
        <v>193</v>
      </c>
      <c r="B749" s="455">
        <v>906</v>
      </c>
      <c r="C749" s="402" t="s">
        <v>187</v>
      </c>
      <c r="D749" s="402" t="s">
        <v>158</v>
      </c>
      <c r="E749" s="402" t="s">
        <v>829</v>
      </c>
      <c r="F749" s="402" t="s">
        <v>194</v>
      </c>
      <c r="G749" s="318"/>
      <c r="H749" s="318"/>
      <c r="I749" s="334"/>
      <c r="J749" s="321"/>
    </row>
    <row r="750" spans="1:13" ht="31.5" hidden="1" x14ac:dyDescent="0.25">
      <c r="A750" s="413" t="s">
        <v>950</v>
      </c>
      <c r="B750" s="454">
        <v>906</v>
      </c>
      <c r="C750" s="414" t="s">
        <v>187</v>
      </c>
      <c r="D750" s="414" t="s">
        <v>158</v>
      </c>
      <c r="E750" s="414" t="s">
        <v>951</v>
      </c>
      <c r="F750" s="402"/>
      <c r="G750" s="314">
        <f t="shared" ref="G750:H752" si="62">G751</f>
        <v>0</v>
      </c>
      <c r="H750" s="314">
        <f t="shared" si="62"/>
        <v>0</v>
      </c>
      <c r="I750" s="334"/>
      <c r="J750" s="321"/>
    </row>
    <row r="751" spans="1:13" ht="56.25" hidden="1" customHeight="1" x14ac:dyDescent="0.25">
      <c r="A751" s="401" t="s">
        <v>972</v>
      </c>
      <c r="B751" s="455">
        <v>906</v>
      </c>
      <c r="C751" s="402" t="s">
        <v>187</v>
      </c>
      <c r="D751" s="402" t="s">
        <v>158</v>
      </c>
      <c r="E751" s="402" t="s">
        <v>952</v>
      </c>
      <c r="F751" s="402"/>
      <c r="G751" s="318">
        <f t="shared" si="62"/>
        <v>0</v>
      </c>
      <c r="H751" s="318">
        <f t="shared" si="62"/>
        <v>0</v>
      </c>
      <c r="I751" s="334"/>
      <c r="J751" s="321"/>
      <c r="L751" s="264"/>
    </row>
    <row r="752" spans="1:13" ht="31.5" hidden="1" x14ac:dyDescent="0.25">
      <c r="A752" s="401" t="s">
        <v>191</v>
      </c>
      <c r="B752" s="455">
        <v>906</v>
      </c>
      <c r="C752" s="402" t="s">
        <v>187</v>
      </c>
      <c r="D752" s="402" t="s">
        <v>158</v>
      </c>
      <c r="E752" s="402" t="s">
        <v>952</v>
      </c>
      <c r="F752" s="402" t="s">
        <v>192</v>
      </c>
      <c r="G752" s="318">
        <f t="shared" si="62"/>
        <v>0</v>
      </c>
      <c r="H752" s="318">
        <f t="shared" si="62"/>
        <v>0</v>
      </c>
      <c r="I752" s="334"/>
      <c r="J752" s="321"/>
    </row>
    <row r="753" spans="1:11" ht="15.75" hidden="1" x14ac:dyDescent="0.25">
      <c r="A753" s="401" t="s">
        <v>193</v>
      </c>
      <c r="B753" s="455">
        <v>906</v>
      </c>
      <c r="C753" s="402" t="s">
        <v>187</v>
      </c>
      <c r="D753" s="402" t="s">
        <v>158</v>
      </c>
      <c r="E753" s="402" t="s">
        <v>952</v>
      </c>
      <c r="F753" s="402" t="s">
        <v>194</v>
      </c>
      <c r="G753" s="318"/>
      <c r="H753" s="318"/>
      <c r="I753" s="337"/>
      <c r="J753" s="78"/>
      <c r="K753" s="134"/>
    </row>
    <row r="754" spans="1:11" ht="31.5" x14ac:dyDescent="0.25">
      <c r="A754" s="413" t="s">
        <v>957</v>
      </c>
      <c r="B754" s="454">
        <v>906</v>
      </c>
      <c r="C754" s="414" t="s">
        <v>187</v>
      </c>
      <c r="D754" s="414" t="s">
        <v>158</v>
      </c>
      <c r="E754" s="414" t="s">
        <v>955</v>
      </c>
      <c r="F754" s="414"/>
      <c r="G754" s="318">
        <f t="shared" ref="G754:H756" si="63">G755</f>
        <v>2414</v>
      </c>
      <c r="H754" s="318">
        <f t="shared" si="63"/>
        <v>0</v>
      </c>
      <c r="I754" s="337"/>
      <c r="J754" s="78"/>
      <c r="K754" s="134"/>
    </row>
    <row r="755" spans="1:11" ht="47.25" x14ac:dyDescent="0.25">
      <c r="A755" s="401" t="s">
        <v>1346</v>
      </c>
      <c r="B755" s="455">
        <v>906</v>
      </c>
      <c r="C755" s="402" t="s">
        <v>187</v>
      </c>
      <c r="D755" s="402" t="s">
        <v>158</v>
      </c>
      <c r="E755" s="402" t="s">
        <v>956</v>
      </c>
      <c r="F755" s="402"/>
      <c r="G755" s="318">
        <f t="shared" si="63"/>
        <v>2414</v>
      </c>
      <c r="H755" s="318">
        <f t="shared" si="63"/>
        <v>0</v>
      </c>
      <c r="I755" s="337"/>
      <c r="J755" s="78"/>
      <c r="K755" s="134"/>
    </row>
    <row r="756" spans="1:11" ht="31.5" x14ac:dyDescent="0.25">
      <c r="A756" s="401" t="s">
        <v>191</v>
      </c>
      <c r="B756" s="455">
        <v>906</v>
      </c>
      <c r="C756" s="402" t="s">
        <v>187</v>
      </c>
      <c r="D756" s="402" t="s">
        <v>158</v>
      </c>
      <c r="E756" s="402" t="s">
        <v>956</v>
      </c>
      <c r="F756" s="402" t="s">
        <v>192</v>
      </c>
      <c r="G756" s="318">
        <f t="shared" si="63"/>
        <v>2414</v>
      </c>
      <c r="H756" s="318">
        <f t="shared" si="63"/>
        <v>0</v>
      </c>
      <c r="I756" s="337"/>
      <c r="J756" s="78"/>
      <c r="K756" s="134"/>
    </row>
    <row r="757" spans="1:11" ht="15.75" x14ac:dyDescent="0.25">
      <c r="A757" s="401" t="s">
        <v>193</v>
      </c>
      <c r="B757" s="455">
        <v>906</v>
      </c>
      <c r="C757" s="402" t="s">
        <v>187</v>
      </c>
      <c r="D757" s="402" t="s">
        <v>158</v>
      </c>
      <c r="E757" s="402" t="s">
        <v>956</v>
      </c>
      <c r="F757" s="402" t="s">
        <v>194</v>
      </c>
      <c r="G757" s="318">
        <f>2245.1-0.1+169</f>
        <v>2414</v>
      </c>
      <c r="H757" s="318">
        <v>0</v>
      </c>
      <c r="I757" s="337" t="s">
        <v>1212</v>
      </c>
      <c r="J757" s="78"/>
      <c r="K757" s="134"/>
    </row>
    <row r="758" spans="1:11" ht="47.25" x14ac:dyDescent="0.25">
      <c r="A758" s="413" t="s">
        <v>859</v>
      </c>
      <c r="B758" s="454">
        <v>906</v>
      </c>
      <c r="C758" s="414" t="s">
        <v>187</v>
      </c>
      <c r="D758" s="414" t="s">
        <v>158</v>
      </c>
      <c r="E758" s="414" t="s">
        <v>206</v>
      </c>
      <c r="F758" s="414"/>
      <c r="G758" s="314">
        <f>G759</f>
        <v>60</v>
      </c>
      <c r="H758" s="314">
        <f>H759</f>
        <v>60</v>
      </c>
      <c r="I758" s="334"/>
      <c r="J758" s="321"/>
    </row>
    <row r="759" spans="1:11" ht="47.25" x14ac:dyDescent="0.25">
      <c r="A759" s="413" t="s">
        <v>587</v>
      </c>
      <c r="B759" s="454">
        <v>906</v>
      </c>
      <c r="C759" s="414" t="s">
        <v>187</v>
      </c>
      <c r="D759" s="414" t="s">
        <v>158</v>
      </c>
      <c r="E759" s="414" t="s">
        <v>504</v>
      </c>
      <c r="F759" s="414"/>
      <c r="G759" s="314">
        <f t="shared" ref="G759:H761" si="64">G760</f>
        <v>60</v>
      </c>
      <c r="H759" s="314">
        <f t="shared" si="64"/>
        <v>60</v>
      </c>
      <c r="I759" s="334"/>
      <c r="J759" s="321"/>
    </row>
    <row r="760" spans="1:11" ht="47.25" x14ac:dyDescent="0.25">
      <c r="A760" s="401" t="s">
        <v>635</v>
      </c>
      <c r="B760" s="455">
        <v>906</v>
      </c>
      <c r="C760" s="402" t="s">
        <v>187</v>
      </c>
      <c r="D760" s="402" t="s">
        <v>158</v>
      </c>
      <c r="E760" s="402" t="s">
        <v>505</v>
      </c>
      <c r="F760" s="402"/>
      <c r="G760" s="318">
        <f t="shared" si="64"/>
        <v>60</v>
      </c>
      <c r="H760" s="318">
        <f t="shared" si="64"/>
        <v>60</v>
      </c>
      <c r="I760" s="334"/>
      <c r="J760" s="321"/>
    </row>
    <row r="761" spans="1:11" ht="31.5" x14ac:dyDescent="0.25">
      <c r="A761" s="401" t="s">
        <v>191</v>
      </c>
      <c r="B761" s="455">
        <v>906</v>
      </c>
      <c r="C761" s="402" t="s">
        <v>187</v>
      </c>
      <c r="D761" s="402" t="s">
        <v>158</v>
      </c>
      <c r="E761" s="402" t="s">
        <v>505</v>
      </c>
      <c r="F761" s="402" t="s">
        <v>192</v>
      </c>
      <c r="G761" s="318">
        <f t="shared" si="64"/>
        <v>60</v>
      </c>
      <c r="H761" s="318">
        <f t="shared" si="64"/>
        <v>60</v>
      </c>
      <c r="I761" s="334"/>
      <c r="J761" s="321"/>
    </row>
    <row r="762" spans="1:11" ht="15.75" x14ac:dyDescent="0.25">
      <c r="A762" s="401" t="s">
        <v>193</v>
      </c>
      <c r="B762" s="455">
        <v>906</v>
      </c>
      <c r="C762" s="402" t="s">
        <v>187</v>
      </c>
      <c r="D762" s="402" t="s">
        <v>158</v>
      </c>
      <c r="E762" s="402" t="s">
        <v>505</v>
      </c>
      <c r="F762" s="402" t="s">
        <v>194</v>
      </c>
      <c r="G762" s="318">
        <v>60</v>
      </c>
      <c r="H762" s="318">
        <v>60</v>
      </c>
      <c r="I762" s="334"/>
      <c r="J762" s="321"/>
    </row>
    <row r="763" spans="1:11" ht="47.25" x14ac:dyDescent="0.25">
      <c r="A763" s="463" t="s">
        <v>844</v>
      </c>
      <c r="B763" s="454">
        <v>906</v>
      </c>
      <c r="C763" s="414" t="s">
        <v>187</v>
      </c>
      <c r="D763" s="414" t="s">
        <v>158</v>
      </c>
      <c r="E763" s="414" t="s">
        <v>339</v>
      </c>
      <c r="F763" s="464"/>
      <c r="G763" s="314">
        <f t="shared" ref="G763:H766" si="65">G764</f>
        <v>870.84</v>
      </c>
      <c r="H763" s="314">
        <f t="shared" si="65"/>
        <v>870.84</v>
      </c>
      <c r="I763" s="334"/>
      <c r="J763" s="321"/>
    </row>
    <row r="764" spans="1:11" ht="47.25" x14ac:dyDescent="0.25">
      <c r="A764" s="463" t="s">
        <v>463</v>
      </c>
      <c r="B764" s="454">
        <v>906</v>
      </c>
      <c r="C764" s="414" t="s">
        <v>187</v>
      </c>
      <c r="D764" s="414" t="s">
        <v>158</v>
      </c>
      <c r="E764" s="414" t="s">
        <v>461</v>
      </c>
      <c r="F764" s="464"/>
      <c r="G764" s="314">
        <f t="shared" si="65"/>
        <v>870.84</v>
      </c>
      <c r="H764" s="314">
        <f t="shared" si="65"/>
        <v>870.84</v>
      </c>
      <c r="I764" s="334"/>
      <c r="J764" s="321"/>
    </row>
    <row r="765" spans="1:11" ht="35.450000000000003" customHeight="1" x14ac:dyDescent="0.25">
      <c r="A765" s="466" t="s">
        <v>359</v>
      </c>
      <c r="B765" s="455">
        <v>906</v>
      </c>
      <c r="C765" s="402" t="s">
        <v>187</v>
      </c>
      <c r="D765" s="402" t="s">
        <v>158</v>
      </c>
      <c r="E765" s="402" t="s">
        <v>506</v>
      </c>
      <c r="F765" s="467"/>
      <c r="G765" s="318">
        <f t="shared" si="65"/>
        <v>870.84</v>
      </c>
      <c r="H765" s="318">
        <f t="shared" si="65"/>
        <v>870.84</v>
      </c>
      <c r="I765" s="334"/>
      <c r="J765" s="321"/>
    </row>
    <row r="766" spans="1:11" ht="39.75" customHeight="1" x14ac:dyDescent="0.25">
      <c r="A766" s="459" t="s">
        <v>191</v>
      </c>
      <c r="B766" s="455">
        <v>906</v>
      </c>
      <c r="C766" s="402" t="s">
        <v>187</v>
      </c>
      <c r="D766" s="402" t="s">
        <v>158</v>
      </c>
      <c r="E766" s="402" t="s">
        <v>506</v>
      </c>
      <c r="F766" s="467" t="s">
        <v>192</v>
      </c>
      <c r="G766" s="318">
        <f t="shared" si="65"/>
        <v>870.84</v>
      </c>
      <c r="H766" s="318">
        <f t="shared" si="65"/>
        <v>870.84</v>
      </c>
      <c r="I766" s="334"/>
      <c r="J766" s="321"/>
    </row>
    <row r="767" spans="1:11" ht="15.75" x14ac:dyDescent="0.25">
      <c r="A767" s="488" t="s">
        <v>193</v>
      </c>
      <c r="B767" s="455">
        <v>906</v>
      </c>
      <c r="C767" s="402" t="s">
        <v>187</v>
      </c>
      <c r="D767" s="402" t="s">
        <v>158</v>
      </c>
      <c r="E767" s="402" t="s">
        <v>506</v>
      </c>
      <c r="F767" s="467" t="s">
        <v>194</v>
      </c>
      <c r="G767" s="318">
        <v>870.84</v>
      </c>
      <c r="H767" s="318">
        <v>870.84</v>
      </c>
      <c r="I767" s="334"/>
      <c r="J767" s="321"/>
    </row>
    <row r="768" spans="1:11" ht="15.75" x14ac:dyDescent="0.25">
      <c r="A768" s="417" t="s">
        <v>188</v>
      </c>
      <c r="B768" s="454">
        <v>906</v>
      </c>
      <c r="C768" s="414" t="s">
        <v>187</v>
      </c>
      <c r="D768" s="414" t="s">
        <v>159</v>
      </c>
      <c r="E768" s="414"/>
      <c r="F768" s="414"/>
      <c r="G768" s="30">
        <f>G769+G796</f>
        <v>42236</v>
      </c>
      <c r="H768" s="30">
        <f>H769+H796</f>
        <v>42236</v>
      </c>
      <c r="I768" s="334"/>
      <c r="J768" s="321"/>
    </row>
    <row r="769" spans="1:10" ht="36.75" customHeight="1" x14ac:dyDescent="0.25">
      <c r="A769" s="417" t="s">
        <v>858</v>
      </c>
      <c r="B769" s="454">
        <v>906</v>
      </c>
      <c r="C769" s="414" t="s">
        <v>187</v>
      </c>
      <c r="D769" s="414" t="s">
        <v>159</v>
      </c>
      <c r="E769" s="414" t="s">
        <v>237</v>
      </c>
      <c r="F769" s="414"/>
      <c r="G769" s="30">
        <f>G770+G777+G788+G792</f>
        <v>41933.599999999999</v>
      </c>
      <c r="H769" s="30">
        <f>H770+H777+H788+H792</f>
        <v>41933.599999999999</v>
      </c>
      <c r="I769" s="334"/>
      <c r="J769" s="321"/>
    </row>
    <row r="770" spans="1:10" ht="36.75" customHeight="1" x14ac:dyDescent="0.25">
      <c r="A770" s="417" t="s">
        <v>507</v>
      </c>
      <c r="B770" s="454">
        <v>906</v>
      </c>
      <c r="C770" s="414" t="s">
        <v>187</v>
      </c>
      <c r="D770" s="414" t="s">
        <v>159</v>
      </c>
      <c r="E770" s="414" t="s">
        <v>766</v>
      </c>
      <c r="F770" s="414"/>
      <c r="G770" s="30">
        <f>G771+G774</f>
        <v>38490</v>
      </c>
      <c r="H770" s="30">
        <f>H771+H774</f>
        <v>38490</v>
      </c>
      <c r="I770" s="334"/>
      <c r="J770" s="321"/>
    </row>
    <row r="771" spans="1:10" ht="31.5" x14ac:dyDescent="0.25">
      <c r="A771" s="399" t="s">
        <v>190</v>
      </c>
      <c r="B771" s="455">
        <v>906</v>
      </c>
      <c r="C771" s="402" t="s">
        <v>187</v>
      </c>
      <c r="D771" s="402" t="s">
        <v>159</v>
      </c>
      <c r="E771" s="402" t="s">
        <v>788</v>
      </c>
      <c r="F771" s="402"/>
      <c r="G771" s="20">
        <f>G772</f>
        <v>38490</v>
      </c>
      <c r="H771" s="20">
        <f>H772</f>
        <v>38490</v>
      </c>
      <c r="I771" s="334"/>
      <c r="J771" s="321"/>
    </row>
    <row r="772" spans="1:10" ht="36.75" customHeight="1" x14ac:dyDescent="0.25">
      <c r="A772" s="399" t="s">
        <v>191</v>
      </c>
      <c r="B772" s="455">
        <v>906</v>
      </c>
      <c r="C772" s="402" t="s">
        <v>187</v>
      </c>
      <c r="D772" s="402" t="s">
        <v>159</v>
      </c>
      <c r="E772" s="402" t="s">
        <v>788</v>
      </c>
      <c r="F772" s="402" t="s">
        <v>192</v>
      </c>
      <c r="G772" s="20">
        <f>G773</f>
        <v>38490</v>
      </c>
      <c r="H772" s="20">
        <f>H773</f>
        <v>38490</v>
      </c>
      <c r="I772" s="334"/>
      <c r="J772" s="321"/>
    </row>
    <row r="773" spans="1:10" ht="15.75" x14ac:dyDescent="0.25">
      <c r="A773" s="399" t="s">
        <v>193</v>
      </c>
      <c r="B773" s="455">
        <v>906</v>
      </c>
      <c r="C773" s="402" t="s">
        <v>187</v>
      </c>
      <c r="D773" s="402" t="s">
        <v>159</v>
      </c>
      <c r="E773" s="402" t="s">
        <v>788</v>
      </c>
      <c r="F773" s="402" t="s">
        <v>194</v>
      </c>
      <c r="G773" s="20">
        <f>38990-500</f>
        <v>38490</v>
      </c>
      <c r="H773" s="20">
        <f>G773</f>
        <v>38490</v>
      </c>
      <c r="I773" s="334"/>
      <c r="J773" s="321"/>
    </row>
    <row r="774" spans="1:10" ht="31.5" hidden="1" x14ac:dyDescent="0.25">
      <c r="A774" s="401" t="s">
        <v>968</v>
      </c>
      <c r="B774" s="455">
        <v>906</v>
      </c>
      <c r="C774" s="402" t="s">
        <v>187</v>
      </c>
      <c r="D774" s="402" t="s">
        <v>159</v>
      </c>
      <c r="E774" s="402" t="s">
        <v>967</v>
      </c>
      <c r="F774" s="402"/>
      <c r="G774" s="20">
        <f>G775</f>
        <v>0</v>
      </c>
      <c r="H774" s="20">
        <f>H775</f>
        <v>0</v>
      </c>
      <c r="I774" s="334"/>
      <c r="J774" s="321"/>
    </row>
    <row r="775" spans="1:10" ht="31.5" hidden="1" x14ac:dyDescent="0.25">
      <c r="A775" s="399" t="s">
        <v>191</v>
      </c>
      <c r="B775" s="455">
        <v>906</v>
      </c>
      <c r="C775" s="402" t="s">
        <v>187</v>
      </c>
      <c r="D775" s="402" t="s">
        <v>159</v>
      </c>
      <c r="E775" s="402" t="s">
        <v>967</v>
      </c>
      <c r="F775" s="402" t="s">
        <v>192</v>
      </c>
      <c r="G775" s="20">
        <f>G776</f>
        <v>0</v>
      </c>
      <c r="H775" s="20">
        <f>H776</f>
        <v>0</v>
      </c>
      <c r="I775" s="334"/>
      <c r="J775" s="321"/>
    </row>
    <row r="776" spans="1:10" ht="15.75" hidden="1" x14ac:dyDescent="0.25">
      <c r="A776" s="401" t="s">
        <v>193</v>
      </c>
      <c r="B776" s="455">
        <v>906</v>
      </c>
      <c r="C776" s="402" t="s">
        <v>187</v>
      </c>
      <c r="D776" s="402" t="s">
        <v>159</v>
      </c>
      <c r="E776" s="402" t="s">
        <v>967</v>
      </c>
      <c r="F776" s="402" t="s">
        <v>194</v>
      </c>
      <c r="G776" s="20"/>
      <c r="H776" s="20"/>
      <c r="I776" s="334"/>
      <c r="J776" s="321"/>
    </row>
    <row r="777" spans="1:10" ht="36" customHeight="1" x14ac:dyDescent="0.25">
      <c r="A777" s="417" t="s">
        <v>471</v>
      </c>
      <c r="B777" s="454">
        <v>906</v>
      </c>
      <c r="C777" s="414" t="s">
        <v>187</v>
      </c>
      <c r="D777" s="414" t="s">
        <v>159</v>
      </c>
      <c r="E777" s="414" t="s">
        <v>768</v>
      </c>
      <c r="F777" s="414"/>
      <c r="G777" s="30">
        <f>G778+G781</f>
        <v>2239.6</v>
      </c>
      <c r="H777" s="30">
        <f>H778+H781</f>
        <v>2239.6</v>
      </c>
      <c r="I777" s="334"/>
      <c r="J777" s="321"/>
    </row>
    <row r="778" spans="1:10" ht="91.15" customHeight="1" x14ac:dyDescent="0.25">
      <c r="A778" s="401" t="s">
        <v>200</v>
      </c>
      <c r="B778" s="455">
        <v>906</v>
      </c>
      <c r="C778" s="402" t="s">
        <v>187</v>
      </c>
      <c r="D778" s="402" t="s">
        <v>159</v>
      </c>
      <c r="E778" s="402" t="s">
        <v>884</v>
      </c>
      <c r="F778" s="402"/>
      <c r="G778" s="20">
        <f>G779</f>
        <v>1480</v>
      </c>
      <c r="H778" s="20">
        <f>H779</f>
        <v>1480</v>
      </c>
      <c r="I778" s="334"/>
      <c r="J778" s="321"/>
    </row>
    <row r="779" spans="1:10" ht="36" customHeight="1" x14ac:dyDescent="0.25">
      <c r="A779" s="399" t="s">
        <v>191</v>
      </c>
      <c r="B779" s="455">
        <v>906</v>
      </c>
      <c r="C779" s="402" t="s">
        <v>187</v>
      </c>
      <c r="D779" s="402" t="s">
        <v>159</v>
      </c>
      <c r="E779" s="402" t="s">
        <v>884</v>
      </c>
      <c r="F779" s="402" t="s">
        <v>192</v>
      </c>
      <c r="G779" s="20">
        <f>G780</f>
        <v>1480</v>
      </c>
      <c r="H779" s="20">
        <f>H780</f>
        <v>1480</v>
      </c>
      <c r="I779" s="334"/>
      <c r="J779" s="321"/>
    </row>
    <row r="780" spans="1:10" ht="23.1" customHeight="1" x14ac:dyDescent="0.25">
      <c r="A780" s="399" t="s">
        <v>193</v>
      </c>
      <c r="B780" s="455">
        <v>906</v>
      </c>
      <c r="C780" s="402" t="s">
        <v>187</v>
      </c>
      <c r="D780" s="402" t="s">
        <v>159</v>
      </c>
      <c r="E780" s="402" t="s">
        <v>884</v>
      </c>
      <c r="F780" s="402" t="s">
        <v>194</v>
      </c>
      <c r="G780" s="20">
        <f>1350+130</f>
        <v>1480</v>
      </c>
      <c r="H780" s="20">
        <f>1350+130</f>
        <v>1480</v>
      </c>
      <c r="I780" s="334" t="s">
        <v>1338</v>
      </c>
      <c r="J780" s="321"/>
    </row>
    <row r="781" spans="1:10" ht="31.5" x14ac:dyDescent="0.25">
      <c r="A781" s="399" t="s">
        <v>1147</v>
      </c>
      <c r="B781" s="455">
        <v>906</v>
      </c>
      <c r="C781" s="402" t="s">
        <v>187</v>
      </c>
      <c r="D781" s="402" t="s">
        <v>159</v>
      </c>
      <c r="E781" s="402" t="s">
        <v>1148</v>
      </c>
      <c r="F781" s="402"/>
      <c r="G781" s="20">
        <f>G782</f>
        <v>759.59999999999991</v>
      </c>
      <c r="H781" s="20">
        <f>H782</f>
        <v>759.59999999999991</v>
      </c>
      <c r="I781" s="334"/>
      <c r="J781" s="321"/>
    </row>
    <row r="782" spans="1:10" ht="31.5" x14ac:dyDescent="0.25">
      <c r="A782" s="399" t="s">
        <v>191</v>
      </c>
      <c r="B782" s="455">
        <v>906</v>
      </c>
      <c r="C782" s="402" t="s">
        <v>187</v>
      </c>
      <c r="D782" s="402" t="s">
        <v>159</v>
      </c>
      <c r="E782" s="402" t="s">
        <v>1148</v>
      </c>
      <c r="F782" s="402" t="s">
        <v>192</v>
      </c>
      <c r="G782" s="20">
        <f>G783</f>
        <v>759.59999999999991</v>
      </c>
      <c r="H782" s="20">
        <f>H783</f>
        <v>759.59999999999991</v>
      </c>
      <c r="I782" s="334"/>
      <c r="J782" s="321"/>
    </row>
    <row r="783" spans="1:10" ht="15.75" x14ac:dyDescent="0.25">
      <c r="A783" s="399" t="s">
        <v>193</v>
      </c>
      <c r="B783" s="455">
        <v>906</v>
      </c>
      <c r="C783" s="402" t="s">
        <v>187</v>
      </c>
      <c r="D783" s="402" t="s">
        <v>159</v>
      </c>
      <c r="E783" s="402" t="s">
        <v>1148</v>
      </c>
      <c r="F783" s="402" t="s">
        <v>194</v>
      </c>
      <c r="G783" s="20">
        <f>743.8+15.8</f>
        <v>759.59999999999991</v>
      </c>
      <c r="H783" s="20">
        <f>743.8+15.8</f>
        <v>759.59999999999991</v>
      </c>
      <c r="I783" s="334" t="s">
        <v>1327</v>
      </c>
      <c r="J783" s="321"/>
    </row>
    <row r="784" spans="1:10" ht="30.75" customHeight="1" x14ac:dyDescent="0.25">
      <c r="A784" s="417" t="s">
        <v>809</v>
      </c>
      <c r="B784" s="454">
        <v>906</v>
      </c>
      <c r="C784" s="414" t="s">
        <v>187</v>
      </c>
      <c r="D784" s="414" t="s">
        <v>159</v>
      </c>
      <c r="E784" s="414" t="s">
        <v>770</v>
      </c>
      <c r="F784" s="414"/>
      <c r="G784" s="30">
        <f t="shared" ref="G784:H786" si="66">G785</f>
        <v>0</v>
      </c>
      <c r="H784" s="30">
        <f t="shared" si="66"/>
        <v>0</v>
      </c>
      <c r="I784" s="334"/>
      <c r="J784" s="321"/>
    </row>
    <row r="785" spans="1:10" ht="31.5" x14ac:dyDescent="0.25">
      <c r="A785" s="406" t="s">
        <v>346</v>
      </c>
      <c r="B785" s="455">
        <v>906</v>
      </c>
      <c r="C785" s="402" t="s">
        <v>187</v>
      </c>
      <c r="D785" s="402" t="s">
        <v>159</v>
      </c>
      <c r="E785" s="402" t="s">
        <v>835</v>
      </c>
      <c r="F785" s="402"/>
      <c r="G785" s="20">
        <f t="shared" si="66"/>
        <v>0</v>
      </c>
      <c r="H785" s="20">
        <f t="shared" si="66"/>
        <v>0</v>
      </c>
      <c r="I785" s="334"/>
      <c r="J785" s="321"/>
    </row>
    <row r="786" spans="1:10" ht="31.5" x14ac:dyDescent="0.25">
      <c r="A786" s="401" t="s">
        <v>191</v>
      </c>
      <c r="B786" s="455">
        <v>906</v>
      </c>
      <c r="C786" s="402" t="s">
        <v>187</v>
      </c>
      <c r="D786" s="402" t="s">
        <v>159</v>
      </c>
      <c r="E786" s="402" t="s">
        <v>835</v>
      </c>
      <c r="F786" s="402" t="s">
        <v>192</v>
      </c>
      <c r="G786" s="20">
        <f t="shared" si="66"/>
        <v>0</v>
      </c>
      <c r="H786" s="20">
        <f t="shared" si="66"/>
        <v>0</v>
      </c>
      <c r="I786" s="334"/>
      <c r="J786" s="321"/>
    </row>
    <row r="787" spans="1:10" ht="15.75" x14ac:dyDescent="0.25">
      <c r="A787" s="401" t="s">
        <v>193</v>
      </c>
      <c r="B787" s="455">
        <v>906</v>
      </c>
      <c r="C787" s="402" t="s">
        <v>187</v>
      </c>
      <c r="D787" s="402" t="s">
        <v>159</v>
      </c>
      <c r="E787" s="402" t="s">
        <v>835</v>
      </c>
      <c r="F787" s="402" t="s">
        <v>194</v>
      </c>
      <c r="G787" s="20">
        <v>0</v>
      </c>
      <c r="H787" s="20">
        <v>0</v>
      </c>
      <c r="I787" s="334"/>
      <c r="J787" s="321"/>
    </row>
    <row r="788" spans="1:10" ht="31.5" x14ac:dyDescent="0.25">
      <c r="A788" s="486" t="s">
        <v>515</v>
      </c>
      <c r="B788" s="454">
        <v>906</v>
      </c>
      <c r="C788" s="414" t="s">
        <v>187</v>
      </c>
      <c r="D788" s="414" t="s">
        <v>159</v>
      </c>
      <c r="E788" s="414" t="s">
        <v>773</v>
      </c>
      <c r="F788" s="414"/>
      <c r="G788" s="30">
        <f t="shared" ref="G788:H790" si="67">G789</f>
        <v>1204</v>
      </c>
      <c r="H788" s="30">
        <f t="shared" si="67"/>
        <v>1204</v>
      </c>
      <c r="I788" s="334"/>
      <c r="J788" s="321"/>
    </row>
    <row r="789" spans="1:10" ht="37.5" customHeight="1" x14ac:dyDescent="0.25">
      <c r="A789" s="406" t="s">
        <v>344</v>
      </c>
      <c r="B789" s="455">
        <v>906</v>
      </c>
      <c r="C789" s="402" t="s">
        <v>187</v>
      </c>
      <c r="D789" s="402" t="s">
        <v>159</v>
      </c>
      <c r="E789" s="402" t="s">
        <v>774</v>
      </c>
      <c r="F789" s="402"/>
      <c r="G789" s="20">
        <f t="shared" si="67"/>
        <v>1204</v>
      </c>
      <c r="H789" s="20">
        <f t="shared" si="67"/>
        <v>1204</v>
      </c>
      <c r="I789" s="334"/>
      <c r="J789" s="321"/>
    </row>
    <row r="790" spans="1:10" ht="32.25" customHeight="1" x14ac:dyDescent="0.25">
      <c r="A790" s="399" t="s">
        <v>191</v>
      </c>
      <c r="B790" s="455">
        <v>906</v>
      </c>
      <c r="C790" s="402" t="s">
        <v>187</v>
      </c>
      <c r="D790" s="402" t="s">
        <v>159</v>
      </c>
      <c r="E790" s="402" t="s">
        <v>774</v>
      </c>
      <c r="F790" s="402" t="s">
        <v>192</v>
      </c>
      <c r="G790" s="20">
        <f t="shared" si="67"/>
        <v>1204</v>
      </c>
      <c r="H790" s="20">
        <f t="shared" si="67"/>
        <v>1204</v>
      </c>
      <c r="I790" s="334"/>
      <c r="J790" s="321"/>
    </row>
    <row r="791" spans="1:10" ht="15.75" x14ac:dyDescent="0.25">
      <c r="A791" s="401" t="s">
        <v>193</v>
      </c>
      <c r="B791" s="455">
        <v>906</v>
      </c>
      <c r="C791" s="402" t="s">
        <v>187</v>
      </c>
      <c r="D791" s="402" t="s">
        <v>159</v>
      </c>
      <c r="E791" s="402" t="s">
        <v>774</v>
      </c>
      <c r="F791" s="402" t="s">
        <v>194</v>
      </c>
      <c r="G791" s="20">
        <v>1204</v>
      </c>
      <c r="H791" s="20">
        <v>1204</v>
      </c>
      <c r="I791" s="334"/>
      <c r="J791" s="321"/>
    </row>
    <row r="792" spans="1:10" ht="47.25" hidden="1" x14ac:dyDescent="0.25">
      <c r="A792" s="413" t="s">
        <v>1092</v>
      </c>
      <c r="B792" s="454">
        <v>906</v>
      </c>
      <c r="C792" s="414" t="s">
        <v>187</v>
      </c>
      <c r="D792" s="414" t="s">
        <v>159</v>
      </c>
      <c r="E792" s="414" t="s">
        <v>1093</v>
      </c>
      <c r="F792" s="414"/>
      <c r="G792" s="30">
        <f t="shared" ref="G792:H794" si="68">G793</f>
        <v>0</v>
      </c>
      <c r="H792" s="30">
        <f t="shared" si="68"/>
        <v>0</v>
      </c>
      <c r="I792" s="334"/>
      <c r="J792" s="321"/>
    </row>
    <row r="793" spans="1:10" ht="31.5" hidden="1" x14ac:dyDescent="0.25">
      <c r="A793" s="401" t="s">
        <v>1112</v>
      </c>
      <c r="B793" s="455">
        <v>906</v>
      </c>
      <c r="C793" s="402" t="s">
        <v>187</v>
      </c>
      <c r="D793" s="402" t="s">
        <v>159</v>
      </c>
      <c r="E793" s="402" t="s">
        <v>1113</v>
      </c>
      <c r="F793" s="402"/>
      <c r="G793" s="20">
        <f t="shared" si="68"/>
        <v>0</v>
      </c>
      <c r="H793" s="20">
        <f t="shared" si="68"/>
        <v>0</v>
      </c>
      <c r="I793" s="334"/>
      <c r="J793" s="321"/>
    </row>
    <row r="794" spans="1:10" ht="31.15" hidden="1" customHeight="1" x14ac:dyDescent="0.25">
      <c r="A794" s="399" t="s">
        <v>191</v>
      </c>
      <c r="B794" s="455">
        <v>906</v>
      </c>
      <c r="C794" s="402" t="s">
        <v>187</v>
      </c>
      <c r="D794" s="402" t="s">
        <v>159</v>
      </c>
      <c r="E794" s="402" t="s">
        <v>1113</v>
      </c>
      <c r="F794" s="402" t="s">
        <v>192</v>
      </c>
      <c r="G794" s="20">
        <f t="shared" si="68"/>
        <v>0</v>
      </c>
      <c r="H794" s="20">
        <f t="shared" si="68"/>
        <v>0</v>
      </c>
      <c r="I794" s="334"/>
      <c r="J794" s="321"/>
    </row>
    <row r="795" spans="1:10" ht="14.45" hidden="1" customHeight="1" x14ac:dyDescent="0.25">
      <c r="A795" s="494" t="s">
        <v>1094</v>
      </c>
      <c r="B795" s="455">
        <v>906</v>
      </c>
      <c r="C795" s="402" t="s">
        <v>187</v>
      </c>
      <c r="D795" s="402" t="s">
        <v>159</v>
      </c>
      <c r="E795" s="402" t="s">
        <v>1113</v>
      </c>
      <c r="F795" s="402" t="s">
        <v>1095</v>
      </c>
      <c r="G795" s="20"/>
      <c r="H795" s="20"/>
      <c r="I795" s="334"/>
      <c r="J795" s="321"/>
    </row>
    <row r="796" spans="1:10" ht="54.75" customHeight="1" x14ac:dyDescent="0.25">
      <c r="A796" s="463" t="s">
        <v>844</v>
      </c>
      <c r="B796" s="454">
        <v>906</v>
      </c>
      <c r="C796" s="414" t="s">
        <v>187</v>
      </c>
      <c r="D796" s="414" t="s">
        <v>159</v>
      </c>
      <c r="E796" s="414" t="s">
        <v>339</v>
      </c>
      <c r="F796" s="464"/>
      <c r="G796" s="30">
        <f>G798</f>
        <v>302.39999999999998</v>
      </c>
      <c r="H796" s="30">
        <f>H798</f>
        <v>302.39999999999998</v>
      </c>
      <c r="I796" s="334"/>
      <c r="J796" s="321"/>
    </row>
    <row r="797" spans="1:10" ht="54.75" customHeight="1" x14ac:dyDescent="0.25">
      <c r="A797" s="463" t="s">
        <v>463</v>
      </c>
      <c r="B797" s="454">
        <v>906</v>
      </c>
      <c r="C797" s="414" t="s">
        <v>187</v>
      </c>
      <c r="D797" s="414" t="s">
        <v>510</v>
      </c>
      <c r="E797" s="414" t="s">
        <v>461</v>
      </c>
      <c r="F797" s="464"/>
      <c r="G797" s="30">
        <f t="shared" ref="G797:H799" si="69">G798</f>
        <v>302.39999999999998</v>
      </c>
      <c r="H797" s="30">
        <f t="shared" si="69"/>
        <v>302.39999999999998</v>
      </c>
      <c r="I797" s="334"/>
      <c r="J797" s="321"/>
    </row>
    <row r="798" spans="1:10" ht="38.25" customHeight="1" x14ac:dyDescent="0.25">
      <c r="A798" s="466" t="s">
        <v>359</v>
      </c>
      <c r="B798" s="455">
        <v>906</v>
      </c>
      <c r="C798" s="402" t="s">
        <v>187</v>
      </c>
      <c r="D798" s="402" t="s">
        <v>159</v>
      </c>
      <c r="E798" s="402" t="s">
        <v>506</v>
      </c>
      <c r="F798" s="467"/>
      <c r="G798" s="20">
        <f t="shared" si="69"/>
        <v>302.39999999999998</v>
      </c>
      <c r="H798" s="20">
        <f t="shared" si="69"/>
        <v>302.39999999999998</v>
      </c>
      <c r="I798" s="334"/>
      <c r="J798" s="321"/>
    </row>
    <row r="799" spans="1:10" ht="34.5" customHeight="1" x14ac:dyDescent="0.25">
      <c r="A799" s="459" t="s">
        <v>191</v>
      </c>
      <c r="B799" s="455">
        <v>906</v>
      </c>
      <c r="C799" s="402" t="s">
        <v>187</v>
      </c>
      <c r="D799" s="402" t="s">
        <v>159</v>
      </c>
      <c r="E799" s="402" t="s">
        <v>506</v>
      </c>
      <c r="F799" s="467" t="s">
        <v>192</v>
      </c>
      <c r="G799" s="20">
        <f t="shared" si="69"/>
        <v>302.39999999999998</v>
      </c>
      <c r="H799" s="20">
        <f t="shared" si="69"/>
        <v>302.39999999999998</v>
      </c>
      <c r="I799" s="334"/>
      <c r="J799" s="321"/>
    </row>
    <row r="800" spans="1:10" ht="15.75" x14ac:dyDescent="0.25">
      <c r="A800" s="488" t="s">
        <v>193</v>
      </c>
      <c r="B800" s="455">
        <v>906</v>
      </c>
      <c r="C800" s="402" t="s">
        <v>187</v>
      </c>
      <c r="D800" s="402" t="s">
        <v>159</v>
      </c>
      <c r="E800" s="402" t="s">
        <v>506</v>
      </c>
      <c r="F800" s="467" t="s">
        <v>194</v>
      </c>
      <c r="G800" s="20">
        <v>302.39999999999998</v>
      </c>
      <c r="H800" s="20">
        <v>302.39999999999998</v>
      </c>
      <c r="I800" s="334"/>
      <c r="J800" s="321"/>
    </row>
    <row r="801" spans="1:10" ht="21.2" customHeight="1" x14ac:dyDescent="0.25">
      <c r="A801" s="417" t="s">
        <v>246</v>
      </c>
      <c r="B801" s="454">
        <v>906</v>
      </c>
      <c r="C801" s="414" t="s">
        <v>187</v>
      </c>
      <c r="D801" s="414" t="s">
        <v>187</v>
      </c>
      <c r="E801" s="414"/>
      <c r="F801" s="414"/>
      <c r="G801" s="314">
        <f t="shared" ref="G801:H805" si="70">G802</f>
        <v>7678.5</v>
      </c>
      <c r="H801" s="314">
        <f t="shared" si="70"/>
        <v>7849.6</v>
      </c>
      <c r="I801" s="334"/>
      <c r="J801" s="321"/>
    </row>
    <row r="802" spans="1:10" ht="31.5" x14ac:dyDescent="0.25">
      <c r="A802" s="417" t="s">
        <v>860</v>
      </c>
      <c r="B802" s="454">
        <v>906</v>
      </c>
      <c r="C802" s="414" t="s">
        <v>187</v>
      </c>
      <c r="D802" s="414" t="s">
        <v>187</v>
      </c>
      <c r="E802" s="414" t="s">
        <v>237</v>
      </c>
      <c r="F802" s="414"/>
      <c r="G802" s="314">
        <f t="shared" si="70"/>
        <v>7678.5</v>
      </c>
      <c r="H802" s="314">
        <f t="shared" si="70"/>
        <v>7849.6</v>
      </c>
      <c r="I802" s="334"/>
      <c r="J802" s="321"/>
    </row>
    <row r="803" spans="1:10" ht="31.5" x14ac:dyDescent="0.25">
      <c r="A803" s="417" t="s">
        <v>511</v>
      </c>
      <c r="B803" s="454">
        <v>906</v>
      </c>
      <c r="C803" s="414" t="s">
        <v>187</v>
      </c>
      <c r="D803" s="414" t="s">
        <v>187</v>
      </c>
      <c r="E803" s="414" t="s">
        <v>772</v>
      </c>
      <c r="F803" s="414"/>
      <c r="G803" s="314">
        <f t="shared" si="70"/>
        <v>7678.5</v>
      </c>
      <c r="H803" s="314">
        <f t="shared" si="70"/>
        <v>7849.6</v>
      </c>
      <c r="I803" s="334"/>
      <c r="J803" s="321"/>
    </row>
    <row r="804" spans="1:10" ht="31.5" x14ac:dyDescent="0.25">
      <c r="A804" s="401" t="s">
        <v>617</v>
      </c>
      <c r="B804" s="455">
        <v>906</v>
      </c>
      <c r="C804" s="402" t="s">
        <v>187</v>
      </c>
      <c r="D804" s="402" t="s">
        <v>187</v>
      </c>
      <c r="E804" s="402" t="s">
        <v>789</v>
      </c>
      <c r="F804" s="402"/>
      <c r="G804" s="318">
        <f t="shared" si="70"/>
        <v>7678.5</v>
      </c>
      <c r="H804" s="318">
        <f t="shared" si="70"/>
        <v>7849.6</v>
      </c>
      <c r="I804" s="334"/>
      <c r="J804" s="321"/>
    </row>
    <row r="805" spans="1:10" ht="36" customHeight="1" x14ac:dyDescent="0.25">
      <c r="A805" s="399" t="s">
        <v>191</v>
      </c>
      <c r="B805" s="455">
        <v>906</v>
      </c>
      <c r="C805" s="402" t="s">
        <v>187</v>
      </c>
      <c r="D805" s="402" t="s">
        <v>187</v>
      </c>
      <c r="E805" s="402" t="s">
        <v>789</v>
      </c>
      <c r="F805" s="402" t="s">
        <v>192</v>
      </c>
      <c r="G805" s="318">
        <f t="shared" si="70"/>
        <v>7678.5</v>
      </c>
      <c r="H805" s="318">
        <f t="shared" si="70"/>
        <v>7849.6</v>
      </c>
      <c r="I805" s="346"/>
      <c r="J805" s="321"/>
    </row>
    <row r="806" spans="1:10" ht="15.75" x14ac:dyDescent="0.25">
      <c r="A806" s="399" t="s">
        <v>193</v>
      </c>
      <c r="B806" s="455">
        <v>906</v>
      </c>
      <c r="C806" s="402" t="s">
        <v>187</v>
      </c>
      <c r="D806" s="402" t="s">
        <v>187</v>
      </c>
      <c r="E806" s="402" t="s">
        <v>789</v>
      </c>
      <c r="F806" s="402" t="s">
        <v>194</v>
      </c>
      <c r="G806" s="20">
        <f>4278.5+3400</f>
        <v>7678.5</v>
      </c>
      <c r="H806" s="20">
        <f>4449.6+3400</f>
        <v>7849.6</v>
      </c>
      <c r="I806" s="353"/>
      <c r="J806" s="321"/>
    </row>
    <row r="807" spans="1:10" ht="15.75" x14ac:dyDescent="0.25">
      <c r="A807" s="417" t="s">
        <v>201</v>
      </c>
      <c r="B807" s="454">
        <v>906</v>
      </c>
      <c r="C807" s="414" t="s">
        <v>187</v>
      </c>
      <c r="D807" s="414" t="s">
        <v>161</v>
      </c>
      <c r="E807" s="414"/>
      <c r="F807" s="414"/>
      <c r="G807" s="314">
        <f>G808+G825</f>
        <v>22178.25</v>
      </c>
      <c r="H807" s="314">
        <f>H808+H825</f>
        <v>22339.95</v>
      </c>
      <c r="I807" s="334"/>
      <c r="J807" s="321"/>
    </row>
    <row r="808" spans="1:10" ht="31.5" x14ac:dyDescent="0.25">
      <c r="A808" s="417" t="s">
        <v>488</v>
      </c>
      <c r="B808" s="454">
        <v>906</v>
      </c>
      <c r="C808" s="414" t="s">
        <v>187</v>
      </c>
      <c r="D808" s="414" t="s">
        <v>161</v>
      </c>
      <c r="E808" s="414" t="s">
        <v>434</v>
      </c>
      <c r="F808" s="414"/>
      <c r="G808" s="314">
        <f>G809</f>
        <v>21678.25</v>
      </c>
      <c r="H808" s="314">
        <f>H809</f>
        <v>21839.95</v>
      </c>
      <c r="I808" s="334"/>
      <c r="J808" s="321"/>
    </row>
    <row r="809" spans="1:10" ht="15.75" x14ac:dyDescent="0.25">
      <c r="A809" s="417" t="s">
        <v>489</v>
      </c>
      <c r="B809" s="454">
        <v>906</v>
      </c>
      <c r="C809" s="414" t="s">
        <v>187</v>
      </c>
      <c r="D809" s="414" t="s">
        <v>161</v>
      </c>
      <c r="E809" s="414" t="s">
        <v>435</v>
      </c>
      <c r="F809" s="414"/>
      <c r="G809" s="314">
        <f>G810+G822+G815</f>
        <v>21678.25</v>
      </c>
      <c r="H809" s="314">
        <f>H810+H822+H815</f>
        <v>21839.95</v>
      </c>
      <c r="I809" s="334"/>
      <c r="J809" s="321"/>
    </row>
    <row r="810" spans="1:10" ht="34.700000000000003" customHeight="1" x14ac:dyDescent="0.25">
      <c r="A810" s="399" t="s">
        <v>468</v>
      </c>
      <c r="B810" s="455">
        <v>906</v>
      </c>
      <c r="C810" s="402" t="s">
        <v>187</v>
      </c>
      <c r="D810" s="402" t="s">
        <v>161</v>
      </c>
      <c r="E810" s="402" t="s">
        <v>436</v>
      </c>
      <c r="F810" s="402"/>
      <c r="G810" s="318">
        <f>G811+G813</f>
        <v>6215.4</v>
      </c>
      <c r="H810" s="318">
        <f>H811+H813</f>
        <v>6334.1</v>
      </c>
      <c r="I810" s="334"/>
      <c r="J810" s="321"/>
    </row>
    <row r="811" spans="1:10" ht="72" customHeight="1" x14ac:dyDescent="0.25">
      <c r="A811" s="399" t="s">
        <v>119</v>
      </c>
      <c r="B811" s="455">
        <v>906</v>
      </c>
      <c r="C811" s="402" t="s">
        <v>187</v>
      </c>
      <c r="D811" s="402" t="s">
        <v>161</v>
      </c>
      <c r="E811" s="402" t="s">
        <v>436</v>
      </c>
      <c r="F811" s="402" t="s">
        <v>120</v>
      </c>
      <c r="G811" s="318">
        <f>G812</f>
        <v>5965.4</v>
      </c>
      <c r="H811" s="318">
        <f>H812</f>
        <v>6084.1</v>
      </c>
      <c r="I811" s="334"/>
      <c r="J811" s="321"/>
    </row>
    <row r="812" spans="1:10" ht="31.5" x14ac:dyDescent="0.25">
      <c r="A812" s="399" t="s">
        <v>121</v>
      </c>
      <c r="B812" s="455">
        <v>906</v>
      </c>
      <c r="C812" s="402" t="s">
        <v>187</v>
      </c>
      <c r="D812" s="402" t="s">
        <v>161</v>
      </c>
      <c r="E812" s="402" t="s">
        <v>436</v>
      </c>
      <c r="F812" s="402" t="s">
        <v>122</v>
      </c>
      <c r="G812" s="20">
        <v>5965.4</v>
      </c>
      <c r="H812" s="20">
        <v>6084.1</v>
      </c>
      <c r="I812" s="334"/>
      <c r="J812" s="321"/>
    </row>
    <row r="813" spans="1:10" ht="31.5" x14ac:dyDescent="0.25">
      <c r="A813" s="399" t="s">
        <v>123</v>
      </c>
      <c r="B813" s="455">
        <v>906</v>
      </c>
      <c r="C813" s="402" t="s">
        <v>187</v>
      </c>
      <c r="D813" s="402" t="s">
        <v>161</v>
      </c>
      <c r="E813" s="402" t="s">
        <v>436</v>
      </c>
      <c r="F813" s="402" t="s">
        <v>124</v>
      </c>
      <c r="G813" s="318">
        <f>G814</f>
        <v>250</v>
      </c>
      <c r="H813" s="318">
        <f>H814</f>
        <v>250</v>
      </c>
      <c r="I813" s="334"/>
      <c r="J813" s="321"/>
    </row>
    <row r="814" spans="1:10" ht="31.5" x14ac:dyDescent="0.25">
      <c r="A814" s="399" t="s">
        <v>125</v>
      </c>
      <c r="B814" s="455">
        <v>906</v>
      </c>
      <c r="C814" s="402" t="s">
        <v>187</v>
      </c>
      <c r="D814" s="402" t="s">
        <v>161</v>
      </c>
      <c r="E814" s="402" t="s">
        <v>436</v>
      </c>
      <c r="F814" s="402" t="s">
        <v>126</v>
      </c>
      <c r="G814" s="318">
        <v>250</v>
      </c>
      <c r="H814" s="318">
        <v>250</v>
      </c>
      <c r="I814" s="334"/>
      <c r="J814" s="321"/>
    </row>
    <row r="815" spans="1:10" ht="31.5" x14ac:dyDescent="0.25">
      <c r="A815" s="399" t="s">
        <v>417</v>
      </c>
      <c r="B815" s="455">
        <v>906</v>
      </c>
      <c r="C815" s="402" t="s">
        <v>187</v>
      </c>
      <c r="D815" s="402" t="s">
        <v>161</v>
      </c>
      <c r="E815" s="402" t="s">
        <v>437</v>
      </c>
      <c r="F815" s="402"/>
      <c r="G815" s="318">
        <f>G816+G818+G820</f>
        <v>14987.85</v>
      </c>
      <c r="H815" s="318">
        <f>H816+H818+H820</f>
        <v>14987.85</v>
      </c>
      <c r="I815" s="334"/>
      <c r="J815" s="321"/>
    </row>
    <row r="816" spans="1:10" ht="63" x14ac:dyDescent="0.25">
      <c r="A816" s="399" t="s">
        <v>119</v>
      </c>
      <c r="B816" s="455">
        <v>906</v>
      </c>
      <c r="C816" s="402" t="s">
        <v>187</v>
      </c>
      <c r="D816" s="402" t="s">
        <v>161</v>
      </c>
      <c r="E816" s="402" t="s">
        <v>437</v>
      </c>
      <c r="F816" s="402" t="s">
        <v>120</v>
      </c>
      <c r="G816" s="318">
        <f>G817</f>
        <v>13536.2</v>
      </c>
      <c r="H816" s="318">
        <f>H817</f>
        <v>13536.2</v>
      </c>
      <c r="I816" s="334"/>
      <c r="J816" s="321"/>
    </row>
    <row r="817" spans="1:10" ht="31.5" x14ac:dyDescent="0.25">
      <c r="A817" s="399" t="s">
        <v>121</v>
      </c>
      <c r="B817" s="455">
        <v>906</v>
      </c>
      <c r="C817" s="402" t="s">
        <v>187</v>
      </c>
      <c r="D817" s="402" t="s">
        <v>161</v>
      </c>
      <c r="E817" s="402" t="s">
        <v>437</v>
      </c>
      <c r="F817" s="402" t="s">
        <v>122</v>
      </c>
      <c r="G817" s="20">
        <v>13536.2</v>
      </c>
      <c r="H817" s="20">
        <v>13536.2</v>
      </c>
      <c r="I817" s="334"/>
      <c r="J817" s="321"/>
    </row>
    <row r="818" spans="1:10" ht="31.5" x14ac:dyDescent="0.25">
      <c r="A818" s="399" t="s">
        <v>123</v>
      </c>
      <c r="B818" s="455">
        <v>906</v>
      </c>
      <c r="C818" s="402" t="s">
        <v>187</v>
      </c>
      <c r="D818" s="402" t="s">
        <v>161</v>
      </c>
      <c r="E818" s="402" t="s">
        <v>437</v>
      </c>
      <c r="F818" s="402" t="s">
        <v>124</v>
      </c>
      <c r="G818" s="318">
        <f>G819</f>
        <v>1437.65</v>
      </c>
      <c r="H818" s="318">
        <f>H819</f>
        <v>1437.65</v>
      </c>
      <c r="I818" s="334"/>
      <c r="J818" s="321"/>
    </row>
    <row r="819" spans="1:10" ht="31.5" x14ac:dyDescent="0.25">
      <c r="A819" s="399" t="s">
        <v>125</v>
      </c>
      <c r="B819" s="455">
        <v>906</v>
      </c>
      <c r="C819" s="402" t="s">
        <v>187</v>
      </c>
      <c r="D819" s="402" t="s">
        <v>161</v>
      </c>
      <c r="E819" s="402" t="s">
        <v>437</v>
      </c>
      <c r="F819" s="402" t="s">
        <v>126</v>
      </c>
      <c r="G819" s="318">
        <f>1437.65</f>
        <v>1437.65</v>
      </c>
      <c r="H819" s="318">
        <f>1437.65</f>
        <v>1437.65</v>
      </c>
      <c r="I819" s="334"/>
      <c r="J819" s="321"/>
    </row>
    <row r="820" spans="1:10" ht="15.75" x14ac:dyDescent="0.25">
      <c r="A820" s="399" t="s">
        <v>127</v>
      </c>
      <c r="B820" s="455">
        <v>906</v>
      </c>
      <c r="C820" s="402" t="s">
        <v>187</v>
      </c>
      <c r="D820" s="402" t="s">
        <v>161</v>
      </c>
      <c r="E820" s="402" t="s">
        <v>437</v>
      </c>
      <c r="F820" s="402" t="s">
        <v>134</v>
      </c>
      <c r="G820" s="318">
        <f>G821</f>
        <v>14</v>
      </c>
      <c r="H820" s="318">
        <f>H821</f>
        <v>14</v>
      </c>
      <c r="I820" s="334"/>
      <c r="J820" s="321"/>
    </row>
    <row r="821" spans="1:10" ht="15.75" x14ac:dyDescent="0.25">
      <c r="A821" s="399" t="s">
        <v>280</v>
      </c>
      <c r="B821" s="455">
        <v>906</v>
      </c>
      <c r="C821" s="402" t="s">
        <v>187</v>
      </c>
      <c r="D821" s="402" t="s">
        <v>161</v>
      </c>
      <c r="E821" s="402" t="s">
        <v>437</v>
      </c>
      <c r="F821" s="402" t="s">
        <v>130</v>
      </c>
      <c r="G821" s="318">
        <v>14</v>
      </c>
      <c r="H821" s="318">
        <v>14</v>
      </c>
      <c r="I821" s="334"/>
      <c r="J821" s="321"/>
    </row>
    <row r="822" spans="1:10" ht="31.5" x14ac:dyDescent="0.25">
      <c r="A822" s="399" t="s">
        <v>416</v>
      </c>
      <c r="B822" s="455">
        <v>906</v>
      </c>
      <c r="C822" s="402" t="s">
        <v>187</v>
      </c>
      <c r="D822" s="402" t="s">
        <v>161</v>
      </c>
      <c r="E822" s="402" t="s">
        <v>438</v>
      </c>
      <c r="F822" s="402"/>
      <c r="G822" s="318">
        <f>G823</f>
        <v>475</v>
      </c>
      <c r="H822" s="318">
        <f>H823</f>
        <v>518</v>
      </c>
      <c r="I822" s="334"/>
      <c r="J822" s="321"/>
    </row>
    <row r="823" spans="1:10" ht="63" x14ac:dyDescent="0.25">
      <c r="A823" s="399" t="s">
        <v>119</v>
      </c>
      <c r="B823" s="455">
        <v>906</v>
      </c>
      <c r="C823" s="402" t="s">
        <v>187</v>
      </c>
      <c r="D823" s="402" t="s">
        <v>161</v>
      </c>
      <c r="E823" s="402" t="s">
        <v>438</v>
      </c>
      <c r="F823" s="402" t="s">
        <v>120</v>
      </c>
      <c r="G823" s="318">
        <f>G824</f>
        <v>475</v>
      </c>
      <c r="H823" s="318">
        <f>H824</f>
        <v>518</v>
      </c>
      <c r="I823" s="334"/>
      <c r="J823" s="321"/>
    </row>
    <row r="824" spans="1:10" ht="31.5" x14ac:dyDescent="0.25">
      <c r="A824" s="399" t="s">
        <v>121</v>
      </c>
      <c r="B824" s="455">
        <v>906</v>
      </c>
      <c r="C824" s="402" t="s">
        <v>187</v>
      </c>
      <c r="D824" s="402" t="s">
        <v>161</v>
      </c>
      <c r="E824" s="402" t="s">
        <v>438</v>
      </c>
      <c r="F824" s="402" t="s">
        <v>122</v>
      </c>
      <c r="G824" s="318">
        <f>43+432</f>
        <v>475</v>
      </c>
      <c r="H824" s="318">
        <f>86+432</f>
        <v>518</v>
      </c>
      <c r="I824" s="334"/>
      <c r="J824" s="321"/>
    </row>
    <row r="825" spans="1:10" ht="15.75" x14ac:dyDescent="0.25">
      <c r="A825" s="417" t="s">
        <v>133</v>
      </c>
      <c r="B825" s="454">
        <v>906</v>
      </c>
      <c r="C825" s="414" t="s">
        <v>187</v>
      </c>
      <c r="D825" s="414" t="s">
        <v>161</v>
      </c>
      <c r="E825" s="414" t="s">
        <v>442</v>
      </c>
      <c r="F825" s="414"/>
      <c r="G825" s="314">
        <f>G826+G832</f>
        <v>500</v>
      </c>
      <c r="H825" s="314">
        <f>H826+H832</f>
        <v>500</v>
      </c>
      <c r="I825" s="334"/>
      <c r="J825" s="321"/>
    </row>
    <row r="826" spans="1:10" ht="31.5" x14ac:dyDescent="0.25">
      <c r="A826" s="417" t="s">
        <v>446</v>
      </c>
      <c r="B826" s="454">
        <v>906</v>
      </c>
      <c r="C826" s="414" t="s">
        <v>187</v>
      </c>
      <c r="D826" s="414" t="s">
        <v>161</v>
      </c>
      <c r="E826" s="414" t="s">
        <v>441</v>
      </c>
      <c r="F826" s="414"/>
      <c r="G826" s="314">
        <f>G827</f>
        <v>500</v>
      </c>
      <c r="H826" s="314">
        <f>H827</f>
        <v>500</v>
      </c>
      <c r="I826" s="334"/>
      <c r="J826" s="321"/>
    </row>
    <row r="827" spans="1:10" ht="15.75" x14ac:dyDescent="0.25">
      <c r="A827" s="399" t="s">
        <v>247</v>
      </c>
      <c r="B827" s="455">
        <v>906</v>
      </c>
      <c r="C827" s="402" t="s">
        <v>187</v>
      </c>
      <c r="D827" s="402" t="s">
        <v>161</v>
      </c>
      <c r="E827" s="402" t="s">
        <v>512</v>
      </c>
      <c r="F827" s="402"/>
      <c r="G827" s="318">
        <f>G828+G830</f>
        <v>500</v>
      </c>
      <c r="H827" s="318">
        <f>H828+H830</f>
        <v>500</v>
      </c>
      <c r="I827" s="334"/>
      <c r="J827" s="321"/>
    </row>
    <row r="828" spans="1:10" ht="63" hidden="1" x14ac:dyDescent="0.25">
      <c r="A828" s="399" t="s">
        <v>119</v>
      </c>
      <c r="B828" s="455">
        <v>906</v>
      </c>
      <c r="C828" s="402" t="s">
        <v>187</v>
      </c>
      <c r="D828" s="402" t="s">
        <v>161</v>
      </c>
      <c r="E828" s="402" t="s">
        <v>512</v>
      </c>
      <c r="F828" s="402" t="s">
        <v>120</v>
      </c>
      <c r="G828" s="318">
        <f>G829</f>
        <v>0</v>
      </c>
      <c r="H828" s="318">
        <f>H829</f>
        <v>0</v>
      </c>
      <c r="I828" s="334"/>
      <c r="J828" s="321"/>
    </row>
    <row r="829" spans="1:10" ht="15.75" hidden="1" x14ac:dyDescent="0.25">
      <c r="A829" s="399" t="s">
        <v>212</v>
      </c>
      <c r="B829" s="455">
        <v>906</v>
      </c>
      <c r="C829" s="402" t="s">
        <v>187</v>
      </c>
      <c r="D829" s="402" t="s">
        <v>161</v>
      </c>
      <c r="E829" s="402" t="s">
        <v>512</v>
      </c>
      <c r="F829" s="402" t="s">
        <v>156</v>
      </c>
      <c r="G829" s="318">
        <v>0</v>
      </c>
      <c r="H829" s="318">
        <v>0</v>
      </c>
      <c r="I829" s="334"/>
      <c r="J829" s="321"/>
    </row>
    <row r="830" spans="1:10" ht="31.5" x14ac:dyDescent="0.25">
      <c r="A830" s="399" t="s">
        <v>123</v>
      </c>
      <c r="B830" s="455">
        <v>906</v>
      </c>
      <c r="C830" s="402" t="s">
        <v>187</v>
      </c>
      <c r="D830" s="402" t="s">
        <v>161</v>
      </c>
      <c r="E830" s="402" t="s">
        <v>512</v>
      </c>
      <c r="F830" s="402" t="s">
        <v>124</v>
      </c>
      <c r="G830" s="318">
        <f>G831</f>
        <v>500</v>
      </c>
      <c r="H830" s="318">
        <f>H831</f>
        <v>500</v>
      </c>
      <c r="I830" s="334"/>
      <c r="J830" s="321"/>
    </row>
    <row r="831" spans="1:10" ht="31.5" x14ac:dyDescent="0.25">
      <c r="A831" s="399" t="s">
        <v>125</v>
      </c>
      <c r="B831" s="455">
        <v>906</v>
      </c>
      <c r="C831" s="402" t="s">
        <v>187</v>
      </c>
      <c r="D831" s="402" t="s">
        <v>161</v>
      </c>
      <c r="E831" s="402" t="s">
        <v>512</v>
      </c>
      <c r="F831" s="402" t="s">
        <v>126</v>
      </c>
      <c r="G831" s="318">
        <v>500</v>
      </c>
      <c r="H831" s="318">
        <v>500</v>
      </c>
      <c r="I831" s="334"/>
      <c r="J831" s="321"/>
    </row>
    <row r="832" spans="1:10" ht="31.5" hidden="1" x14ac:dyDescent="0.25">
      <c r="A832" s="417" t="s">
        <v>500</v>
      </c>
      <c r="B832" s="454">
        <v>906</v>
      </c>
      <c r="C832" s="414" t="s">
        <v>187</v>
      </c>
      <c r="D832" s="414" t="s">
        <v>161</v>
      </c>
      <c r="E832" s="414" t="s">
        <v>485</v>
      </c>
      <c r="F832" s="414"/>
      <c r="G832" s="314">
        <f>G833+G840</f>
        <v>0</v>
      </c>
      <c r="H832" s="314">
        <f>H833+H840</f>
        <v>0</v>
      </c>
      <c r="I832" s="334"/>
      <c r="J832" s="321"/>
    </row>
    <row r="833" spans="1:10" ht="31.5" hidden="1" x14ac:dyDescent="0.25">
      <c r="A833" s="399" t="s">
        <v>637</v>
      </c>
      <c r="B833" s="455">
        <v>906</v>
      </c>
      <c r="C833" s="402" t="s">
        <v>187</v>
      </c>
      <c r="D833" s="402" t="s">
        <v>161</v>
      </c>
      <c r="E833" s="402" t="s">
        <v>486</v>
      </c>
      <c r="F833" s="402"/>
      <c r="G833" s="318">
        <f>G834+G836+G838</f>
        <v>0</v>
      </c>
      <c r="H833" s="318">
        <f>H834+H836+H838</f>
        <v>0</v>
      </c>
      <c r="I833" s="334"/>
      <c r="J833" s="321"/>
    </row>
    <row r="834" spans="1:10" ht="61.5" hidden="1" customHeight="1" x14ac:dyDescent="0.25">
      <c r="A834" s="399" t="s">
        <v>119</v>
      </c>
      <c r="B834" s="455">
        <v>906</v>
      </c>
      <c r="C834" s="402" t="s">
        <v>187</v>
      </c>
      <c r="D834" s="402" t="s">
        <v>161</v>
      </c>
      <c r="E834" s="402" t="s">
        <v>486</v>
      </c>
      <c r="F834" s="402" t="s">
        <v>120</v>
      </c>
      <c r="G834" s="318">
        <f>G835</f>
        <v>0</v>
      </c>
      <c r="H834" s="318">
        <f>H835</f>
        <v>0</v>
      </c>
      <c r="I834" s="334"/>
      <c r="J834" s="321"/>
    </row>
    <row r="835" spans="1:10" ht="15.75" hidden="1" x14ac:dyDescent="0.25">
      <c r="A835" s="399" t="s">
        <v>212</v>
      </c>
      <c r="B835" s="455">
        <v>906</v>
      </c>
      <c r="C835" s="402" t="s">
        <v>187</v>
      </c>
      <c r="D835" s="402" t="s">
        <v>161</v>
      </c>
      <c r="E835" s="402" t="s">
        <v>486</v>
      </c>
      <c r="F835" s="402" t="s">
        <v>156</v>
      </c>
      <c r="G835" s="20"/>
      <c r="H835" s="20"/>
      <c r="I835" s="334"/>
      <c r="J835" s="321"/>
    </row>
    <row r="836" spans="1:10" ht="31.5" hidden="1" x14ac:dyDescent="0.25">
      <c r="A836" s="399" t="s">
        <v>123</v>
      </c>
      <c r="B836" s="455">
        <v>906</v>
      </c>
      <c r="C836" s="402" t="s">
        <v>187</v>
      </c>
      <c r="D836" s="402" t="s">
        <v>161</v>
      </c>
      <c r="E836" s="402" t="s">
        <v>486</v>
      </c>
      <c r="F836" s="402" t="s">
        <v>124</v>
      </c>
      <c r="G836" s="318">
        <f>G837</f>
        <v>0</v>
      </c>
      <c r="H836" s="318">
        <f>H837</f>
        <v>0</v>
      </c>
      <c r="I836" s="334"/>
      <c r="J836" s="321"/>
    </row>
    <row r="837" spans="1:10" ht="33" hidden="1" customHeight="1" x14ac:dyDescent="0.25">
      <c r="A837" s="399" t="s">
        <v>125</v>
      </c>
      <c r="B837" s="455">
        <v>906</v>
      </c>
      <c r="C837" s="402" t="s">
        <v>187</v>
      </c>
      <c r="D837" s="402" t="s">
        <v>161</v>
      </c>
      <c r="E837" s="402" t="s">
        <v>486</v>
      </c>
      <c r="F837" s="402" t="s">
        <v>126</v>
      </c>
      <c r="G837" s="318"/>
      <c r="H837" s="318"/>
      <c r="I837" s="334"/>
      <c r="J837" s="321"/>
    </row>
    <row r="838" spans="1:10" ht="15.75" hidden="1" x14ac:dyDescent="0.25">
      <c r="A838" s="399" t="s">
        <v>127</v>
      </c>
      <c r="B838" s="455">
        <v>906</v>
      </c>
      <c r="C838" s="402" t="s">
        <v>187</v>
      </c>
      <c r="D838" s="402" t="s">
        <v>161</v>
      </c>
      <c r="E838" s="402" t="s">
        <v>486</v>
      </c>
      <c r="F838" s="402" t="s">
        <v>134</v>
      </c>
      <c r="G838" s="318">
        <f>G839</f>
        <v>0</v>
      </c>
      <c r="H838" s="318">
        <f>H839</f>
        <v>0</v>
      </c>
      <c r="I838" s="334"/>
      <c r="J838" s="321"/>
    </row>
    <row r="839" spans="1:10" ht="15.75" hidden="1" x14ac:dyDescent="0.25">
      <c r="A839" s="399" t="s">
        <v>280</v>
      </c>
      <c r="B839" s="455">
        <v>906</v>
      </c>
      <c r="C839" s="402" t="s">
        <v>187</v>
      </c>
      <c r="D839" s="402" t="s">
        <v>161</v>
      </c>
      <c r="E839" s="402" t="s">
        <v>486</v>
      </c>
      <c r="F839" s="402" t="s">
        <v>130</v>
      </c>
      <c r="G839" s="318"/>
      <c r="H839" s="318"/>
      <c r="I839" s="334"/>
      <c r="J839" s="321"/>
    </row>
    <row r="840" spans="1:10" ht="31.5" hidden="1" x14ac:dyDescent="0.25">
      <c r="A840" s="399" t="s">
        <v>416</v>
      </c>
      <c r="B840" s="455">
        <v>906</v>
      </c>
      <c r="C840" s="402" t="s">
        <v>187</v>
      </c>
      <c r="D840" s="402" t="s">
        <v>161</v>
      </c>
      <c r="E840" s="402" t="s">
        <v>487</v>
      </c>
      <c r="F840" s="402"/>
      <c r="G840" s="318">
        <f>G841</f>
        <v>0</v>
      </c>
      <c r="H840" s="318">
        <f>H841</f>
        <v>0</v>
      </c>
      <c r="I840" s="334"/>
      <c r="J840" s="321"/>
    </row>
    <row r="841" spans="1:10" ht="63" hidden="1" x14ac:dyDescent="0.25">
      <c r="A841" s="399" t="s">
        <v>119</v>
      </c>
      <c r="B841" s="455">
        <v>906</v>
      </c>
      <c r="C841" s="402" t="s">
        <v>187</v>
      </c>
      <c r="D841" s="402" t="s">
        <v>161</v>
      </c>
      <c r="E841" s="402" t="s">
        <v>487</v>
      </c>
      <c r="F841" s="402" t="s">
        <v>120</v>
      </c>
      <c r="G841" s="318">
        <f>G842</f>
        <v>0</v>
      </c>
      <c r="H841" s="318">
        <f>H842</f>
        <v>0</v>
      </c>
      <c r="I841" s="334"/>
      <c r="J841" s="321"/>
    </row>
    <row r="842" spans="1:10" ht="15.75" hidden="1" x14ac:dyDescent="0.25">
      <c r="A842" s="399" t="s">
        <v>212</v>
      </c>
      <c r="B842" s="455">
        <v>906</v>
      </c>
      <c r="C842" s="402" t="s">
        <v>187</v>
      </c>
      <c r="D842" s="402" t="s">
        <v>161</v>
      </c>
      <c r="E842" s="402" t="s">
        <v>487</v>
      </c>
      <c r="F842" s="402" t="s">
        <v>156</v>
      </c>
      <c r="G842" s="318"/>
      <c r="H842" s="318"/>
      <c r="I842" s="334"/>
      <c r="J842" s="321"/>
    </row>
    <row r="843" spans="1:10" ht="36.75" customHeight="1" x14ac:dyDescent="0.25">
      <c r="A843" s="454" t="s">
        <v>248</v>
      </c>
      <c r="B843" s="454">
        <v>907</v>
      </c>
      <c r="C843" s="402"/>
      <c r="D843" s="402"/>
      <c r="E843" s="402"/>
      <c r="F843" s="402"/>
      <c r="G843" s="314">
        <f>G851+G844</f>
        <v>70328.3</v>
      </c>
      <c r="H843" s="314">
        <f>H851+H844</f>
        <v>70428.3</v>
      </c>
      <c r="I843" s="334"/>
      <c r="J843" s="321"/>
    </row>
    <row r="844" spans="1:10" ht="18.75" customHeight="1" x14ac:dyDescent="0.25">
      <c r="A844" s="417" t="s">
        <v>115</v>
      </c>
      <c r="B844" s="454">
        <v>907</v>
      </c>
      <c r="C844" s="414" t="s">
        <v>116</v>
      </c>
      <c r="D844" s="414"/>
      <c r="E844" s="414"/>
      <c r="F844" s="414"/>
      <c r="G844" s="314">
        <f t="shared" ref="G844:H849" si="71">G845</f>
        <v>0</v>
      </c>
      <c r="H844" s="314">
        <f t="shared" si="71"/>
        <v>100</v>
      </c>
      <c r="I844" s="334"/>
      <c r="J844" s="321"/>
    </row>
    <row r="845" spans="1:10" ht="21.75" customHeight="1" x14ac:dyDescent="0.25">
      <c r="A845" s="413" t="s">
        <v>131</v>
      </c>
      <c r="B845" s="454">
        <v>907</v>
      </c>
      <c r="C845" s="414" t="s">
        <v>116</v>
      </c>
      <c r="D845" s="414" t="s">
        <v>132</v>
      </c>
      <c r="E845" s="414"/>
      <c r="F845" s="414"/>
      <c r="G845" s="314">
        <f t="shared" si="71"/>
        <v>0</v>
      </c>
      <c r="H845" s="314">
        <f t="shared" si="71"/>
        <v>100</v>
      </c>
      <c r="I845" s="334"/>
      <c r="J845" s="321"/>
    </row>
    <row r="846" spans="1:10" ht="36.75" customHeight="1" x14ac:dyDescent="0.25">
      <c r="A846" s="417" t="s">
        <v>861</v>
      </c>
      <c r="B846" s="454">
        <v>907</v>
      </c>
      <c r="C846" s="414" t="s">
        <v>116</v>
      </c>
      <c r="D846" s="414" t="s">
        <v>132</v>
      </c>
      <c r="E846" s="414" t="s">
        <v>209</v>
      </c>
      <c r="F846" s="414"/>
      <c r="G846" s="314">
        <f t="shared" si="71"/>
        <v>0</v>
      </c>
      <c r="H846" s="314">
        <f t="shared" si="71"/>
        <v>100</v>
      </c>
      <c r="I846" s="334"/>
      <c r="J846" s="321"/>
    </row>
    <row r="847" spans="1:10" ht="36.75" customHeight="1" x14ac:dyDescent="0.25">
      <c r="A847" s="471" t="s">
        <v>610</v>
      </c>
      <c r="B847" s="454">
        <v>907</v>
      </c>
      <c r="C847" s="414" t="s">
        <v>116</v>
      </c>
      <c r="D847" s="414" t="s">
        <v>132</v>
      </c>
      <c r="E847" s="414" t="s">
        <v>611</v>
      </c>
      <c r="F847" s="414"/>
      <c r="G847" s="314">
        <f t="shared" si="71"/>
        <v>0</v>
      </c>
      <c r="H847" s="314">
        <f t="shared" si="71"/>
        <v>100</v>
      </c>
      <c r="I847" s="334"/>
      <c r="J847" s="321"/>
    </row>
    <row r="848" spans="1:10" ht="29.85" customHeight="1" x14ac:dyDescent="0.25">
      <c r="A848" s="472" t="s">
        <v>210</v>
      </c>
      <c r="B848" s="455">
        <v>907</v>
      </c>
      <c r="C848" s="402" t="s">
        <v>116</v>
      </c>
      <c r="D848" s="402" t="s">
        <v>132</v>
      </c>
      <c r="E848" s="402" t="s">
        <v>612</v>
      </c>
      <c r="F848" s="402"/>
      <c r="G848" s="318">
        <f t="shared" si="71"/>
        <v>0</v>
      </c>
      <c r="H848" s="318">
        <f t="shared" si="71"/>
        <v>100</v>
      </c>
      <c r="I848" s="334"/>
      <c r="J848" s="321"/>
    </row>
    <row r="849" spans="1:10" ht="29.85" customHeight="1" x14ac:dyDescent="0.25">
      <c r="A849" s="399" t="s">
        <v>123</v>
      </c>
      <c r="B849" s="455">
        <v>907</v>
      </c>
      <c r="C849" s="402" t="s">
        <v>116</v>
      </c>
      <c r="D849" s="402" t="s">
        <v>132</v>
      </c>
      <c r="E849" s="402" t="s">
        <v>612</v>
      </c>
      <c r="F849" s="402" t="s">
        <v>124</v>
      </c>
      <c r="G849" s="318">
        <f t="shared" si="71"/>
        <v>0</v>
      </c>
      <c r="H849" s="318">
        <f t="shared" si="71"/>
        <v>100</v>
      </c>
      <c r="I849" s="334"/>
      <c r="J849" s="321"/>
    </row>
    <row r="850" spans="1:10" ht="36.75" customHeight="1" x14ac:dyDescent="0.25">
      <c r="A850" s="399" t="s">
        <v>125</v>
      </c>
      <c r="B850" s="455">
        <v>907</v>
      </c>
      <c r="C850" s="402" t="s">
        <v>116</v>
      </c>
      <c r="D850" s="402" t="s">
        <v>132</v>
      </c>
      <c r="E850" s="402" t="s">
        <v>612</v>
      </c>
      <c r="F850" s="402" t="s">
        <v>126</v>
      </c>
      <c r="G850" s="318">
        <v>0</v>
      </c>
      <c r="H850" s="318">
        <v>100</v>
      </c>
      <c r="I850" s="334"/>
      <c r="J850" s="321"/>
    </row>
    <row r="851" spans="1:10" ht="15.75" x14ac:dyDescent="0.25">
      <c r="A851" s="417" t="s">
        <v>250</v>
      </c>
      <c r="B851" s="454">
        <v>907</v>
      </c>
      <c r="C851" s="414" t="s">
        <v>251</v>
      </c>
      <c r="D851" s="402"/>
      <c r="E851" s="402"/>
      <c r="F851" s="402"/>
      <c r="G851" s="314">
        <f>G852+G899</f>
        <v>70328.3</v>
      </c>
      <c r="H851" s="314">
        <f>H852+H899</f>
        <v>70328.3</v>
      </c>
      <c r="I851" s="334"/>
      <c r="J851" s="321"/>
    </row>
    <row r="852" spans="1:10" ht="15.75" x14ac:dyDescent="0.25">
      <c r="A852" s="417" t="s">
        <v>252</v>
      </c>
      <c r="B852" s="454">
        <v>907</v>
      </c>
      <c r="C852" s="414" t="s">
        <v>251</v>
      </c>
      <c r="D852" s="414" t="s">
        <v>116</v>
      </c>
      <c r="E852" s="402"/>
      <c r="F852" s="402"/>
      <c r="G852" s="314">
        <f>G853+G894</f>
        <v>56655.199999999997</v>
      </c>
      <c r="H852" s="314">
        <f>H853+H894</f>
        <v>56655.199999999997</v>
      </c>
      <c r="I852" s="334"/>
      <c r="J852" s="321"/>
    </row>
    <row r="853" spans="1:10" ht="31.5" x14ac:dyDescent="0.25">
      <c r="A853" s="417" t="s">
        <v>862</v>
      </c>
      <c r="B853" s="454">
        <v>907</v>
      </c>
      <c r="C853" s="414" t="s">
        <v>251</v>
      </c>
      <c r="D853" s="414" t="s">
        <v>116</v>
      </c>
      <c r="E853" s="414" t="s">
        <v>249</v>
      </c>
      <c r="F853" s="414"/>
      <c r="G853" s="314">
        <f>G854+G858+G871+G878+G890+G882+G886</f>
        <v>56076.1</v>
      </c>
      <c r="H853" s="314">
        <f>H854+H858+H871+H878+H890+H882+H886</f>
        <v>56076.1</v>
      </c>
      <c r="I853" s="334"/>
      <c r="J853" s="321"/>
    </row>
    <row r="854" spans="1:10" ht="31.5" x14ac:dyDescent="0.25">
      <c r="A854" s="417" t="s">
        <v>507</v>
      </c>
      <c r="B854" s="454">
        <v>907</v>
      </c>
      <c r="C854" s="414" t="s">
        <v>251</v>
      </c>
      <c r="D854" s="414" t="s">
        <v>116</v>
      </c>
      <c r="E854" s="414" t="s">
        <v>790</v>
      </c>
      <c r="F854" s="414"/>
      <c r="G854" s="314">
        <f t="shared" ref="G854:H856" si="72">G855</f>
        <v>53866.2</v>
      </c>
      <c r="H854" s="314">
        <f t="shared" si="72"/>
        <v>53866.2</v>
      </c>
      <c r="I854" s="334"/>
      <c r="J854" s="321"/>
    </row>
    <row r="855" spans="1:10" ht="31.5" x14ac:dyDescent="0.25">
      <c r="A855" s="399" t="s">
        <v>253</v>
      </c>
      <c r="B855" s="455">
        <v>907</v>
      </c>
      <c r="C855" s="402" t="s">
        <v>251</v>
      </c>
      <c r="D855" s="402" t="s">
        <v>116</v>
      </c>
      <c r="E855" s="402" t="s">
        <v>791</v>
      </c>
      <c r="F855" s="402"/>
      <c r="G855" s="318">
        <f t="shared" si="72"/>
        <v>53866.2</v>
      </c>
      <c r="H855" s="318">
        <f t="shared" si="72"/>
        <v>53866.2</v>
      </c>
      <c r="I855" s="334"/>
      <c r="J855" s="321"/>
    </row>
    <row r="856" spans="1:10" ht="36" customHeight="1" x14ac:dyDescent="0.25">
      <c r="A856" s="399" t="s">
        <v>191</v>
      </c>
      <c r="B856" s="455">
        <v>907</v>
      </c>
      <c r="C856" s="402" t="s">
        <v>251</v>
      </c>
      <c r="D856" s="402" t="s">
        <v>116</v>
      </c>
      <c r="E856" s="402" t="s">
        <v>791</v>
      </c>
      <c r="F856" s="402" t="s">
        <v>192</v>
      </c>
      <c r="G856" s="318">
        <f t="shared" si="72"/>
        <v>53866.2</v>
      </c>
      <c r="H856" s="318">
        <f t="shared" si="72"/>
        <v>53866.2</v>
      </c>
      <c r="I856" s="334"/>
      <c r="J856" s="321"/>
    </row>
    <row r="857" spans="1:10" ht="15.75" x14ac:dyDescent="0.25">
      <c r="A857" s="399" t="s">
        <v>193</v>
      </c>
      <c r="B857" s="455">
        <v>907</v>
      </c>
      <c r="C857" s="402" t="s">
        <v>251</v>
      </c>
      <c r="D857" s="402" t="s">
        <v>116</v>
      </c>
      <c r="E857" s="402" t="s">
        <v>791</v>
      </c>
      <c r="F857" s="402" t="s">
        <v>194</v>
      </c>
      <c r="G857" s="20">
        <f>56866.2-1000-2000</f>
        <v>53866.2</v>
      </c>
      <c r="H857" s="20">
        <f>G857</f>
        <v>53866.2</v>
      </c>
      <c r="I857" s="334"/>
      <c r="J857" s="321"/>
    </row>
    <row r="858" spans="1:10" ht="15.75" x14ac:dyDescent="0.25">
      <c r="A858" s="417" t="s">
        <v>513</v>
      </c>
      <c r="B858" s="454">
        <v>907</v>
      </c>
      <c r="C858" s="414" t="s">
        <v>251</v>
      </c>
      <c r="D858" s="414" t="s">
        <v>116</v>
      </c>
      <c r="E858" s="414" t="s">
        <v>792</v>
      </c>
      <c r="F858" s="414"/>
      <c r="G858" s="30">
        <f>G859+G862+G865+G868</f>
        <v>36</v>
      </c>
      <c r="H858" s="30">
        <f>H859+H862+H865+H868</f>
        <v>36</v>
      </c>
      <c r="I858" s="334"/>
      <c r="J858" s="321"/>
    </row>
    <row r="859" spans="1:10" ht="31.7" hidden="1" customHeight="1" x14ac:dyDescent="0.25">
      <c r="A859" s="399" t="s">
        <v>195</v>
      </c>
      <c r="B859" s="455">
        <v>907</v>
      </c>
      <c r="C859" s="402" t="s">
        <v>251</v>
      </c>
      <c r="D859" s="402" t="s">
        <v>116</v>
      </c>
      <c r="E859" s="402" t="s">
        <v>831</v>
      </c>
      <c r="F859" s="402"/>
      <c r="G859" s="318">
        <f>G860</f>
        <v>0</v>
      </c>
      <c r="H859" s="318">
        <f>H860</f>
        <v>0</v>
      </c>
      <c r="I859" s="334"/>
      <c r="J859" s="321"/>
    </row>
    <row r="860" spans="1:10" ht="31.7" hidden="1" customHeight="1" x14ac:dyDescent="0.25">
      <c r="A860" s="399" t="s">
        <v>191</v>
      </c>
      <c r="B860" s="455">
        <v>907</v>
      </c>
      <c r="C860" s="402" t="s">
        <v>251</v>
      </c>
      <c r="D860" s="402" t="s">
        <v>116</v>
      </c>
      <c r="E860" s="402" t="s">
        <v>831</v>
      </c>
      <c r="F860" s="402" t="s">
        <v>192</v>
      </c>
      <c r="G860" s="318">
        <f>G861</f>
        <v>0</v>
      </c>
      <c r="H860" s="318">
        <f>H861</f>
        <v>0</v>
      </c>
      <c r="I860" s="334"/>
      <c r="J860" s="321"/>
    </row>
    <row r="861" spans="1:10" ht="15.6" hidden="1" customHeight="1" x14ac:dyDescent="0.25">
      <c r="A861" s="399" t="s">
        <v>193</v>
      </c>
      <c r="B861" s="455">
        <v>907</v>
      </c>
      <c r="C861" s="402" t="s">
        <v>251</v>
      </c>
      <c r="D861" s="402" t="s">
        <v>116</v>
      </c>
      <c r="E861" s="402" t="s">
        <v>831</v>
      </c>
      <c r="F861" s="402" t="s">
        <v>194</v>
      </c>
      <c r="G861" s="318"/>
      <c r="H861" s="318"/>
      <c r="I861" s="334"/>
      <c r="J861" s="321"/>
    </row>
    <row r="862" spans="1:10" ht="33" hidden="1" customHeight="1" x14ac:dyDescent="0.25">
      <c r="A862" s="399" t="s">
        <v>196</v>
      </c>
      <c r="B862" s="455">
        <v>907</v>
      </c>
      <c r="C862" s="402" t="s">
        <v>251</v>
      </c>
      <c r="D862" s="402" t="s">
        <v>116</v>
      </c>
      <c r="E862" s="402" t="s">
        <v>832</v>
      </c>
      <c r="F862" s="402"/>
      <c r="G862" s="318">
        <f>G863</f>
        <v>0</v>
      </c>
      <c r="H862" s="318">
        <f>H863</f>
        <v>0</v>
      </c>
      <c r="I862" s="334"/>
      <c r="J862" s="321"/>
    </row>
    <row r="863" spans="1:10" ht="37.5" hidden="1" customHeight="1" x14ac:dyDescent="0.25">
      <c r="A863" s="399" t="s">
        <v>191</v>
      </c>
      <c r="B863" s="455">
        <v>907</v>
      </c>
      <c r="C863" s="402" t="s">
        <v>251</v>
      </c>
      <c r="D863" s="402" t="s">
        <v>116</v>
      </c>
      <c r="E863" s="402" t="s">
        <v>832</v>
      </c>
      <c r="F863" s="402" t="s">
        <v>192</v>
      </c>
      <c r="G863" s="318">
        <f>G864</f>
        <v>0</v>
      </c>
      <c r="H863" s="318">
        <f>H864</f>
        <v>0</v>
      </c>
      <c r="I863" s="334"/>
      <c r="J863" s="321"/>
    </row>
    <row r="864" spans="1:10" ht="15.75" hidden="1" customHeight="1" x14ac:dyDescent="0.25">
      <c r="A864" s="399" t="s">
        <v>193</v>
      </c>
      <c r="B864" s="455">
        <v>907</v>
      </c>
      <c r="C864" s="402" t="s">
        <v>251</v>
      </c>
      <c r="D864" s="402" t="s">
        <v>116</v>
      </c>
      <c r="E864" s="402" t="s">
        <v>832</v>
      </c>
      <c r="F864" s="402" t="s">
        <v>194</v>
      </c>
      <c r="G864" s="318"/>
      <c r="H864" s="318"/>
      <c r="I864" s="334"/>
      <c r="J864" s="321"/>
    </row>
    <row r="865" spans="1:10" ht="15.75" customHeight="1" x14ac:dyDescent="0.25">
      <c r="A865" s="399" t="s">
        <v>407</v>
      </c>
      <c r="B865" s="455">
        <v>907</v>
      </c>
      <c r="C865" s="402" t="s">
        <v>251</v>
      </c>
      <c r="D865" s="402" t="s">
        <v>116</v>
      </c>
      <c r="E865" s="402" t="s">
        <v>793</v>
      </c>
      <c r="F865" s="402"/>
      <c r="G865" s="318">
        <f>G866</f>
        <v>36</v>
      </c>
      <c r="H865" s="318">
        <f>H866</f>
        <v>36</v>
      </c>
      <c r="I865" s="334"/>
      <c r="J865" s="321"/>
    </row>
    <row r="866" spans="1:10" ht="41.25" customHeight="1" x14ac:dyDescent="0.25">
      <c r="A866" s="399" t="s">
        <v>191</v>
      </c>
      <c r="B866" s="455">
        <v>907</v>
      </c>
      <c r="C866" s="402" t="s">
        <v>251</v>
      </c>
      <c r="D866" s="402" t="s">
        <v>116</v>
      </c>
      <c r="E866" s="402" t="s">
        <v>793</v>
      </c>
      <c r="F866" s="402" t="s">
        <v>192</v>
      </c>
      <c r="G866" s="318">
        <f>G867</f>
        <v>36</v>
      </c>
      <c r="H866" s="318">
        <f>H867</f>
        <v>36</v>
      </c>
      <c r="I866" s="334"/>
      <c r="J866" s="321"/>
    </row>
    <row r="867" spans="1:10" ht="15.75" customHeight="1" x14ac:dyDescent="0.25">
      <c r="A867" s="399" t="s">
        <v>193</v>
      </c>
      <c r="B867" s="455">
        <v>907</v>
      </c>
      <c r="C867" s="402" t="s">
        <v>251</v>
      </c>
      <c r="D867" s="402" t="s">
        <v>116</v>
      </c>
      <c r="E867" s="402" t="s">
        <v>793</v>
      </c>
      <c r="F867" s="402" t="s">
        <v>194</v>
      </c>
      <c r="G867" s="318">
        <v>36</v>
      </c>
      <c r="H867" s="318">
        <v>36</v>
      </c>
      <c r="I867" s="334"/>
      <c r="J867" s="321"/>
    </row>
    <row r="868" spans="1:10" ht="33.75" hidden="1" customHeight="1" x14ac:dyDescent="0.25">
      <c r="A868" s="399" t="s">
        <v>199</v>
      </c>
      <c r="B868" s="455">
        <v>907</v>
      </c>
      <c r="C868" s="402" t="s">
        <v>251</v>
      </c>
      <c r="D868" s="402" t="s">
        <v>116</v>
      </c>
      <c r="E868" s="402" t="s">
        <v>1079</v>
      </c>
      <c r="F868" s="402"/>
      <c r="G868" s="318">
        <f>G870</f>
        <v>0</v>
      </c>
      <c r="H868" s="318">
        <f>H870</f>
        <v>0</v>
      </c>
      <c r="I868" s="334"/>
      <c r="J868" s="321"/>
    </row>
    <row r="869" spans="1:10" ht="15.75" hidden="1" customHeight="1" x14ac:dyDescent="0.25">
      <c r="A869" s="399" t="s">
        <v>191</v>
      </c>
      <c r="B869" s="455">
        <v>907</v>
      </c>
      <c r="C869" s="402" t="s">
        <v>251</v>
      </c>
      <c r="D869" s="402" t="s">
        <v>116</v>
      </c>
      <c r="E869" s="402" t="s">
        <v>1079</v>
      </c>
      <c r="F869" s="402" t="s">
        <v>192</v>
      </c>
      <c r="G869" s="318">
        <f>G870</f>
        <v>0</v>
      </c>
      <c r="H869" s="318">
        <f>H870</f>
        <v>0</v>
      </c>
      <c r="I869" s="334"/>
      <c r="J869" s="321"/>
    </row>
    <row r="870" spans="1:10" ht="15.75" hidden="1" customHeight="1" x14ac:dyDescent="0.25">
      <c r="A870" s="399" t="s">
        <v>193</v>
      </c>
      <c r="B870" s="455">
        <v>907</v>
      </c>
      <c r="C870" s="402" t="s">
        <v>251</v>
      </c>
      <c r="D870" s="402" t="s">
        <v>116</v>
      </c>
      <c r="E870" s="402" t="s">
        <v>1079</v>
      </c>
      <c r="F870" s="402" t="s">
        <v>194</v>
      </c>
      <c r="G870" s="318"/>
      <c r="H870" s="318"/>
      <c r="I870" s="334"/>
      <c r="J870" s="321"/>
    </row>
    <row r="871" spans="1:10" ht="35.450000000000003" customHeight="1" x14ac:dyDescent="0.25">
      <c r="A871" s="417" t="s">
        <v>514</v>
      </c>
      <c r="B871" s="454">
        <v>907</v>
      </c>
      <c r="C871" s="414" t="s">
        <v>251</v>
      </c>
      <c r="D871" s="414" t="s">
        <v>116</v>
      </c>
      <c r="E871" s="414" t="s">
        <v>794</v>
      </c>
      <c r="F871" s="414"/>
      <c r="G871" s="314">
        <f>G872+G875</f>
        <v>1290</v>
      </c>
      <c r="H871" s="314">
        <f>H872+H875</f>
        <v>1290</v>
      </c>
      <c r="I871" s="334"/>
      <c r="J871" s="321"/>
    </row>
    <row r="872" spans="1:10" ht="33.75" hidden="1" customHeight="1" x14ac:dyDescent="0.25">
      <c r="A872" s="399" t="s">
        <v>369</v>
      </c>
      <c r="B872" s="455">
        <v>907</v>
      </c>
      <c r="C872" s="402" t="s">
        <v>251</v>
      </c>
      <c r="D872" s="402" t="s">
        <v>116</v>
      </c>
      <c r="E872" s="402" t="s">
        <v>819</v>
      </c>
      <c r="F872" s="402"/>
      <c r="G872" s="318">
        <f>G873</f>
        <v>0</v>
      </c>
      <c r="H872" s="318">
        <f>H873</f>
        <v>0</v>
      </c>
      <c r="I872" s="334"/>
      <c r="J872" s="321"/>
    </row>
    <row r="873" spans="1:10" ht="31.5" hidden="1" x14ac:dyDescent="0.25">
      <c r="A873" s="399" t="s">
        <v>191</v>
      </c>
      <c r="B873" s="455">
        <v>907</v>
      </c>
      <c r="C873" s="402" t="s">
        <v>251</v>
      </c>
      <c r="D873" s="402" t="s">
        <v>116</v>
      </c>
      <c r="E873" s="402" t="s">
        <v>819</v>
      </c>
      <c r="F873" s="402" t="s">
        <v>192</v>
      </c>
      <c r="G873" s="318">
        <f>G874</f>
        <v>0</v>
      </c>
      <c r="H873" s="318">
        <f>H874</f>
        <v>0</v>
      </c>
      <c r="I873" s="334"/>
      <c r="J873" s="321"/>
    </row>
    <row r="874" spans="1:10" ht="15.75" hidden="1" customHeight="1" x14ac:dyDescent="0.25">
      <c r="A874" s="399" t="s">
        <v>193</v>
      </c>
      <c r="B874" s="455">
        <v>907</v>
      </c>
      <c r="C874" s="402" t="s">
        <v>251</v>
      </c>
      <c r="D874" s="402" t="s">
        <v>116</v>
      </c>
      <c r="E874" s="402" t="s">
        <v>819</v>
      </c>
      <c r="F874" s="402" t="s">
        <v>194</v>
      </c>
      <c r="G874" s="318"/>
      <c r="H874" s="318"/>
      <c r="I874" s="334"/>
      <c r="J874" s="321"/>
    </row>
    <row r="875" spans="1:10" ht="34.5" customHeight="1" x14ac:dyDescent="0.25">
      <c r="A875" s="406" t="s">
        <v>344</v>
      </c>
      <c r="B875" s="455">
        <v>907</v>
      </c>
      <c r="C875" s="402" t="s">
        <v>251</v>
      </c>
      <c r="D875" s="402" t="s">
        <v>116</v>
      </c>
      <c r="E875" s="402" t="s">
        <v>795</v>
      </c>
      <c r="F875" s="402"/>
      <c r="G875" s="318">
        <f>G876</f>
        <v>1290</v>
      </c>
      <c r="H875" s="318">
        <f>H876</f>
        <v>1290</v>
      </c>
      <c r="I875" s="334"/>
      <c r="J875" s="321"/>
    </row>
    <row r="876" spans="1:10" ht="33" customHeight="1" x14ac:dyDescent="0.25">
      <c r="A876" s="401" t="s">
        <v>191</v>
      </c>
      <c r="B876" s="455">
        <v>907</v>
      </c>
      <c r="C876" s="402" t="s">
        <v>251</v>
      </c>
      <c r="D876" s="402" t="s">
        <v>116</v>
      </c>
      <c r="E876" s="402" t="s">
        <v>795</v>
      </c>
      <c r="F876" s="402" t="s">
        <v>192</v>
      </c>
      <c r="G876" s="318">
        <f>G877</f>
        <v>1290</v>
      </c>
      <c r="H876" s="318">
        <f>H877</f>
        <v>1290</v>
      </c>
      <c r="I876" s="334"/>
      <c r="J876" s="321"/>
    </row>
    <row r="877" spans="1:10" ht="15.75" customHeight="1" x14ac:dyDescent="0.25">
      <c r="A877" s="401" t="s">
        <v>193</v>
      </c>
      <c r="B877" s="455">
        <v>907</v>
      </c>
      <c r="C877" s="402" t="s">
        <v>251</v>
      </c>
      <c r="D877" s="402" t="s">
        <v>116</v>
      </c>
      <c r="E877" s="402" t="s">
        <v>795</v>
      </c>
      <c r="F877" s="402" t="s">
        <v>194</v>
      </c>
      <c r="G877" s="318">
        <f>1204+86</f>
        <v>1290</v>
      </c>
      <c r="H877" s="318">
        <f>1204+86</f>
        <v>1290</v>
      </c>
      <c r="I877" s="334"/>
      <c r="J877" s="321"/>
    </row>
    <row r="878" spans="1:10" ht="40.700000000000003" customHeight="1" x14ac:dyDescent="0.25">
      <c r="A878" s="417" t="s">
        <v>471</v>
      </c>
      <c r="B878" s="454">
        <v>907</v>
      </c>
      <c r="C878" s="414" t="s">
        <v>251</v>
      </c>
      <c r="D878" s="414" t="s">
        <v>116</v>
      </c>
      <c r="E878" s="414" t="s">
        <v>796</v>
      </c>
      <c r="F878" s="414"/>
      <c r="G878" s="314">
        <f t="shared" ref="G878:H880" si="73">G879</f>
        <v>883.9</v>
      </c>
      <c r="H878" s="314">
        <f t="shared" si="73"/>
        <v>883.9</v>
      </c>
      <c r="I878" s="334"/>
      <c r="J878" s="321"/>
    </row>
    <row r="879" spans="1:10" ht="78.75" x14ac:dyDescent="0.25">
      <c r="A879" s="401" t="s">
        <v>245</v>
      </c>
      <c r="B879" s="455">
        <v>907</v>
      </c>
      <c r="C879" s="402" t="s">
        <v>251</v>
      </c>
      <c r="D879" s="402" t="s">
        <v>116</v>
      </c>
      <c r="E879" s="402" t="s">
        <v>896</v>
      </c>
      <c r="F879" s="402"/>
      <c r="G879" s="318">
        <f t="shared" si="73"/>
        <v>883.9</v>
      </c>
      <c r="H879" s="318">
        <f t="shared" si="73"/>
        <v>883.9</v>
      </c>
      <c r="I879" s="334"/>
      <c r="J879" s="321"/>
    </row>
    <row r="880" spans="1:10" ht="31.5" x14ac:dyDescent="0.25">
      <c r="A880" s="399" t="s">
        <v>191</v>
      </c>
      <c r="B880" s="455">
        <v>907</v>
      </c>
      <c r="C880" s="402" t="s">
        <v>251</v>
      </c>
      <c r="D880" s="402" t="s">
        <v>116</v>
      </c>
      <c r="E880" s="402" t="s">
        <v>896</v>
      </c>
      <c r="F880" s="402" t="s">
        <v>192</v>
      </c>
      <c r="G880" s="318">
        <f t="shared" si="73"/>
        <v>883.9</v>
      </c>
      <c r="H880" s="318">
        <f t="shared" si="73"/>
        <v>883.9</v>
      </c>
      <c r="I880" s="334"/>
      <c r="J880" s="321"/>
    </row>
    <row r="881" spans="1:12" ht="15.75" x14ac:dyDescent="0.25">
      <c r="A881" s="399" t="s">
        <v>193</v>
      </c>
      <c r="B881" s="455">
        <v>907</v>
      </c>
      <c r="C881" s="402" t="s">
        <v>251</v>
      </c>
      <c r="D881" s="402" t="s">
        <v>116</v>
      </c>
      <c r="E881" s="402" t="s">
        <v>896</v>
      </c>
      <c r="F881" s="402" t="s">
        <v>194</v>
      </c>
      <c r="G881" s="318">
        <v>883.9</v>
      </c>
      <c r="H881" s="318">
        <v>883.9</v>
      </c>
      <c r="I881" s="334"/>
      <c r="J881" s="321"/>
    </row>
    <row r="882" spans="1:12" ht="47.25" hidden="1" customHeight="1" x14ac:dyDescent="0.25">
      <c r="A882" s="417" t="s">
        <v>1060</v>
      </c>
      <c r="B882" s="454">
        <v>907</v>
      </c>
      <c r="C882" s="414" t="s">
        <v>251</v>
      </c>
      <c r="D882" s="414" t="s">
        <v>116</v>
      </c>
      <c r="E882" s="414" t="s">
        <v>1058</v>
      </c>
      <c r="F882" s="414"/>
      <c r="G882" s="314">
        <f t="shared" ref="G882:H883" si="74">G883</f>
        <v>0</v>
      </c>
      <c r="H882" s="314">
        <f t="shared" si="74"/>
        <v>0</v>
      </c>
      <c r="I882" s="334"/>
      <c r="J882" s="321"/>
    </row>
    <row r="883" spans="1:12" ht="31.5" hidden="1" x14ac:dyDescent="0.25">
      <c r="A883" s="401" t="s">
        <v>1061</v>
      </c>
      <c r="B883" s="455">
        <v>907</v>
      </c>
      <c r="C883" s="402" t="s">
        <v>251</v>
      </c>
      <c r="D883" s="402" t="s">
        <v>116</v>
      </c>
      <c r="E883" s="402" t="s">
        <v>1059</v>
      </c>
      <c r="F883" s="402"/>
      <c r="G883" s="318">
        <f t="shared" si="74"/>
        <v>0</v>
      </c>
      <c r="H883" s="318">
        <f t="shared" si="74"/>
        <v>0</v>
      </c>
      <c r="I883" s="334"/>
      <c r="J883" s="321"/>
    </row>
    <row r="884" spans="1:12" ht="31.5" hidden="1" x14ac:dyDescent="0.25">
      <c r="A884" s="399" t="s">
        <v>191</v>
      </c>
      <c r="B884" s="455">
        <v>907</v>
      </c>
      <c r="C884" s="402" t="s">
        <v>251</v>
      </c>
      <c r="D884" s="402" t="s">
        <v>116</v>
      </c>
      <c r="E884" s="402" t="s">
        <v>1059</v>
      </c>
      <c r="F884" s="402" t="s">
        <v>192</v>
      </c>
      <c r="G884" s="318">
        <f>G885</f>
        <v>0</v>
      </c>
      <c r="H884" s="318">
        <f>H885</f>
        <v>0</v>
      </c>
      <c r="I884" s="334"/>
      <c r="J884" s="321"/>
    </row>
    <row r="885" spans="1:12" ht="15.75" hidden="1" x14ac:dyDescent="0.25">
      <c r="A885" s="399" t="s">
        <v>193</v>
      </c>
      <c r="B885" s="455">
        <v>907</v>
      </c>
      <c r="C885" s="402" t="s">
        <v>251</v>
      </c>
      <c r="D885" s="402" t="s">
        <v>116</v>
      </c>
      <c r="E885" s="402" t="s">
        <v>1059</v>
      </c>
      <c r="F885" s="402" t="s">
        <v>194</v>
      </c>
      <c r="G885" s="318"/>
      <c r="H885" s="318"/>
      <c r="I885" s="334"/>
      <c r="J885" s="321"/>
    </row>
    <row r="886" spans="1:12" ht="31.5" hidden="1" x14ac:dyDescent="0.25">
      <c r="A886" s="463" t="s">
        <v>1122</v>
      </c>
      <c r="B886" s="454">
        <v>907</v>
      </c>
      <c r="C886" s="414" t="s">
        <v>251</v>
      </c>
      <c r="D886" s="414" t="s">
        <v>116</v>
      </c>
      <c r="E886" s="414" t="s">
        <v>1123</v>
      </c>
      <c r="F886" s="414"/>
      <c r="G886" s="314">
        <f t="shared" ref="G886:H888" si="75">G887</f>
        <v>0</v>
      </c>
      <c r="H886" s="314">
        <f t="shared" si="75"/>
        <v>0</v>
      </c>
      <c r="I886" s="334"/>
      <c r="J886" s="321"/>
    </row>
    <row r="887" spans="1:12" ht="31.5" hidden="1" x14ac:dyDescent="0.25">
      <c r="A887" s="459" t="s">
        <v>1125</v>
      </c>
      <c r="B887" s="455">
        <v>907</v>
      </c>
      <c r="C887" s="402" t="s">
        <v>251</v>
      </c>
      <c r="D887" s="402" t="s">
        <v>116</v>
      </c>
      <c r="E887" s="402" t="s">
        <v>1124</v>
      </c>
      <c r="F887" s="402"/>
      <c r="G887" s="318">
        <f t="shared" si="75"/>
        <v>0</v>
      </c>
      <c r="H887" s="318">
        <f t="shared" si="75"/>
        <v>0</v>
      </c>
      <c r="I887" s="334"/>
      <c r="J887" s="321"/>
    </row>
    <row r="888" spans="1:12" ht="31.5" hidden="1" x14ac:dyDescent="0.25">
      <c r="A888" s="399" t="s">
        <v>191</v>
      </c>
      <c r="B888" s="455">
        <v>907</v>
      </c>
      <c r="C888" s="402" t="s">
        <v>251</v>
      </c>
      <c r="D888" s="402" t="s">
        <v>116</v>
      </c>
      <c r="E888" s="402" t="s">
        <v>1124</v>
      </c>
      <c r="F888" s="402" t="s">
        <v>192</v>
      </c>
      <c r="G888" s="318">
        <f t="shared" si="75"/>
        <v>0</v>
      </c>
      <c r="H888" s="318">
        <f t="shared" si="75"/>
        <v>0</v>
      </c>
      <c r="I888" s="334"/>
      <c r="J888" s="321"/>
    </row>
    <row r="889" spans="1:12" ht="15.75" hidden="1" x14ac:dyDescent="0.25">
      <c r="A889" s="399" t="s">
        <v>193</v>
      </c>
      <c r="B889" s="455">
        <v>907</v>
      </c>
      <c r="C889" s="402" t="s">
        <v>251</v>
      </c>
      <c r="D889" s="402" t="s">
        <v>116</v>
      </c>
      <c r="E889" s="402" t="s">
        <v>1124</v>
      </c>
      <c r="F889" s="402" t="s">
        <v>194</v>
      </c>
      <c r="G889" s="318"/>
      <c r="H889" s="318"/>
      <c r="I889" s="334"/>
      <c r="J889" s="321"/>
    </row>
    <row r="890" spans="1:12" ht="47.25" hidden="1" x14ac:dyDescent="0.25">
      <c r="A890" s="417" t="s">
        <v>837</v>
      </c>
      <c r="B890" s="454">
        <v>907</v>
      </c>
      <c r="C890" s="414" t="s">
        <v>251</v>
      </c>
      <c r="D890" s="414" t="s">
        <v>116</v>
      </c>
      <c r="E890" s="414" t="s">
        <v>797</v>
      </c>
      <c r="F890" s="414"/>
      <c r="G890" s="314">
        <f t="shared" ref="G890:H892" si="76">G891</f>
        <v>0</v>
      </c>
      <c r="H890" s="314">
        <f t="shared" si="76"/>
        <v>0</v>
      </c>
      <c r="I890" s="334"/>
      <c r="J890" s="321"/>
    </row>
    <row r="891" spans="1:12" s="134" customFormat="1" ht="47.25" hidden="1" x14ac:dyDescent="0.25">
      <c r="A891" s="399" t="s">
        <v>733</v>
      </c>
      <c r="B891" s="455">
        <v>907</v>
      </c>
      <c r="C891" s="402" t="s">
        <v>251</v>
      </c>
      <c r="D891" s="402" t="s">
        <v>116</v>
      </c>
      <c r="E891" s="402" t="s">
        <v>833</v>
      </c>
      <c r="F891" s="402"/>
      <c r="G891" s="318">
        <f t="shared" si="76"/>
        <v>0</v>
      </c>
      <c r="H891" s="318">
        <f t="shared" si="76"/>
        <v>0</v>
      </c>
      <c r="I891" s="337"/>
      <c r="J891" s="78"/>
    </row>
    <row r="892" spans="1:12" s="134" customFormat="1" ht="31.5" hidden="1" x14ac:dyDescent="0.25">
      <c r="A892" s="399" t="s">
        <v>191</v>
      </c>
      <c r="B892" s="455">
        <v>907</v>
      </c>
      <c r="C892" s="402" t="s">
        <v>251</v>
      </c>
      <c r="D892" s="402" t="s">
        <v>116</v>
      </c>
      <c r="E892" s="402" t="s">
        <v>833</v>
      </c>
      <c r="F892" s="402" t="s">
        <v>192</v>
      </c>
      <c r="G892" s="318">
        <f t="shared" si="76"/>
        <v>0</v>
      </c>
      <c r="H892" s="318">
        <f t="shared" si="76"/>
        <v>0</v>
      </c>
      <c r="I892" s="337"/>
      <c r="J892" s="78"/>
    </row>
    <row r="893" spans="1:12" s="134" customFormat="1" ht="15.75" hidden="1" x14ac:dyDescent="0.25">
      <c r="A893" s="399" t="s">
        <v>193</v>
      </c>
      <c r="B893" s="455">
        <v>907</v>
      </c>
      <c r="C893" s="402" t="s">
        <v>251</v>
      </c>
      <c r="D893" s="402" t="s">
        <v>116</v>
      </c>
      <c r="E893" s="402" t="s">
        <v>833</v>
      </c>
      <c r="F893" s="402" t="s">
        <v>194</v>
      </c>
      <c r="G893" s="318"/>
      <c r="H893" s="318"/>
      <c r="I893" s="337"/>
      <c r="J893" s="78"/>
      <c r="L893" s="78"/>
    </row>
    <row r="894" spans="1:12" ht="47.25" x14ac:dyDescent="0.25">
      <c r="A894" s="463" t="s">
        <v>844</v>
      </c>
      <c r="B894" s="454">
        <v>907</v>
      </c>
      <c r="C894" s="414" t="s">
        <v>251</v>
      </c>
      <c r="D894" s="414" t="s">
        <v>116</v>
      </c>
      <c r="E894" s="414" t="s">
        <v>339</v>
      </c>
      <c r="F894" s="464"/>
      <c r="G894" s="314">
        <f t="shared" ref="G894:H897" si="77">G895</f>
        <v>579.1</v>
      </c>
      <c r="H894" s="314">
        <f t="shared" si="77"/>
        <v>579.1</v>
      </c>
      <c r="I894" s="334"/>
      <c r="J894" s="321"/>
    </row>
    <row r="895" spans="1:12" ht="47.25" x14ac:dyDescent="0.25">
      <c r="A895" s="463" t="s">
        <v>463</v>
      </c>
      <c r="B895" s="454">
        <v>907</v>
      </c>
      <c r="C895" s="414" t="s">
        <v>251</v>
      </c>
      <c r="D895" s="414" t="s">
        <v>116</v>
      </c>
      <c r="E895" s="414" t="s">
        <v>461</v>
      </c>
      <c r="F895" s="464"/>
      <c r="G895" s="314">
        <f t="shared" si="77"/>
        <v>579.1</v>
      </c>
      <c r="H895" s="314">
        <f t="shared" si="77"/>
        <v>579.1</v>
      </c>
      <c r="I895" s="334"/>
      <c r="J895" s="321"/>
    </row>
    <row r="896" spans="1:12" ht="39.200000000000003" customHeight="1" x14ac:dyDescent="0.25">
      <c r="A896" s="466" t="s">
        <v>359</v>
      </c>
      <c r="B896" s="455">
        <v>907</v>
      </c>
      <c r="C896" s="402" t="s">
        <v>251</v>
      </c>
      <c r="D896" s="402" t="s">
        <v>116</v>
      </c>
      <c r="E896" s="402" t="s">
        <v>506</v>
      </c>
      <c r="F896" s="467"/>
      <c r="G896" s="318">
        <f t="shared" si="77"/>
        <v>579.1</v>
      </c>
      <c r="H896" s="318">
        <f t="shared" si="77"/>
        <v>579.1</v>
      </c>
      <c r="I896" s="334"/>
      <c r="J896" s="321"/>
    </row>
    <row r="897" spans="1:10" ht="31.5" x14ac:dyDescent="0.25">
      <c r="A897" s="459" t="s">
        <v>191</v>
      </c>
      <c r="B897" s="455">
        <v>907</v>
      </c>
      <c r="C897" s="402" t="s">
        <v>251</v>
      </c>
      <c r="D897" s="402" t="s">
        <v>116</v>
      </c>
      <c r="E897" s="402" t="s">
        <v>506</v>
      </c>
      <c r="F897" s="467" t="s">
        <v>192</v>
      </c>
      <c r="G897" s="318">
        <f t="shared" si="77"/>
        <v>579.1</v>
      </c>
      <c r="H897" s="318">
        <f t="shared" si="77"/>
        <v>579.1</v>
      </c>
      <c r="I897" s="334"/>
      <c r="J897" s="321"/>
    </row>
    <row r="898" spans="1:10" ht="15.75" x14ac:dyDescent="0.25">
      <c r="A898" s="488" t="s">
        <v>193</v>
      </c>
      <c r="B898" s="455">
        <v>907</v>
      </c>
      <c r="C898" s="402" t="s">
        <v>251</v>
      </c>
      <c r="D898" s="402" t="s">
        <v>116</v>
      </c>
      <c r="E898" s="402" t="s">
        <v>506</v>
      </c>
      <c r="F898" s="467" t="s">
        <v>194</v>
      </c>
      <c r="G898" s="318">
        <v>579.1</v>
      </c>
      <c r="H898" s="318">
        <v>579.1</v>
      </c>
      <c r="I898" s="334"/>
      <c r="J898" s="321"/>
    </row>
    <row r="899" spans="1:10" ht="19.5" customHeight="1" x14ac:dyDescent="0.25">
      <c r="A899" s="417" t="s">
        <v>254</v>
      </c>
      <c r="B899" s="454">
        <v>907</v>
      </c>
      <c r="C899" s="414" t="s">
        <v>251</v>
      </c>
      <c r="D899" s="414" t="s">
        <v>168</v>
      </c>
      <c r="E899" s="414"/>
      <c r="F899" s="414"/>
      <c r="G899" s="314">
        <f>G900+G915+G927</f>
        <v>13673.1</v>
      </c>
      <c r="H899" s="314">
        <f>H900+H915+H927</f>
        <v>13673.1</v>
      </c>
      <c r="I899" s="334"/>
      <c r="J899" s="321"/>
    </row>
    <row r="900" spans="1:10" ht="31.5" x14ac:dyDescent="0.25">
      <c r="A900" s="417" t="s">
        <v>488</v>
      </c>
      <c r="B900" s="454">
        <v>907</v>
      </c>
      <c r="C900" s="414" t="s">
        <v>251</v>
      </c>
      <c r="D900" s="414" t="s">
        <v>168</v>
      </c>
      <c r="E900" s="414" t="s">
        <v>434</v>
      </c>
      <c r="F900" s="414"/>
      <c r="G900" s="314">
        <f>G901</f>
        <v>10973.1</v>
      </c>
      <c r="H900" s="314">
        <f>H901</f>
        <v>10973.1</v>
      </c>
      <c r="I900" s="334"/>
      <c r="J900" s="321"/>
    </row>
    <row r="901" spans="1:10" ht="15.75" x14ac:dyDescent="0.25">
      <c r="A901" s="417" t="s">
        <v>489</v>
      </c>
      <c r="B901" s="454">
        <v>907</v>
      </c>
      <c r="C901" s="414" t="s">
        <v>251</v>
      </c>
      <c r="D901" s="414" t="s">
        <v>168</v>
      </c>
      <c r="E901" s="414" t="s">
        <v>435</v>
      </c>
      <c r="F901" s="414"/>
      <c r="G901" s="314">
        <f>G902+G912+G905</f>
        <v>10973.1</v>
      </c>
      <c r="H901" s="314">
        <f>H902+H912+H905</f>
        <v>10973.1</v>
      </c>
      <c r="I901" s="334"/>
      <c r="J901" s="321"/>
    </row>
    <row r="902" spans="1:10" ht="28.15" customHeight="1" x14ac:dyDescent="0.25">
      <c r="A902" s="399" t="s">
        <v>468</v>
      </c>
      <c r="B902" s="455">
        <v>907</v>
      </c>
      <c r="C902" s="402" t="s">
        <v>251</v>
      </c>
      <c r="D902" s="402" t="s">
        <v>168</v>
      </c>
      <c r="E902" s="402" t="s">
        <v>436</v>
      </c>
      <c r="F902" s="402"/>
      <c r="G902" s="318">
        <f>G903</f>
        <v>5113.3</v>
      </c>
      <c r="H902" s="318">
        <f>H903</f>
        <v>5113.3</v>
      </c>
      <c r="I902" s="334"/>
      <c r="J902" s="321"/>
    </row>
    <row r="903" spans="1:10" ht="64.5" customHeight="1" x14ac:dyDescent="0.25">
      <c r="A903" s="399" t="s">
        <v>119</v>
      </c>
      <c r="B903" s="455">
        <v>907</v>
      </c>
      <c r="C903" s="402" t="s">
        <v>251</v>
      </c>
      <c r="D903" s="402" t="s">
        <v>168</v>
      </c>
      <c r="E903" s="402" t="s">
        <v>436</v>
      </c>
      <c r="F903" s="402" t="s">
        <v>120</v>
      </c>
      <c r="G903" s="318">
        <f>G904</f>
        <v>5113.3</v>
      </c>
      <c r="H903" s="318">
        <f>H904</f>
        <v>5113.3</v>
      </c>
      <c r="I903" s="334"/>
      <c r="J903" s="321"/>
    </row>
    <row r="904" spans="1:10" ht="31.5" x14ac:dyDescent="0.25">
      <c r="A904" s="399" t="s">
        <v>121</v>
      </c>
      <c r="B904" s="455">
        <v>907</v>
      </c>
      <c r="C904" s="402" t="s">
        <v>251</v>
      </c>
      <c r="D904" s="402" t="s">
        <v>168</v>
      </c>
      <c r="E904" s="402" t="s">
        <v>436</v>
      </c>
      <c r="F904" s="402" t="s">
        <v>122</v>
      </c>
      <c r="G904" s="20">
        <v>5113.3</v>
      </c>
      <c r="H904" s="20">
        <f>G904</f>
        <v>5113.3</v>
      </c>
      <c r="I904" s="334"/>
      <c r="J904" s="321"/>
    </row>
    <row r="905" spans="1:10" ht="31.5" x14ac:dyDescent="0.25">
      <c r="A905" s="399" t="s">
        <v>417</v>
      </c>
      <c r="B905" s="455">
        <v>907</v>
      </c>
      <c r="C905" s="402" t="s">
        <v>251</v>
      </c>
      <c r="D905" s="402" t="s">
        <v>168</v>
      </c>
      <c r="E905" s="402" t="s">
        <v>437</v>
      </c>
      <c r="F905" s="402"/>
      <c r="G905" s="20">
        <f>G906+G908+G910</f>
        <v>5214.8</v>
      </c>
      <c r="H905" s="20">
        <f>H906+H908+H910</f>
        <v>5214.8</v>
      </c>
      <c r="I905" s="334"/>
      <c r="J905" s="321"/>
    </row>
    <row r="906" spans="1:10" ht="63" x14ac:dyDescent="0.25">
      <c r="A906" s="399" t="s">
        <v>119</v>
      </c>
      <c r="B906" s="455">
        <v>907</v>
      </c>
      <c r="C906" s="402" t="s">
        <v>251</v>
      </c>
      <c r="D906" s="402" t="s">
        <v>168</v>
      </c>
      <c r="E906" s="402" t="s">
        <v>437</v>
      </c>
      <c r="F906" s="402" t="s">
        <v>120</v>
      </c>
      <c r="G906" s="20">
        <f>G907</f>
        <v>4888.5</v>
      </c>
      <c r="H906" s="20">
        <f>H907</f>
        <v>4888.5</v>
      </c>
      <c r="I906" s="334"/>
      <c r="J906" s="321"/>
    </row>
    <row r="907" spans="1:10" ht="31.5" x14ac:dyDescent="0.25">
      <c r="A907" s="399" t="s">
        <v>121</v>
      </c>
      <c r="B907" s="455">
        <v>907</v>
      </c>
      <c r="C907" s="402" t="s">
        <v>251</v>
      </c>
      <c r="D907" s="402" t="s">
        <v>168</v>
      </c>
      <c r="E907" s="402" t="s">
        <v>437</v>
      </c>
      <c r="F907" s="402" t="s">
        <v>122</v>
      </c>
      <c r="G907" s="20">
        <v>4888.5</v>
      </c>
      <c r="H907" s="20">
        <f>G907</f>
        <v>4888.5</v>
      </c>
      <c r="I907" s="334"/>
      <c r="J907" s="321"/>
    </row>
    <row r="908" spans="1:10" ht="31.5" x14ac:dyDescent="0.25">
      <c r="A908" s="399" t="s">
        <v>123</v>
      </c>
      <c r="B908" s="455">
        <v>907</v>
      </c>
      <c r="C908" s="402" t="s">
        <v>251</v>
      </c>
      <c r="D908" s="402" t="s">
        <v>168</v>
      </c>
      <c r="E908" s="402" t="s">
        <v>437</v>
      </c>
      <c r="F908" s="402" t="s">
        <v>124</v>
      </c>
      <c r="G908" s="20">
        <f>G909</f>
        <v>275.3</v>
      </c>
      <c r="H908" s="20">
        <f>H909</f>
        <v>275.3</v>
      </c>
      <c r="I908" s="334"/>
      <c r="J908" s="321"/>
    </row>
    <row r="909" spans="1:10" ht="31.5" x14ac:dyDescent="0.25">
      <c r="A909" s="399" t="s">
        <v>125</v>
      </c>
      <c r="B909" s="455">
        <v>907</v>
      </c>
      <c r="C909" s="402" t="s">
        <v>251</v>
      </c>
      <c r="D909" s="402" t="s">
        <v>168</v>
      </c>
      <c r="E909" s="402" t="s">
        <v>437</v>
      </c>
      <c r="F909" s="402" t="s">
        <v>126</v>
      </c>
      <c r="G909" s="20">
        <f>275.3</f>
        <v>275.3</v>
      </c>
      <c r="H909" s="20">
        <f>275.3</f>
        <v>275.3</v>
      </c>
      <c r="I909" s="334"/>
      <c r="J909" s="321"/>
    </row>
    <row r="910" spans="1:10" ht="15.75" x14ac:dyDescent="0.25">
      <c r="A910" s="399" t="s">
        <v>127</v>
      </c>
      <c r="B910" s="455">
        <v>907</v>
      </c>
      <c r="C910" s="402" t="s">
        <v>251</v>
      </c>
      <c r="D910" s="402" t="s">
        <v>168</v>
      </c>
      <c r="E910" s="402" t="s">
        <v>437</v>
      </c>
      <c r="F910" s="402" t="s">
        <v>134</v>
      </c>
      <c r="G910" s="20">
        <f>G911</f>
        <v>51</v>
      </c>
      <c r="H910" s="20">
        <f>H911</f>
        <v>51</v>
      </c>
      <c r="I910" s="334"/>
      <c r="J910" s="321"/>
    </row>
    <row r="911" spans="1:10" ht="15.75" x14ac:dyDescent="0.25">
      <c r="A911" s="399" t="s">
        <v>280</v>
      </c>
      <c r="B911" s="455">
        <v>907</v>
      </c>
      <c r="C911" s="402" t="s">
        <v>251</v>
      </c>
      <c r="D911" s="402" t="s">
        <v>168</v>
      </c>
      <c r="E911" s="402" t="s">
        <v>437</v>
      </c>
      <c r="F911" s="402" t="s">
        <v>130</v>
      </c>
      <c r="G911" s="318">
        <f>27.1+24.1-0.2</f>
        <v>51</v>
      </c>
      <c r="H911" s="318">
        <f>27.1+24.1-0.2</f>
        <v>51</v>
      </c>
      <c r="I911" s="334"/>
      <c r="J911" s="321"/>
    </row>
    <row r="912" spans="1:10" ht="36.75" customHeight="1" x14ac:dyDescent="0.25">
      <c r="A912" s="399" t="s">
        <v>416</v>
      </c>
      <c r="B912" s="455">
        <v>907</v>
      </c>
      <c r="C912" s="402" t="s">
        <v>251</v>
      </c>
      <c r="D912" s="402" t="s">
        <v>168</v>
      </c>
      <c r="E912" s="402" t="s">
        <v>438</v>
      </c>
      <c r="F912" s="402"/>
      <c r="G912" s="318">
        <f>G913</f>
        <v>645</v>
      </c>
      <c r="H912" s="318">
        <f>H913</f>
        <v>645</v>
      </c>
      <c r="I912" s="334"/>
      <c r="J912" s="321"/>
    </row>
    <row r="913" spans="1:10" ht="47.25" customHeight="1" x14ac:dyDescent="0.25">
      <c r="A913" s="399" t="s">
        <v>119</v>
      </c>
      <c r="B913" s="455">
        <v>907</v>
      </c>
      <c r="C913" s="402" t="s">
        <v>251</v>
      </c>
      <c r="D913" s="402" t="s">
        <v>168</v>
      </c>
      <c r="E913" s="402" t="s">
        <v>438</v>
      </c>
      <c r="F913" s="402" t="s">
        <v>120</v>
      </c>
      <c r="G913" s="318">
        <f>G914</f>
        <v>645</v>
      </c>
      <c r="H913" s="318">
        <f>H914</f>
        <v>645</v>
      </c>
      <c r="I913" s="334"/>
      <c r="J913" s="321"/>
    </row>
    <row r="914" spans="1:10" ht="34.5" customHeight="1" x14ac:dyDescent="0.25">
      <c r="A914" s="399" t="s">
        <v>121</v>
      </c>
      <c r="B914" s="455">
        <v>907</v>
      </c>
      <c r="C914" s="402" t="s">
        <v>251</v>
      </c>
      <c r="D914" s="402" t="s">
        <v>168</v>
      </c>
      <c r="E914" s="402" t="s">
        <v>438</v>
      </c>
      <c r="F914" s="402" t="s">
        <v>122</v>
      </c>
      <c r="G914" s="318">
        <f>258+387</f>
        <v>645</v>
      </c>
      <c r="H914" s="318">
        <f>258+387</f>
        <v>645</v>
      </c>
      <c r="I914" s="334"/>
      <c r="J914" s="321"/>
    </row>
    <row r="915" spans="1:10" ht="15.75" hidden="1" x14ac:dyDescent="0.25">
      <c r="A915" s="417" t="s">
        <v>133</v>
      </c>
      <c r="B915" s="454">
        <v>907</v>
      </c>
      <c r="C915" s="414" t="s">
        <v>251</v>
      </c>
      <c r="D915" s="414" t="s">
        <v>168</v>
      </c>
      <c r="E915" s="414" t="s">
        <v>442</v>
      </c>
      <c r="F915" s="414"/>
      <c r="G915" s="314">
        <f>G916</f>
        <v>0</v>
      </c>
      <c r="H915" s="314">
        <f>H916</f>
        <v>0</v>
      </c>
      <c r="I915" s="334"/>
      <c r="J915" s="321"/>
    </row>
    <row r="916" spans="1:10" ht="31.5" hidden="1" x14ac:dyDescent="0.25">
      <c r="A916" s="417" t="s">
        <v>500</v>
      </c>
      <c r="B916" s="454">
        <v>907</v>
      </c>
      <c r="C916" s="414" t="s">
        <v>251</v>
      </c>
      <c r="D916" s="414" t="s">
        <v>168</v>
      </c>
      <c r="E916" s="414" t="s">
        <v>485</v>
      </c>
      <c r="F916" s="414"/>
      <c r="G916" s="314">
        <f>G917+G924</f>
        <v>0</v>
      </c>
      <c r="H916" s="314">
        <f>H917+H924</f>
        <v>0</v>
      </c>
      <c r="I916" s="334"/>
      <c r="J916" s="321"/>
    </row>
    <row r="917" spans="1:10" ht="31.5" hidden="1" x14ac:dyDescent="0.25">
      <c r="A917" s="399" t="s">
        <v>474</v>
      </c>
      <c r="B917" s="455">
        <v>907</v>
      </c>
      <c r="C917" s="402" t="s">
        <v>251</v>
      </c>
      <c r="D917" s="402" t="s">
        <v>168</v>
      </c>
      <c r="E917" s="402" t="s">
        <v>486</v>
      </c>
      <c r="F917" s="402"/>
      <c r="G917" s="318">
        <f>G918+G920+G922</f>
        <v>0</v>
      </c>
      <c r="H917" s="318">
        <f>H918+H920+H922</f>
        <v>0</v>
      </c>
      <c r="I917" s="334"/>
      <c r="J917" s="321"/>
    </row>
    <row r="918" spans="1:10" ht="72.75" hidden="1" customHeight="1" x14ac:dyDescent="0.25">
      <c r="A918" s="399" t="s">
        <v>119</v>
      </c>
      <c r="B918" s="455">
        <v>907</v>
      </c>
      <c r="C918" s="402" t="s">
        <v>251</v>
      </c>
      <c r="D918" s="402" t="s">
        <v>168</v>
      </c>
      <c r="E918" s="402" t="s">
        <v>486</v>
      </c>
      <c r="F918" s="402" t="s">
        <v>120</v>
      </c>
      <c r="G918" s="318">
        <f>G919</f>
        <v>0</v>
      </c>
      <c r="H918" s="318">
        <f>H919</f>
        <v>0</v>
      </c>
      <c r="I918" s="334"/>
      <c r="J918" s="321"/>
    </row>
    <row r="919" spans="1:10" ht="25.5" hidden="1" customHeight="1" x14ac:dyDescent="0.25">
      <c r="A919" s="399" t="s">
        <v>212</v>
      </c>
      <c r="B919" s="455">
        <v>907</v>
      </c>
      <c r="C919" s="402" t="s">
        <v>251</v>
      </c>
      <c r="D919" s="402" t="s">
        <v>168</v>
      </c>
      <c r="E919" s="402" t="s">
        <v>486</v>
      </c>
      <c r="F919" s="402" t="s">
        <v>156</v>
      </c>
      <c r="G919" s="20"/>
      <c r="H919" s="20"/>
      <c r="I919" s="334"/>
      <c r="J919" s="321"/>
    </row>
    <row r="920" spans="1:10" ht="31.5" hidden="1" x14ac:dyDescent="0.25">
      <c r="A920" s="399" t="s">
        <v>123</v>
      </c>
      <c r="B920" s="455">
        <v>907</v>
      </c>
      <c r="C920" s="402" t="s">
        <v>251</v>
      </c>
      <c r="D920" s="402" t="s">
        <v>168</v>
      </c>
      <c r="E920" s="402" t="s">
        <v>486</v>
      </c>
      <c r="F920" s="402" t="s">
        <v>124</v>
      </c>
      <c r="G920" s="318">
        <f>G921</f>
        <v>0</v>
      </c>
      <c r="H920" s="318">
        <f>H921</f>
        <v>0</v>
      </c>
      <c r="I920" s="334"/>
      <c r="J920" s="321"/>
    </row>
    <row r="921" spans="1:10" ht="31.5" hidden="1" x14ac:dyDescent="0.25">
      <c r="A921" s="399" t="s">
        <v>125</v>
      </c>
      <c r="B921" s="455">
        <v>907</v>
      </c>
      <c r="C921" s="402" t="s">
        <v>251</v>
      </c>
      <c r="D921" s="402" t="s">
        <v>168</v>
      </c>
      <c r="E921" s="402" t="s">
        <v>486</v>
      </c>
      <c r="F921" s="402" t="s">
        <v>126</v>
      </c>
      <c r="G921" s="20"/>
      <c r="H921" s="20"/>
      <c r="I921" s="334"/>
      <c r="J921" s="321"/>
    </row>
    <row r="922" spans="1:10" ht="15.75" hidden="1" x14ac:dyDescent="0.25">
      <c r="A922" s="399" t="s">
        <v>127</v>
      </c>
      <c r="B922" s="455">
        <v>907</v>
      </c>
      <c r="C922" s="402" t="s">
        <v>251</v>
      </c>
      <c r="D922" s="402" t="s">
        <v>168</v>
      </c>
      <c r="E922" s="402" t="s">
        <v>486</v>
      </c>
      <c r="F922" s="402" t="s">
        <v>134</v>
      </c>
      <c r="G922" s="318">
        <f>G923</f>
        <v>0</v>
      </c>
      <c r="H922" s="318">
        <f>H923</f>
        <v>0</v>
      </c>
      <c r="I922" s="334"/>
      <c r="J922" s="321"/>
    </row>
    <row r="923" spans="1:10" ht="15.75" hidden="1" x14ac:dyDescent="0.25">
      <c r="A923" s="399" t="s">
        <v>280</v>
      </c>
      <c r="B923" s="455">
        <v>907</v>
      </c>
      <c r="C923" s="402" t="s">
        <v>251</v>
      </c>
      <c r="D923" s="402" t="s">
        <v>168</v>
      </c>
      <c r="E923" s="402" t="s">
        <v>486</v>
      </c>
      <c r="F923" s="402" t="s">
        <v>130</v>
      </c>
      <c r="G923" s="318"/>
      <c r="H923" s="318"/>
      <c r="I923" s="334"/>
      <c r="J923" s="321"/>
    </row>
    <row r="924" spans="1:10" ht="31.5" hidden="1" x14ac:dyDescent="0.25">
      <c r="A924" s="399" t="s">
        <v>416</v>
      </c>
      <c r="B924" s="455">
        <v>907</v>
      </c>
      <c r="C924" s="402" t="s">
        <v>251</v>
      </c>
      <c r="D924" s="402" t="s">
        <v>168</v>
      </c>
      <c r="E924" s="402" t="s">
        <v>487</v>
      </c>
      <c r="F924" s="402"/>
      <c r="G924" s="318">
        <f>G925</f>
        <v>0</v>
      </c>
      <c r="H924" s="318">
        <f>H925</f>
        <v>0</v>
      </c>
      <c r="I924" s="334"/>
      <c r="J924" s="321"/>
    </row>
    <row r="925" spans="1:10" ht="63" hidden="1" x14ac:dyDescent="0.25">
      <c r="A925" s="399" t="s">
        <v>119</v>
      </c>
      <c r="B925" s="455">
        <v>907</v>
      </c>
      <c r="C925" s="402" t="s">
        <v>251</v>
      </c>
      <c r="D925" s="402" t="s">
        <v>168</v>
      </c>
      <c r="E925" s="402" t="s">
        <v>487</v>
      </c>
      <c r="F925" s="402" t="s">
        <v>120</v>
      </c>
      <c r="G925" s="318">
        <f>G926</f>
        <v>0</v>
      </c>
      <c r="H925" s="318">
        <f>H926</f>
        <v>0</v>
      </c>
      <c r="I925" s="334"/>
      <c r="J925" s="321"/>
    </row>
    <row r="926" spans="1:10" ht="15.75" hidden="1" x14ac:dyDescent="0.25">
      <c r="A926" s="399" t="s">
        <v>212</v>
      </c>
      <c r="B926" s="455">
        <v>907</v>
      </c>
      <c r="C926" s="402" t="s">
        <v>251</v>
      </c>
      <c r="D926" s="402" t="s">
        <v>168</v>
      </c>
      <c r="E926" s="402" t="s">
        <v>487</v>
      </c>
      <c r="F926" s="402" t="s">
        <v>156</v>
      </c>
      <c r="G926" s="318"/>
      <c r="H926" s="318"/>
      <c r="I926" s="334"/>
      <c r="J926" s="321"/>
    </row>
    <row r="927" spans="1:10" ht="31.5" x14ac:dyDescent="0.25">
      <c r="A927" s="463" t="s">
        <v>862</v>
      </c>
      <c r="B927" s="454">
        <v>907</v>
      </c>
      <c r="C927" s="414" t="s">
        <v>251</v>
      </c>
      <c r="D927" s="414" t="s">
        <v>168</v>
      </c>
      <c r="E927" s="407" t="s">
        <v>249</v>
      </c>
      <c r="F927" s="414"/>
      <c r="G927" s="314">
        <f>G928</f>
        <v>2700</v>
      </c>
      <c r="H927" s="314">
        <f>H928</f>
        <v>2700</v>
      </c>
      <c r="I927" s="334"/>
      <c r="J927" s="321"/>
    </row>
    <row r="928" spans="1:10" ht="31.5" x14ac:dyDescent="0.25">
      <c r="A928" s="474" t="s">
        <v>516</v>
      </c>
      <c r="B928" s="454">
        <v>907</v>
      </c>
      <c r="C928" s="414" t="s">
        <v>251</v>
      </c>
      <c r="D928" s="414" t="s">
        <v>168</v>
      </c>
      <c r="E928" s="407" t="s">
        <v>798</v>
      </c>
      <c r="F928" s="414"/>
      <c r="G928" s="314">
        <f>G929</f>
        <v>2700</v>
      </c>
      <c r="H928" s="314">
        <f>H929</f>
        <v>2700</v>
      </c>
      <c r="I928" s="334"/>
      <c r="J928" s="321"/>
    </row>
    <row r="929" spans="1:10" ht="15.75" x14ac:dyDescent="0.25">
      <c r="A929" s="459" t="s">
        <v>517</v>
      </c>
      <c r="B929" s="455">
        <v>907</v>
      </c>
      <c r="C929" s="402" t="s">
        <v>251</v>
      </c>
      <c r="D929" s="402" t="s">
        <v>168</v>
      </c>
      <c r="E929" s="403" t="s">
        <v>799</v>
      </c>
      <c r="F929" s="402"/>
      <c r="G929" s="318">
        <f>G930+G932</f>
        <v>2700</v>
      </c>
      <c r="H929" s="318">
        <f>H930+H932</f>
        <v>2700</v>
      </c>
      <c r="I929" s="334"/>
      <c r="J929" s="321"/>
    </row>
    <row r="930" spans="1:10" ht="63" x14ac:dyDescent="0.25">
      <c r="A930" s="399" t="s">
        <v>119</v>
      </c>
      <c r="B930" s="455">
        <v>907</v>
      </c>
      <c r="C930" s="402" t="s">
        <v>251</v>
      </c>
      <c r="D930" s="402" t="s">
        <v>168</v>
      </c>
      <c r="E930" s="403" t="s">
        <v>799</v>
      </c>
      <c r="F930" s="402" t="s">
        <v>120</v>
      </c>
      <c r="G930" s="318">
        <f>G931</f>
        <v>2200</v>
      </c>
      <c r="H930" s="318">
        <f>H931</f>
        <v>2200</v>
      </c>
      <c r="I930" s="334"/>
      <c r="J930" s="321"/>
    </row>
    <row r="931" spans="1:10" ht="15.75" x14ac:dyDescent="0.25">
      <c r="A931" s="399" t="s">
        <v>212</v>
      </c>
      <c r="B931" s="455">
        <v>907</v>
      </c>
      <c r="C931" s="402" t="s">
        <v>251</v>
      </c>
      <c r="D931" s="402" t="s">
        <v>168</v>
      </c>
      <c r="E931" s="403" t="s">
        <v>799</v>
      </c>
      <c r="F931" s="402" t="s">
        <v>156</v>
      </c>
      <c r="G931" s="318">
        <f>2286-86</f>
        <v>2200</v>
      </c>
      <c r="H931" s="318">
        <f>2286-86</f>
        <v>2200</v>
      </c>
      <c r="I931" s="334"/>
      <c r="J931" s="321"/>
    </row>
    <row r="932" spans="1:10" ht="31.5" x14ac:dyDescent="0.25">
      <c r="A932" s="459" t="s">
        <v>123</v>
      </c>
      <c r="B932" s="455">
        <v>907</v>
      </c>
      <c r="C932" s="402" t="s">
        <v>251</v>
      </c>
      <c r="D932" s="402" t="s">
        <v>168</v>
      </c>
      <c r="E932" s="403" t="s">
        <v>799</v>
      </c>
      <c r="F932" s="402" t="s">
        <v>124</v>
      </c>
      <c r="G932" s="318">
        <f>G933</f>
        <v>500</v>
      </c>
      <c r="H932" s="318">
        <f>H933</f>
        <v>500</v>
      </c>
      <c r="I932" s="334"/>
      <c r="J932" s="321"/>
    </row>
    <row r="933" spans="1:10" ht="31.5" x14ac:dyDescent="0.25">
      <c r="A933" s="459" t="s">
        <v>125</v>
      </c>
      <c r="B933" s="455">
        <v>907</v>
      </c>
      <c r="C933" s="402" t="s">
        <v>251</v>
      </c>
      <c r="D933" s="402" t="s">
        <v>168</v>
      </c>
      <c r="E933" s="403" t="s">
        <v>799</v>
      </c>
      <c r="F933" s="402" t="s">
        <v>126</v>
      </c>
      <c r="G933" s="318">
        <f>414+86</f>
        <v>500</v>
      </c>
      <c r="H933" s="318">
        <f>414+86</f>
        <v>500</v>
      </c>
      <c r="I933" s="334"/>
      <c r="J933" s="321"/>
    </row>
    <row r="934" spans="1:10" ht="31.5" x14ac:dyDescent="0.25">
      <c r="A934" s="454" t="s">
        <v>255</v>
      </c>
      <c r="B934" s="454">
        <v>908</v>
      </c>
      <c r="C934" s="402"/>
      <c r="D934" s="402"/>
      <c r="E934" s="402"/>
      <c r="F934" s="402"/>
      <c r="G934" s="314">
        <f>G958+G974+G995+G1186+G935</f>
        <v>116514.31200000001</v>
      </c>
      <c r="H934" s="314">
        <f>H958+H974+H995+H1186+H935</f>
        <v>109263.87</v>
      </c>
      <c r="I934" s="334"/>
      <c r="J934" s="321"/>
    </row>
    <row r="935" spans="1:10" ht="15.75" x14ac:dyDescent="0.25">
      <c r="A935" s="413" t="s">
        <v>115</v>
      </c>
      <c r="B935" s="454">
        <v>908</v>
      </c>
      <c r="C935" s="414" t="s">
        <v>116</v>
      </c>
      <c r="D935" s="402"/>
      <c r="E935" s="402"/>
      <c r="F935" s="402"/>
      <c r="G935" s="314">
        <f t="shared" ref="G935:H936" si="78">G936</f>
        <v>48202.6</v>
      </c>
      <c r="H935" s="314">
        <f t="shared" si="78"/>
        <v>48025.1</v>
      </c>
      <c r="I935" s="334"/>
      <c r="J935" s="321"/>
    </row>
    <row r="936" spans="1:10" ht="15.75" x14ac:dyDescent="0.25">
      <c r="A936" s="413" t="s">
        <v>131</v>
      </c>
      <c r="B936" s="454">
        <v>908</v>
      </c>
      <c r="C936" s="414" t="s">
        <v>116</v>
      </c>
      <c r="D936" s="414" t="s">
        <v>132</v>
      </c>
      <c r="E936" s="402"/>
      <c r="F936" s="402"/>
      <c r="G936" s="314">
        <f t="shared" si="78"/>
        <v>48202.6</v>
      </c>
      <c r="H936" s="314">
        <f t="shared" si="78"/>
        <v>48025.1</v>
      </c>
      <c r="I936" s="334"/>
      <c r="J936" s="321"/>
    </row>
    <row r="937" spans="1:10" ht="21.2" customHeight="1" x14ac:dyDescent="0.25">
      <c r="A937" s="417" t="s">
        <v>133</v>
      </c>
      <c r="B937" s="454">
        <v>908</v>
      </c>
      <c r="C937" s="414" t="s">
        <v>116</v>
      </c>
      <c r="D937" s="414" t="s">
        <v>132</v>
      </c>
      <c r="E937" s="414" t="s">
        <v>442</v>
      </c>
      <c r="F937" s="414"/>
      <c r="G937" s="30">
        <f>G938+G949</f>
        <v>48202.6</v>
      </c>
      <c r="H937" s="30">
        <f>H938+H949</f>
        <v>48025.1</v>
      </c>
      <c r="I937" s="334"/>
      <c r="J937" s="321"/>
    </row>
    <row r="938" spans="1:10" ht="15.75" x14ac:dyDescent="0.25">
      <c r="A938" s="417" t="s">
        <v>519</v>
      </c>
      <c r="B938" s="454">
        <v>908</v>
      </c>
      <c r="C938" s="414" t="s">
        <v>116</v>
      </c>
      <c r="D938" s="414" t="s">
        <v>132</v>
      </c>
      <c r="E938" s="414" t="s">
        <v>518</v>
      </c>
      <c r="F938" s="414"/>
      <c r="G938" s="30">
        <f>G942+G939</f>
        <v>48202.6</v>
      </c>
      <c r="H938" s="30">
        <f>H942+H939</f>
        <v>48025.1</v>
      </c>
      <c r="I938" s="334"/>
      <c r="J938" s="321"/>
    </row>
    <row r="939" spans="1:10" ht="31.5" x14ac:dyDescent="0.25">
      <c r="A939" s="399" t="s">
        <v>416</v>
      </c>
      <c r="B939" s="455">
        <v>908</v>
      </c>
      <c r="C939" s="402" t="s">
        <v>116</v>
      </c>
      <c r="D939" s="402" t="s">
        <v>132</v>
      </c>
      <c r="E939" s="402" t="s">
        <v>521</v>
      </c>
      <c r="F939" s="402"/>
      <c r="G939" s="318">
        <f>G940</f>
        <v>1118</v>
      </c>
      <c r="H939" s="318">
        <f>H940</f>
        <v>1118</v>
      </c>
      <c r="I939" s="334"/>
      <c r="J939" s="321"/>
    </row>
    <row r="940" spans="1:10" ht="63" x14ac:dyDescent="0.25">
      <c r="A940" s="399" t="s">
        <v>119</v>
      </c>
      <c r="B940" s="455">
        <v>908</v>
      </c>
      <c r="C940" s="402" t="s">
        <v>116</v>
      </c>
      <c r="D940" s="402" t="s">
        <v>132</v>
      </c>
      <c r="E940" s="402" t="s">
        <v>521</v>
      </c>
      <c r="F940" s="402" t="s">
        <v>120</v>
      </c>
      <c r="G940" s="318">
        <f>G941</f>
        <v>1118</v>
      </c>
      <c r="H940" s="318">
        <f>H941</f>
        <v>1118</v>
      </c>
      <c r="I940" s="334"/>
      <c r="J940" s="321"/>
    </row>
    <row r="941" spans="1:10" ht="31.5" x14ac:dyDescent="0.25">
      <c r="A941" s="399" t="s">
        <v>121</v>
      </c>
      <c r="B941" s="455">
        <v>908</v>
      </c>
      <c r="C941" s="402" t="s">
        <v>116</v>
      </c>
      <c r="D941" s="402" t="s">
        <v>132</v>
      </c>
      <c r="E941" s="402" t="s">
        <v>521</v>
      </c>
      <c r="F941" s="402" t="s">
        <v>156</v>
      </c>
      <c r="G941" s="318">
        <v>1118</v>
      </c>
      <c r="H941" s="318">
        <v>1118</v>
      </c>
      <c r="I941" s="334"/>
      <c r="J941" s="321"/>
    </row>
    <row r="942" spans="1:10" ht="15.75" x14ac:dyDescent="0.25">
      <c r="A942" s="399" t="s">
        <v>379</v>
      </c>
      <c r="B942" s="455">
        <v>908</v>
      </c>
      <c r="C942" s="402" t="s">
        <v>116</v>
      </c>
      <c r="D942" s="402" t="s">
        <v>132</v>
      </c>
      <c r="E942" s="402" t="s">
        <v>520</v>
      </c>
      <c r="F942" s="402"/>
      <c r="G942" s="20">
        <f>G943+G945+G947</f>
        <v>47084.6</v>
      </c>
      <c r="H942" s="20">
        <f>H943+H945+H947</f>
        <v>46907.1</v>
      </c>
      <c r="I942" s="334"/>
      <c r="J942" s="321"/>
    </row>
    <row r="943" spans="1:10" ht="74.25" customHeight="1" x14ac:dyDescent="0.25">
      <c r="A943" s="399" t="s">
        <v>119</v>
      </c>
      <c r="B943" s="455">
        <v>908</v>
      </c>
      <c r="C943" s="402" t="s">
        <v>116</v>
      </c>
      <c r="D943" s="402" t="s">
        <v>132</v>
      </c>
      <c r="E943" s="402" t="s">
        <v>520</v>
      </c>
      <c r="F943" s="402" t="s">
        <v>120</v>
      </c>
      <c r="G943" s="20">
        <f>G944</f>
        <v>37603.599999999999</v>
      </c>
      <c r="H943" s="20">
        <f>H944</f>
        <v>37603.599999999999</v>
      </c>
      <c r="I943" s="334"/>
      <c r="J943" s="321"/>
    </row>
    <row r="944" spans="1:10" ht="15.75" x14ac:dyDescent="0.25">
      <c r="A944" s="481" t="s">
        <v>212</v>
      </c>
      <c r="B944" s="455">
        <v>908</v>
      </c>
      <c r="C944" s="402" t="s">
        <v>116</v>
      </c>
      <c r="D944" s="402" t="s">
        <v>132</v>
      </c>
      <c r="E944" s="402" t="s">
        <v>520</v>
      </c>
      <c r="F944" s="402" t="s">
        <v>156</v>
      </c>
      <c r="G944" s="20">
        <v>37603.599999999999</v>
      </c>
      <c r="H944" s="20">
        <f>G944</f>
        <v>37603.599999999999</v>
      </c>
      <c r="I944" s="334"/>
      <c r="J944" s="334"/>
    </row>
    <row r="945" spans="1:11" ht="31.5" x14ac:dyDescent="0.25">
      <c r="A945" s="399" t="s">
        <v>123</v>
      </c>
      <c r="B945" s="455">
        <v>908</v>
      </c>
      <c r="C945" s="402" t="s">
        <v>116</v>
      </c>
      <c r="D945" s="402" t="s">
        <v>132</v>
      </c>
      <c r="E945" s="402" t="s">
        <v>520</v>
      </c>
      <c r="F945" s="402" t="s">
        <v>124</v>
      </c>
      <c r="G945" s="20">
        <f>G946</f>
        <v>9059.9999999999982</v>
      </c>
      <c r="H945" s="20">
        <f>H946</f>
        <v>8882.4999999999982</v>
      </c>
      <c r="I945" s="334"/>
      <c r="J945" s="321"/>
    </row>
    <row r="946" spans="1:11" ht="31.5" x14ac:dyDescent="0.25">
      <c r="A946" s="399" t="s">
        <v>125</v>
      </c>
      <c r="B946" s="455">
        <v>908</v>
      </c>
      <c r="C946" s="402" t="s">
        <v>116</v>
      </c>
      <c r="D946" s="402" t="s">
        <v>132</v>
      </c>
      <c r="E946" s="402" t="s">
        <v>520</v>
      </c>
      <c r="F946" s="402" t="s">
        <v>126</v>
      </c>
      <c r="G946" s="20">
        <f>9244.3-207.2+22.9</f>
        <v>9059.9999999999982</v>
      </c>
      <c r="H946" s="20">
        <f>9244.3-207.2-154.6</f>
        <v>8882.4999999999982</v>
      </c>
      <c r="I946" s="342"/>
      <c r="J946" s="321"/>
      <c r="K946" s="339"/>
    </row>
    <row r="947" spans="1:11" ht="15.75" x14ac:dyDescent="0.25">
      <c r="A947" s="399" t="s">
        <v>127</v>
      </c>
      <c r="B947" s="455">
        <v>908</v>
      </c>
      <c r="C947" s="402" t="s">
        <v>116</v>
      </c>
      <c r="D947" s="402" t="s">
        <v>132</v>
      </c>
      <c r="E947" s="402" t="s">
        <v>520</v>
      </c>
      <c r="F947" s="402" t="s">
        <v>134</v>
      </c>
      <c r="G947" s="20">
        <f>G948</f>
        <v>421</v>
      </c>
      <c r="H947" s="20">
        <f>H948</f>
        <v>421</v>
      </c>
      <c r="I947" s="342"/>
      <c r="J947" s="321"/>
      <c r="K947" s="300"/>
    </row>
    <row r="948" spans="1:11" ht="15.75" x14ac:dyDescent="0.25">
      <c r="A948" s="399" t="s">
        <v>338</v>
      </c>
      <c r="B948" s="455">
        <v>908</v>
      </c>
      <c r="C948" s="402" t="s">
        <v>116</v>
      </c>
      <c r="D948" s="402" t="s">
        <v>132</v>
      </c>
      <c r="E948" s="402" t="s">
        <v>520</v>
      </c>
      <c r="F948" s="402" t="s">
        <v>130</v>
      </c>
      <c r="G948" s="20">
        <v>421</v>
      </c>
      <c r="H948" s="20">
        <v>421</v>
      </c>
      <c r="I948" s="342"/>
      <c r="J948" s="321"/>
      <c r="K948" s="300"/>
    </row>
    <row r="949" spans="1:11" ht="31.5" hidden="1" x14ac:dyDescent="0.25">
      <c r="A949" s="417" t="s">
        <v>493</v>
      </c>
      <c r="B949" s="454">
        <v>908</v>
      </c>
      <c r="C949" s="414" t="s">
        <v>116</v>
      </c>
      <c r="D949" s="414" t="s">
        <v>132</v>
      </c>
      <c r="E949" s="414" t="s">
        <v>443</v>
      </c>
      <c r="F949" s="414"/>
      <c r="G949" s="314">
        <f>G950+G955</f>
        <v>0</v>
      </c>
      <c r="H949" s="314">
        <f>H950+H955</f>
        <v>0</v>
      </c>
      <c r="I949" s="342"/>
      <c r="J949" s="321"/>
      <c r="K949" s="300"/>
    </row>
    <row r="950" spans="1:11" ht="31.5" hidden="1" x14ac:dyDescent="0.25">
      <c r="A950" s="399" t="s">
        <v>499</v>
      </c>
      <c r="B950" s="455">
        <v>908</v>
      </c>
      <c r="C950" s="402" t="s">
        <v>116</v>
      </c>
      <c r="D950" s="402" t="s">
        <v>132</v>
      </c>
      <c r="E950" s="402" t="s">
        <v>444</v>
      </c>
      <c r="F950" s="402"/>
      <c r="G950" s="318">
        <f>G951+G953</f>
        <v>0</v>
      </c>
      <c r="H950" s="318">
        <f>H951+H953</f>
        <v>0</v>
      </c>
      <c r="I950" s="342"/>
      <c r="J950" s="321"/>
      <c r="K950" s="300"/>
    </row>
    <row r="951" spans="1:11" ht="63" hidden="1" x14ac:dyDescent="0.25">
      <c r="A951" s="399" t="s">
        <v>119</v>
      </c>
      <c r="B951" s="455">
        <v>908</v>
      </c>
      <c r="C951" s="402" t="s">
        <v>116</v>
      </c>
      <c r="D951" s="402" t="s">
        <v>132</v>
      </c>
      <c r="E951" s="402" t="s">
        <v>444</v>
      </c>
      <c r="F951" s="402" t="s">
        <v>120</v>
      </c>
      <c r="G951" s="318">
        <f>G952</f>
        <v>0</v>
      </c>
      <c r="H951" s="318">
        <f>H952</f>
        <v>0</v>
      </c>
      <c r="I951" s="342"/>
      <c r="J951" s="321"/>
      <c r="K951" s="300"/>
    </row>
    <row r="952" spans="1:11" ht="15.75" hidden="1" x14ac:dyDescent="0.25">
      <c r="A952" s="481" t="s">
        <v>212</v>
      </c>
      <c r="B952" s="455">
        <v>908</v>
      </c>
      <c r="C952" s="402" t="s">
        <v>116</v>
      </c>
      <c r="D952" s="402" t="s">
        <v>132</v>
      </c>
      <c r="E952" s="402" t="s">
        <v>444</v>
      </c>
      <c r="F952" s="402" t="s">
        <v>156</v>
      </c>
      <c r="G952" s="20">
        <f>4703.3-4703.3</f>
        <v>0</v>
      </c>
      <c r="H952" s="20">
        <f>G952</f>
        <v>0</v>
      </c>
      <c r="I952" s="342"/>
      <c r="J952" s="321"/>
      <c r="K952" s="300"/>
    </row>
    <row r="953" spans="1:11" ht="31.5" hidden="1" x14ac:dyDescent="0.25">
      <c r="A953" s="399" t="s">
        <v>153</v>
      </c>
      <c r="B953" s="455">
        <v>908</v>
      </c>
      <c r="C953" s="402" t="s">
        <v>116</v>
      </c>
      <c r="D953" s="402" t="s">
        <v>132</v>
      </c>
      <c r="E953" s="402" t="s">
        <v>444</v>
      </c>
      <c r="F953" s="402" t="s">
        <v>124</v>
      </c>
      <c r="G953" s="318">
        <f>G954</f>
        <v>0</v>
      </c>
      <c r="H953" s="318">
        <f>H954</f>
        <v>0</v>
      </c>
      <c r="I953" s="342"/>
      <c r="J953" s="321"/>
      <c r="K953" s="300"/>
    </row>
    <row r="954" spans="1:11" ht="31.5" hidden="1" x14ac:dyDescent="0.25">
      <c r="A954" s="399" t="s">
        <v>125</v>
      </c>
      <c r="B954" s="455">
        <v>908</v>
      </c>
      <c r="C954" s="402" t="s">
        <v>116</v>
      </c>
      <c r="D954" s="402" t="s">
        <v>132</v>
      </c>
      <c r="E954" s="402" t="s">
        <v>444</v>
      </c>
      <c r="F954" s="402" t="s">
        <v>126</v>
      </c>
      <c r="G954" s="20">
        <f>1349.3-1349.3</f>
        <v>0</v>
      </c>
      <c r="H954" s="20">
        <f>1349.3-1349.3</f>
        <v>0</v>
      </c>
      <c r="I954" s="342"/>
      <c r="J954" s="321"/>
      <c r="K954" s="300"/>
    </row>
    <row r="955" spans="1:11" ht="31.5" hidden="1" x14ac:dyDescent="0.25">
      <c r="A955" s="399" t="s">
        <v>416</v>
      </c>
      <c r="B955" s="455">
        <v>908</v>
      </c>
      <c r="C955" s="402" t="s">
        <v>116</v>
      </c>
      <c r="D955" s="402" t="s">
        <v>132</v>
      </c>
      <c r="E955" s="402" t="s">
        <v>445</v>
      </c>
      <c r="F955" s="402"/>
      <c r="G955" s="318">
        <f>G956</f>
        <v>0</v>
      </c>
      <c r="H955" s="318">
        <f>H956</f>
        <v>0</v>
      </c>
      <c r="I955" s="342"/>
      <c r="J955" s="321"/>
      <c r="K955" s="300"/>
    </row>
    <row r="956" spans="1:11" ht="63" hidden="1" x14ac:dyDescent="0.25">
      <c r="A956" s="399" t="s">
        <v>119</v>
      </c>
      <c r="B956" s="455">
        <v>908</v>
      </c>
      <c r="C956" s="402" t="s">
        <v>116</v>
      </c>
      <c r="D956" s="402" t="s">
        <v>132</v>
      </c>
      <c r="E956" s="402" t="s">
        <v>445</v>
      </c>
      <c r="F956" s="402" t="s">
        <v>120</v>
      </c>
      <c r="G956" s="318">
        <f>G957</f>
        <v>0</v>
      </c>
      <c r="H956" s="318">
        <f>H957</f>
        <v>0</v>
      </c>
      <c r="I956" s="342"/>
      <c r="J956" s="321"/>
      <c r="K956" s="300"/>
    </row>
    <row r="957" spans="1:11" ht="15.75" hidden="1" x14ac:dyDescent="0.25">
      <c r="A957" s="481" t="s">
        <v>212</v>
      </c>
      <c r="B957" s="455">
        <v>908</v>
      </c>
      <c r="C957" s="402" t="s">
        <v>116</v>
      </c>
      <c r="D957" s="402" t="s">
        <v>132</v>
      </c>
      <c r="E957" s="402" t="s">
        <v>445</v>
      </c>
      <c r="F957" s="402" t="s">
        <v>156</v>
      </c>
      <c r="G957" s="318">
        <f>129-129</f>
        <v>0</v>
      </c>
      <c r="H957" s="318">
        <f>129-129</f>
        <v>0</v>
      </c>
      <c r="I957" s="342"/>
      <c r="J957" s="321"/>
      <c r="K957" s="300"/>
    </row>
    <row r="958" spans="1:11" ht="31.5" x14ac:dyDescent="0.25">
      <c r="A958" s="417" t="s">
        <v>163</v>
      </c>
      <c r="B958" s="454">
        <v>908</v>
      </c>
      <c r="C958" s="414" t="s">
        <v>159</v>
      </c>
      <c r="D958" s="414"/>
      <c r="E958" s="414"/>
      <c r="F958" s="414"/>
      <c r="G958" s="314">
        <f t="shared" ref="G958:H963" si="79">G959</f>
        <v>107</v>
      </c>
      <c r="H958" s="314">
        <f t="shared" si="79"/>
        <v>107</v>
      </c>
      <c r="I958" s="342"/>
      <c r="J958" s="321"/>
      <c r="K958" s="301"/>
    </row>
    <row r="959" spans="1:11" ht="47.85" customHeight="1" x14ac:dyDescent="0.25">
      <c r="A959" s="417" t="s">
        <v>848</v>
      </c>
      <c r="B959" s="454">
        <v>908</v>
      </c>
      <c r="C959" s="414" t="s">
        <v>159</v>
      </c>
      <c r="D959" s="414" t="s">
        <v>174</v>
      </c>
      <c r="E959" s="414"/>
      <c r="F959" s="414"/>
      <c r="G959" s="314">
        <f t="shared" si="79"/>
        <v>107</v>
      </c>
      <c r="H959" s="314">
        <f t="shared" si="79"/>
        <v>107</v>
      </c>
      <c r="I959" s="334"/>
      <c r="J959" s="321"/>
    </row>
    <row r="960" spans="1:11" ht="21.75" customHeight="1" x14ac:dyDescent="0.25">
      <c r="A960" s="417" t="s">
        <v>133</v>
      </c>
      <c r="B960" s="454">
        <v>908</v>
      </c>
      <c r="C960" s="414" t="s">
        <v>159</v>
      </c>
      <c r="D960" s="414" t="s">
        <v>174</v>
      </c>
      <c r="E960" s="414" t="s">
        <v>442</v>
      </c>
      <c r="F960" s="414"/>
      <c r="G960" s="314">
        <f>G961+G965</f>
        <v>107</v>
      </c>
      <c r="H960" s="314">
        <f>H961+H965</f>
        <v>107</v>
      </c>
      <c r="I960" s="334"/>
      <c r="J960" s="321"/>
    </row>
    <row r="961" spans="1:10" ht="31.5" x14ac:dyDescent="0.25">
      <c r="A961" s="417" t="s">
        <v>446</v>
      </c>
      <c r="B961" s="454">
        <v>908</v>
      </c>
      <c r="C961" s="414" t="s">
        <v>159</v>
      </c>
      <c r="D961" s="414" t="s">
        <v>174</v>
      </c>
      <c r="E961" s="414" t="s">
        <v>441</v>
      </c>
      <c r="F961" s="414"/>
      <c r="G961" s="314">
        <f t="shared" si="79"/>
        <v>107</v>
      </c>
      <c r="H961" s="314">
        <f t="shared" si="79"/>
        <v>107</v>
      </c>
      <c r="I961" s="334"/>
      <c r="J961" s="321"/>
    </row>
    <row r="962" spans="1:10" ht="15.75" x14ac:dyDescent="0.25">
      <c r="A962" s="399" t="s">
        <v>165</v>
      </c>
      <c r="B962" s="455">
        <v>908</v>
      </c>
      <c r="C962" s="402" t="s">
        <v>159</v>
      </c>
      <c r="D962" s="402" t="s">
        <v>174</v>
      </c>
      <c r="E962" s="402" t="s">
        <v>452</v>
      </c>
      <c r="F962" s="402"/>
      <c r="G962" s="318">
        <f t="shared" si="79"/>
        <v>107</v>
      </c>
      <c r="H962" s="318">
        <f t="shared" si="79"/>
        <v>107</v>
      </c>
      <c r="I962" s="334"/>
      <c r="J962" s="321"/>
    </row>
    <row r="963" spans="1:10" ht="31.5" x14ac:dyDescent="0.25">
      <c r="A963" s="399" t="s">
        <v>123</v>
      </c>
      <c r="B963" s="455">
        <v>908</v>
      </c>
      <c r="C963" s="402" t="s">
        <v>159</v>
      </c>
      <c r="D963" s="402" t="s">
        <v>174</v>
      </c>
      <c r="E963" s="402" t="s">
        <v>452</v>
      </c>
      <c r="F963" s="402" t="s">
        <v>124</v>
      </c>
      <c r="G963" s="318">
        <f t="shared" si="79"/>
        <v>107</v>
      </c>
      <c r="H963" s="318">
        <f t="shared" si="79"/>
        <v>107</v>
      </c>
      <c r="I963" s="334"/>
      <c r="J963" s="321"/>
    </row>
    <row r="964" spans="1:10" ht="31.5" x14ac:dyDescent="0.25">
      <c r="A964" s="399" t="s">
        <v>125</v>
      </c>
      <c r="B964" s="455">
        <v>908</v>
      </c>
      <c r="C964" s="402" t="s">
        <v>159</v>
      </c>
      <c r="D964" s="402" t="s">
        <v>174</v>
      </c>
      <c r="E964" s="402" t="s">
        <v>452</v>
      </c>
      <c r="F964" s="402" t="s">
        <v>126</v>
      </c>
      <c r="G964" s="318">
        <v>107</v>
      </c>
      <c r="H964" s="318">
        <v>107</v>
      </c>
      <c r="I964" s="334"/>
      <c r="J964" s="321"/>
    </row>
    <row r="965" spans="1:10" ht="31.5" hidden="1" x14ac:dyDescent="0.25">
      <c r="A965" s="417" t="s">
        <v>494</v>
      </c>
      <c r="B965" s="454">
        <v>908</v>
      </c>
      <c r="C965" s="414" t="s">
        <v>159</v>
      </c>
      <c r="D965" s="414" t="s">
        <v>174</v>
      </c>
      <c r="E965" s="414" t="s">
        <v>448</v>
      </c>
      <c r="F965" s="414"/>
      <c r="G965" s="314">
        <f>G966+G971</f>
        <v>0</v>
      </c>
      <c r="H965" s="314">
        <f>H966+H971</f>
        <v>0</v>
      </c>
      <c r="I965" s="334"/>
      <c r="J965" s="321"/>
    </row>
    <row r="966" spans="1:10" ht="31.5" hidden="1" x14ac:dyDescent="0.25">
      <c r="A966" s="399" t="s">
        <v>498</v>
      </c>
      <c r="B966" s="455">
        <v>908</v>
      </c>
      <c r="C966" s="402" t="s">
        <v>159</v>
      </c>
      <c r="D966" s="402" t="s">
        <v>174</v>
      </c>
      <c r="E966" s="402" t="s">
        <v>449</v>
      </c>
      <c r="F966" s="402"/>
      <c r="G966" s="318">
        <f>G967+G969</f>
        <v>0</v>
      </c>
      <c r="H966" s="318">
        <f>H967+H969</f>
        <v>0</v>
      </c>
      <c r="I966" s="334"/>
      <c r="J966" s="321"/>
    </row>
    <row r="967" spans="1:10" ht="63" hidden="1" x14ac:dyDescent="0.25">
      <c r="A967" s="399" t="s">
        <v>119</v>
      </c>
      <c r="B967" s="455">
        <v>908</v>
      </c>
      <c r="C967" s="402" t="s">
        <v>159</v>
      </c>
      <c r="D967" s="402" t="s">
        <v>174</v>
      </c>
      <c r="E967" s="402" t="s">
        <v>449</v>
      </c>
      <c r="F967" s="402" t="s">
        <v>120</v>
      </c>
      <c r="G967" s="318">
        <f>G968</f>
        <v>0</v>
      </c>
      <c r="H967" s="318">
        <f>H968</f>
        <v>0</v>
      </c>
      <c r="I967" s="334"/>
      <c r="J967" s="321"/>
    </row>
    <row r="968" spans="1:10" ht="15.75" hidden="1" x14ac:dyDescent="0.25">
      <c r="A968" s="399" t="s">
        <v>155</v>
      </c>
      <c r="B968" s="455">
        <v>908</v>
      </c>
      <c r="C968" s="402" t="s">
        <v>159</v>
      </c>
      <c r="D968" s="402" t="s">
        <v>174</v>
      </c>
      <c r="E968" s="402" t="s">
        <v>449</v>
      </c>
      <c r="F968" s="402" t="s">
        <v>156</v>
      </c>
      <c r="G968" s="20">
        <f>6282.4-163-6119.4</f>
        <v>0</v>
      </c>
      <c r="H968" s="20">
        <f>G968</f>
        <v>0</v>
      </c>
      <c r="I968" s="334"/>
      <c r="J968" s="321"/>
    </row>
    <row r="969" spans="1:10" ht="31.5" hidden="1" x14ac:dyDescent="0.25">
      <c r="A969" s="399" t="s">
        <v>153</v>
      </c>
      <c r="B969" s="455">
        <v>908</v>
      </c>
      <c r="C969" s="402" t="s">
        <v>159</v>
      </c>
      <c r="D969" s="402" t="s">
        <v>174</v>
      </c>
      <c r="E969" s="402" t="s">
        <v>449</v>
      </c>
      <c r="F969" s="402" t="s">
        <v>124</v>
      </c>
      <c r="G969" s="318">
        <f>G970</f>
        <v>0</v>
      </c>
      <c r="H969" s="318">
        <f>H970</f>
        <v>0</v>
      </c>
      <c r="I969" s="334"/>
      <c r="J969" s="321"/>
    </row>
    <row r="970" spans="1:10" ht="31.5" hidden="1" x14ac:dyDescent="0.25">
      <c r="A970" s="399" t="s">
        <v>125</v>
      </c>
      <c r="B970" s="455">
        <v>908</v>
      </c>
      <c r="C970" s="402" t="s">
        <v>159</v>
      </c>
      <c r="D970" s="402" t="s">
        <v>174</v>
      </c>
      <c r="E970" s="402" t="s">
        <v>449</v>
      </c>
      <c r="F970" s="402" t="s">
        <v>126</v>
      </c>
      <c r="G970" s="20">
        <f>326-326</f>
        <v>0</v>
      </c>
      <c r="H970" s="20">
        <f>326-326</f>
        <v>0</v>
      </c>
      <c r="I970" s="334"/>
      <c r="J970" s="321"/>
    </row>
    <row r="971" spans="1:10" ht="31.5" hidden="1" x14ac:dyDescent="0.25">
      <c r="A971" s="399" t="s">
        <v>416</v>
      </c>
      <c r="B971" s="455">
        <v>908</v>
      </c>
      <c r="C971" s="402" t="s">
        <v>159</v>
      </c>
      <c r="D971" s="402" t="s">
        <v>174</v>
      </c>
      <c r="E971" s="402" t="s">
        <v>450</v>
      </c>
      <c r="F971" s="402"/>
      <c r="G971" s="318">
        <f>G972</f>
        <v>0</v>
      </c>
      <c r="H971" s="318">
        <f>H972</f>
        <v>0</v>
      </c>
      <c r="I971" s="334"/>
      <c r="J971" s="321"/>
    </row>
    <row r="972" spans="1:10" ht="63" hidden="1" x14ac:dyDescent="0.25">
      <c r="A972" s="399" t="s">
        <v>119</v>
      </c>
      <c r="B972" s="455">
        <v>908</v>
      </c>
      <c r="C972" s="402" t="s">
        <v>159</v>
      </c>
      <c r="D972" s="402" t="s">
        <v>174</v>
      </c>
      <c r="E972" s="402" t="s">
        <v>450</v>
      </c>
      <c r="F972" s="402" t="s">
        <v>120</v>
      </c>
      <c r="G972" s="318">
        <f>G973</f>
        <v>0</v>
      </c>
      <c r="H972" s="318">
        <f>H973</f>
        <v>0</v>
      </c>
      <c r="I972" s="334"/>
      <c r="J972" s="321"/>
    </row>
    <row r="973" spans="1:10" ht="15.75" hidden="1" x14ac:dyDescent="0.25">
      <c r="A973" s="399" t="s">
        <v>155</v>
      </c>
      <c r="B973" s="455">
        <v>908</v>
      </c>
      <c r="C973" s="402" t="s">
        <v>159</v>
      </c>
      <c r="D973" s="402" t="s">
        <v>174</v>
      </c>
      <c r="E973" s="402" t="s">
        <v>450</v>
      </c>
      <c r="F973" s="402" t="s">
        <v>156</v>
      </c>
      <c r="G973" s="318">
        <f>258-258</f>
        <v>0</v>
      </c>
      <c r="H973" s="318">
        <f>258-258</f>
        <v>0</v>
      </c>
      <c r="I973" s="334"/>
      <c r="J973" s="321"/>
    </row>
    <row r="974" spans="1:10" ht="15.75" x14ac:dyDescent="0.25">
      <c r="A974" s="417" t="s">
        <v>166</v>
      </c>
      <c r="B974" s="454">
        <v>908</v>
      </c>
      <c r="C974" s="414" t="s">
        <v>139</v>
      </c>
      <c r="D974" s="414"/>
      <c r="E974" s="414"/>
      <c r="F974" s="414"/>
      <c r="G974" s="314">
        <f>G975+G981</f>
        <v>6306.7</v>
      </c>
      <c r="H974" s="314">
        <f>H975+H981</f>
        <v>6484.2</v>
      </c>
      <c r="I974" s="334"/>
      <c r="J974" s="321"/>
    </row>
    <row r="975" spans="1:10" ht="15.75" x14ac:dyDescent="0.25">
      <c r="A975" s="417" t="s">
        <v>256</v>
      </c>
      <c r="B975" s="454">
        <v>908</v>
      </c>
      <c r="C975" s="414" t="s">
        <v>139</v>
      </c>
      <c r="D975" s="414" t="s">
        <v>203</v>
      </c>
      <c r="E975" s="414"/>
      <c r="F975" s="414"/>
      <c r="G975" s="314">
        <f t="shared" ref="G975:H979" si="80">G976</f>
        <v>3258</v>
      </c>
      <c r="H975" s="314">
        <f t="shared" si="80"/>
        <v>3258</v>
      </c>
      <c r="I975" s="334"/>
      <c r="J975" s="321"/>
    </row>
    <row r="976" spans="1:10" ht="15.75" x14ac:dyDescent="0.25">
      <c r="A976" s="417" t="s">
        <v>133</v>
      </c>
      <c r="B976" s="454">
        <v>908</v>
      </c>
      <c r="C976" s="414" t="s">
        <v>139</v>
      </c>
      <c r="D976" s="414" t="s">
        <v>203</v>
      </c>
      <c r="E976" s="414" t="s">
        <v>442</v>
      </c>
      <c r="F976" s="414"/>
      <c r="G976" s="314">
        <f t="shared" si="80"/>
        <v>3258</v>
      </c>
      <c r="H976" s="314">
        <f t="shared" si="80"/>
        <v>3258</v>
      </c>
      <c r="I976" s="334"/>
      <c r="J976" s="321"/>
    </row>
    <row r="977" spans="1:10" ht="31.5" x14ac:dyDescent="0.25">
      <c r="A977" s="417" t="s">
        <v>446</v>
      </c>
      <c r="B977" s="454">
        <v>908</v>
      </c>
      <c r="C977" s="414" t="s">
        <v>139</v>
      </c>
      <c r="D977" s="414" t="s">
        <v>203</v>
      </c>
      <c r="E977" s="414" t="s">
        <v>441</v>
      </c>
      <c r="F977" s="414"/>
      <c r="G977" s="314">
        <f t="shared" si="80"/>
        <v>3258</v>
      </c>
      <c r="H977" s="314">
        <f t="shared" si="80"/>
        <v>3258</v>
      </c>
      <c r="I977" s="334"/>
      <c r="J977" s="321"/>
    </row>
    <row r="978" spans="1:10" ht="18" customHeight="1" x14ac:dyDescent="0.25">
      <c r="A978" s="399" t="s">
        <v>257</v>
      </c>
      <c r="B978" s="455">
        <v>908</v>
      </c>
      <c r="C978" s="402" t="s">
        <v>139</v>
      </c>
      <c r="D978" s="402" t="s">
        <v>203</v>
      </c>
      <c r="E978" s="402" t="s">
        <v>522</v>
      </c>
      <c r="F978" s="402"/>
      <c r="G978" s="318">
        <f t="shared" si="80"/>
        <v>3258</v>
      </c>
      <c r="H978" s="318">
        <f t="shared" si="80"/>
        <v>3258</v>
      </c>
      <c r="I978" s="334"/>
      <c r="J978" s="321"/>
    </row>
    <row r="979" spans="1:10" ht="31.5" x14ac:dyDescent="0.25">
      <c r="A979" s="399" t="s">
        <v>123</v>
      </c>
      <c r="B979" s="455">
        <v>908</v>
      </c>
      <c r="C979" s="402" t="s">
        <v>139</v>
      </c>
      <c r="D979" s="402" t="s">
        <v>203</v>
      </c>
      <c r="E979" s="402" t="s">
        <v>522</v>
      </c>
      <c r="F979" s="402" t="s">
        <v>124</v>
      </c>
      <c r="G979" s="318">
        <f t="shared" si="80"/>
        <v>3258</v>
      </c>
      <c r="H979" s="318">
        <f t="shared" si="80"/>
        <v>3258</v>
      </c>
      <c r="I979" s="334"/>
      <c r="J979" s="321"/>
    </row>
    <row r="980" spans="1:10" ht="31.5" x14ac:dyDescent="0.25">
      <c r="A980" s="399" t="s">
        <v>125</v>
      </c>
      <c r="B980" s="455">
        <v>908</v>
      </c>
      <c r="C980" s="402" t="s">
        <v>139</v>
      </c>
      <c r="D980" s="402" t="s">
        <v>203</v>
      </c>
      <c r="E980" s="402" t="s">
        <v>522</v>
      </c>
      <c r="F980" s="402" t="s">
        <v>126</v>
      </c>
      <c r="G980" s="318">
        <v>3258</v>
      </c>
      <c r="H980" s="318">
        <v>3258</v>
      </c>
      <c r="I980" s="334"/>
      <c r="J980" s="321"/>
    </row>
    <row r="981" spans="1:10" ht="15.75" x14ac:dyDescent="0.25">
      <c r="A981" s="417" t="s">
        <v>258</v>
      </c>
      <c r="B981" s="454">
        <v>908</v>
      </c>
      <c r="C981" s="414" t="s">
        <v>139</v>
      </c>
      <c r="D981" s="414" t="s">
        <v>161</v>
      </c>
      <c r="E981" s="402"/>
      <c r="F981" s="414"/>
      <c r="G981" s="314">
        <f>G982</f>
        <v>3048.7</v>
      </c>
      <c r="H981" s="314">
        <f>H982</f>
        <v>3226.2</v>
      </c>
      <c r="I981" s="334"/>
      <c r="J981" s="321"/>
    </row>
    <row r="982" spans="1:10" ht="36.75" customHeight="1" x14ac:dyDescent="0.25">
      <c r="A982" s="413" t="s">
        <v>863</v>
      </c>
      <c r="B982" s="454">
        <v>908</v>
      </c>
      <c r="C982" s="414" t="s">
        <v>139</v>
      </c>
      <c r="D982" s="414" t="s">
        <v>161</v>
      </c>
      <c r="E982" s="414" t="s">
        <v>259</v>
      </c>
      <c r="F982" s="414"/>
      <c r="G982" s="314">
        <f>G988+G983</f>
        <v>3048.7</v>
      </c>
      <c r="H982" s="314">
        <f>H988+H983</f>
        <v>3226.2</v>
      </c>
      <c r="I982" s="334"/>
      <c r="J982" s="321"/>
    </row>
    <row r="983" spans="1:10" ht="31.5" hidden="1" x14ac:dyDescent="0.25">
      <c r="A983" s="413" t="s">
        <v>562</v>
      </c>
      <c r="B983" s="454">
        <v>908</v>
      </c>
      <c r="C983" s="414" t="s">
        <v>139</v>
      </c>
      <c r="D983" s="414" t="s">
        <v>161</v>
      </c>
      <c r="E983" s="407" t="s">
        <v>523</v>
      </c>
      <c r="F983" s="414"/>
      <c r="G983" s="314">
        <f t="shared" ref="G983:H985" si="81">G984</f>
        <v>0</v>
      </c>
      <c r="H983" s="314">
        <f t="shared" si="81"/>
        <v>0</v>
      </c>
      <c r="I983" s="334"/>
      <c r="J983" s="321"/>
    </row>
    <row r="984" spans="1:10" ht="15.75" hidden="1" x14ac:dyDescent="0.25">
      <c r="A984" s="459" t="s">
        <v>564</v>
      </c>
      <c r="B984" s="455">
        <v>908</v>
      </c>
      <c r="C984" s="402" t="s">
        <v>139</v>
      </c>
      <c r="D984" s="402" t="s">
        <v>161</v>
      </c>
      <c r="E984" s="403" t="s">
        <v>563</v>
      </c>
      <c r="F984" s="402"/>
      <c r="G984" s="318">
        <f t="shared" si="81"/>
        <v>0</v>
      </c>
      <c r="H984" s="318">
        <f t="shared" si="81"/>
        <v>0</v>
      </c>
      <c r="I984" s="334"/>
      <c r="J984" s="321"/>
    </row>
    <row r="985" spans="1:10" ht="31.5" hidden="1" x14ac:dyDescent="0.25">
      <c r="A985" s="399" t="s">
        <v>123</v>
      </c>
      <c r="B985" s="455">
        <v>908</v>
      </c>
      <c r="C985" s="402" t="s">
        <v>139</v>
      </c>
      <c r="D985" s="402" t="s">
        <v>161</v>
      </c>
      <c r="E985" s="403" t="s">
        <v>563</v>
      </c>
      <c r="F985" s="402" t="s">
        <v>124</v>
      </c>
      <c r="G985" s="318">
        <f t="shared" si="81"/>
        <v>0</v>
      </c>
      <c r="H985" s="318">
        <f t="shared" si="81"/>
        <v>0</v>
      </c>
      <c r="I985" s="334"/>
      <c r="J985" s="321"/>
    </row>
    <row r="986" spans="1:10" ht="31.5" hidden="1" x14ac:dyDescent="0.25">
      <c r="A986" s="399" t="s">
        <v>125</v>
      </c>
      <c r="B986" s="455">
        <v>908</v>
      </c>
      <c r="C986" s="402" t="s">
        <v>139</v>
      </c>
      <c r="D986" s="402" t="s">
        <v>161</v>
      </c>
      <c r="E986" s="403" t="s">
        <v>563</v>
      </c>
      <c r="F986" s="402" t="s">
        <v>126</v>
      </c>
      <c r="G986" s="318">
        <v>0</v>
      </c>
      <c r="H986" s="318">
        <v>0</v>
      </c>
      <c r="I986" s="334"/>
      <c r="J986" s="321"/>
    </row>
    <row r="987" spans="1:10" ht="31.5" x14ac:dyDescent="0.25">
      <c r="A987" s="413" t="s">
        <v>618</v>
      </c>
      <c r="B987" s="454">
        <v>908</v>
      </c>
      <c r="C987" s="414" t="s">
        <v>139</v>
      </c>
      <c r="D987" s="414" t="s">
        <v>161</v>
      </c>
      <c r="E987" s="414" t="s">
        <v>524</v>
      </c>
      <c r="F987" s="414"/>
      <c r="G987" s="314">
        <f>G988</f>
        <v>3048.7</v>
      </c>
      <c r="H987" s="314">
        <f>H988</f>
        <v>3226.2</v>
      </c>
      <c r="I987" s="334"/>
      <c r="J987" s="321"/>
    </row>
    <row r="988" spans="1:10" ht="15.75" x14ac:dyDescent="0.25">
      <c r="A988" s="459" t="s">
        <v>260</v>
      </c>
      <c r="B988" s="455">
        <v>908</v>
      </c>
      <c r="C988" s="402" t="s">
        <v>139</v>
      </c>
      <c r="D988" s="402" t="s">
        <v>161</v>
      </c>
      <c r="E988" s="403" t="s">
        <v>565</v>
      </c>
      <c r="F988" s="402"/>
      <c r="G988" s="318">
        <f>G991+G993+G989</f>
        <v>3048.7</v>
      </c>
      <c r="H988" s="318">
        <f>H991+H993+H989</f>
        <v>3226.2</v>
      </c>
      <c r="I988" s="334"/>
      <c r="J988" s="321"/>
    </row>
    <row r="989" spans="1:10" ht="63" x14ac:dyDescent="0.25">
      <c r="A989" s="399" t="s">
        <v>119</v>
      </c>
      <c r="B989" s="455">
        <v>908</v>
      </c>
      <c r="C989" s="402" t="s">
        <v>139</v>
      </c>
      <c r="D989" s="402" t="s">
        <v>161</v>
      </c>
      <c r="E989" s="403" t="s">
        <v>565</v>
      </c>
      <c r="F989" s="402" t="s">
        <v>120</v>
      </c>
      <c r="G989" s="318">
        <f>G990</f>
        <v>1907.4</v>
      </c>
      <c r="H989" s="318">
        <f>H990</f>
        <v>2062</v>
      </c>
      <c r="I989" s="334"/>
      <c r="J989" s="321"/>
    </row>
    <row r="990" spans="1:10" ht="15.75" x14ac:dyDescent="0.25">
      <c r="A990" s="399" t="s">
        <v>212</v>
      </c>
      <c r="B990" s="455">
        <v>908</v>
      </c>
      <c r="C990" s="402" t="s">
        <v>139</v>
      </c>
      <c r="D990" s="402" t="s">
        <v>161</v>
      </c>
      <c r="E990" s="403" t="s">
        <v>565</v>
      </c>
      <c r="F990" s="402" t="s">
        <v>156</v>
      </c>
      <c r="G990" s="318">
        <f>1907.4</f>
        <v>1907.4</v>
      </c>
      <c r="H990" s="318">
        <f>1907.4+154.6</f>
        <v>2062</v>
      </c>
      <c r="I990" s="334"/>
      <c r="J990" s="321"/>
    </row>
    <row r="991" spans="1:10" ht="31.5" x14ac:dyDescent="0.25">
      <c r="A991" s="399" t="s">
        <v>123</v>
      </c>
      <c r="B991" s="455">
        <v>908</v>
      </c>
      <c r="C991" s="402" t="s">
        <v>139</v>
      </c>
      <c r="D991" s="402" t="s">
        <v>161</v>
      </c>
      <c r="E991" s="403" t="s">
        <v>565</v>
      </c>
      <c r="F991" s="402" t="s">
        <v>124</v>
      </c>
      <c r="G991" s="318">
        <f>G992</f>
        <v>1141.3</v>
      </c>
      <c r="H991" s="318">
        <f>H992</f>
        <v>1164.2</v>
      </c>
      <c r="I991" s="334"/>
      <c r="J991" s="321"/>
    </row>
    <row r="992" spans="1:10" ht="31.5" x14ac:dyDescent="0.25">
      <c r="A992" s="399" t="s">
        <v>125</v>
      </c>
      <c r="B992" s="455">
        <v>908</v>
      </c>
      <c r="C992" s="402" t="s">
        <v>139</v>
      </c>
      <c r="D992" s="402" t="s">
        <v>161</v>
      </c>
      <c r="E992" s="403" t="s">
        <v>565</v>
      </c>
      <c r="F992" s="402" t="s">
        <v>126</v>
      </c>
      <c r="G992" s="318">
        <f>957+207.2-22.9</f>
        <v>1141.3</v>
      </c>
      <c r="H992" s="318">
        <f>957+207.2</f>
        <v>1164.2</v>
      </c>
      <c r="I992" s="334"/>
      <c r="J992" s="321"/>
    </row>
    <row r="993" spans="1:10" ht="15.75" hidden="1" x14ac:dyDescent="0.25">
      <c r="A993" s="399" t="s">
        <v>127</v>
      </c>
      <c r="B993" s="455">
        <v>908</v>
      </c>
      <c r="C993" s="402" t="s">
        <v>139</v>
      </c>
      <c r="D993" s="402" t="s">
        <v>161</v>
      </c>
      <c r="E993" s="403" t="s">
        <v>565</v>
      </c>
      <c r="F993" s="402" t="s">
        <v>134</v>
      </c>
      <c r="G993" s="318">
        <f>G994</f>
        <v>0</v>
      </c>
      <c r="H993" s="318">
        <f>H994</f>
        <v>0</v>
      </c>
      <c r="I993" s="334"/>
      <c r="J993" s="321"/>
    </row>
    <row r="994" spans="1:10" ht="15.75" hidden="1" x14ac:dyDescent="0.25">
      <c r="A994" s="399" t="s">
        <v>280</v>
      </c>
      <c r="B994" s="455">
        <v>908</v>
      </c>
      <c r="C994" s="402" t="s">
        <v>139</v>
      </c>
      <c r="D994" s="402" t="s">
        <v>161</v>
      </c>
      <c r="E994" s="403" t="s">
        <v>565</v>
      </c>
      <c r="F994" s="402" t="s">
        <v>130</v>
      </c>
      <c r="G994" s="318">
        <v>0</v>
      </c>
      <c r="H994" s="318">
        <v>0</v>
      </c>
      <c r="I994" s="334"/>
      <c r="J994" s="321"/>
    </row>
    <row r="995" spans="1:10" ht="15.75" x14ac:dyDescent="0.25">
      <c r="A995" s="417" t="s">
        <v>231</v>
      </c>
      <c r="B995" s="454">
        <v>908</v>
      </c>
      <c r="C995" s="414" t="s">
        <v>168</v>
      </c>
      <c r="D995" s="414"/>
      <c r="E995" s="414"/>
      <c r="F995" s="414"/>
      <c r="G995" s="314">
        <f>G996+G1013+G1078+G1140</f>
        <v>61812.911999999997</v>
      </c>
      <c r="H995" s="314">
        <f>H996+H1013+H1078+H1140</f>
        <v>54562.47</v>
      </c>
      <c r="I995" s="334"/>
      <c r="J995" s="321"/>
    </row>
    <row r="996" spans="1:10" ht="15.75" x14ac:dyDescent="0.25">
      <c r="A996" s="417" t="s">
        <v>232</v>
      </c>
      <c r="B996" s="454">
        <v>908</v>
      </c>
      <c r="C996" s="414" t="s">
        <v>168</v>
      </c>
      <c r="D996" s="414" t="s">
        <v>116</v>
      </c>
      <c r="E996" s="414"/>
      <c r="F996" s="414"/>
      <c r="G996" s="314">
        <f>G997</f>
        <v>13480.23</v>
      </c>
      <c r="H996" s="314">
        <f>H997</f>
        <v>6060.4</v>
      </c>
      <c r="I996" s="334"/>
      <c r="J996" s="321"/>
    </row>
    <row r="997" spans="1:10" ht="15.75" x14ac:dyDescent="0.25">
      <c r="A997" s="417" t="s">
        <v>133</v>
      </c>
      <c r="B997" s="454">
        <v>908</v>
      </c>
      <c r="C997" s="414" t="s">
        <v>168</v>
      </c>
      <c r="D997" s="414" t="s">
        <v>116</v>
      </c>
      <c r="E997" s="414" t="s">
        <v>442</v>
      </c>
      <c r="F997" s="414"/>
      <c r="G997" s="314">
        <f>G998</f>
        <v>13480.23</v>
      </c>
      <c r="H997" s="314">
        <f>H998</f>
        <v>6060.4</v>
      </c>
      <c r="I997" s="334"/>
      <c r="J997" s="321"/>
    </row>
    <row r="998" spans="1:10" ht="31.5" x14ac:dyDescent="0.25">
      <c r="A998" s="417" t="s">
        <v>446</v>
      </c>
      <c r="B998" s="454">
        <v>908</v>
      </c>
      <c r="C998" s="414" t="s">
        <v>168</v>
      </c>
      <c r="D998" s="414" t="s">
        <v>116</v>
      </c>
      <c r="E998" s="414" t="s">
        <v>441</v>
      </c>
      <c r="F998" s="414"/>
      <c r="G998" s="314">
        <f>G1007+G1004+G999+G1010</f>
        <v>13480.23</v>
      </c>
      <c r="H998" s="314">
        <f>H1007+H1004+H999+H1010</f>
        <v>6060.4</v>
      </c>
      <c r="I998" s="334"/>
      <c r="J998" s="321"/>
    </row>
    <row r="999" spans="1:10" ht="15.75" hidden="1" x14ac:dyDescent="0.25">
      <c r="A999" s="399" t="s">
        <v>261</v>
      </c>
      <c r="B999" s="455">
        <v>908</v>
      </c>
      <c r="C999" s="402" t="s">
        <v>353</v>
      </c>
      <c r="D999" s="402" t="s">
        <v>116</v>
      </c>
      <c r="E999" s="402" t="s">
        <v>525</v>
      </c>
      <c r="F999" s="414"/>
      <c r="G999" s="318">
        <f>G1002+G1000</f>
        <v>0</v>
      </c>
      <c r="H999" s="318">
        <f>H1002+H1000</f>
        <v>0</v>
      </c>
      <c r="I999" s="334"/>
      <c r="J999" s="321"/>
    </row>
    <row r="1000" spans="1:10" ht="31.5" hidden="1" x14ac:dyDescent="0.25">
      <c r="A1000" s="399" t="s">
        <v>123</v>
      </c>
      <c r="B1000" s="455">
        <v>908</v>
      </c>
      <c r="C1000" s="402" t="s">
        <v>168</v>
      </c>
      <c r="D1000" s="402" t="s">
        <v>116</v>
      </c>
      <c r="E1000" s="402" t="s">
        <v>525</v>
      </c>
      <c r="F1000" s="402" t="s">
        <v>124</v>
      </c>
      <c r="G1000" s="318">
        <f>G1001</f>
        <v>0</v>
      </c>
      <c r="H1000" s="318">
        <f>H1001</f>
        <v>0</v>
      </c>
      <c r="I1000" s="334"/>
      <c r="J1000" s="321"/>
    </row>
    <row r="1001" spans="1:10" ht="31.5" hidden="1" x14ac:dyDescent="0.25">
      <c r="A1001" s="399" t="s">
        <v>125</v>
      </c>
      <c r="B1001" s="455">
        <v>908</v>
      </c>
      <c r="C1001" s="402" t="s">
        <v>168</v>
      </c>
      <c r="D1001" s="402" t="s">
        <v>116</v>
      </c>
      <c r="E1001" s="402" t="s">
        <v>525</v>
      </c>
      <c r="F1001" s="402" t="s">
        <v>126</v>
      </c>
      <c r="G1001" s="318"/>
      <c r="H1001" s="318"/>
      <c r="I1001" s="334"/>
      <c r="J1001" s="321"/>
    </row>
    <row r="1002" spans="1:10" ht="15.75" hidden="1" x14ac:dyDescent="0.25">
      <c r="A1002" s="399" t="s">
        <v>127</v>
      </c>
      <c r="B1002" s="455">
        <v>908</v>
      </c>
      <c r="C1002" s="402" t="s">
        <v>168</v>
      </c>
      <c r="D1002" s="402" t="s">
        <v>116</v>
      </c>
      <c r="E1002" s="402" t="s">
        <v>525</v>
      </c>
      <c r="F1002" s="402" t="s">
        <v>134</v>
      </c>
      <c r="G1002" s="318">
        <f>G1003</f>
        <v>0</v>
      </c>
      <c r="H1002" s="318">
        <f>H1003</f>
        <v>0</v>
      </c>
      <c r="I1002" s="334"/>
      <c r="J1002" s="321"/>
    </row>
    <row r="1003" spans="1:10" ht="48.75" hidden="1" customHeight="1" x14ac:dyDescent="0.25">
      <c r="A1003" s="399" t="s">
        <v>148</v>
      </c>
      <c r="B1003" s="455">
        <v>908</v>
      </c>
      <c r="C1003" s="402" t="s">
        <v>168</v>
      </c>
      <c r="D1003" s="402" t="s">
        <v>116</v>
      </c>
      <c r="E1003" s="402" t="s">
        <v>525</v>
      </c>
      <c r="F1003" s="402" t="s">
        <v>142</v>
      </c>
      <c r="G1003" s="318"/>
      <c r="H1003" s="318"/>
      <c r="I1003" s="334"/>
      <c r="J1003" s="321"/>
    </row>
    <row r="1004" spans="1:10" ht="31.5" x14ac:dyDescent="0.25">
      <c r="A1004" s="459" t="s">
        <v>233</v>
      </c>
      <c r="B1004" s="455">
        <v>908</v>
      </c>
      <c r="C1004" s="402" t="s">
        <v>168</v>
      </c>
      <c r="D1004" s="402" t="s">
        <v>116</v>
      </c>
      <c r="E1004" s="402" t="s">
        <v>526</v>
      </c>
      <c r="F1004" s="414"/>
      <c r="G1004" s="318">
        <f>G1005</f>
        <v>4920.3999999999996</v>
      </c>
      <c r="H1004" s="318">
        <f>H1005</f>
        <v>4920.3999999999996</v>
      </c>
      <c r="I1004" s="334"/>
      <c r="J1004" s="321"/>
    </row>
    <row r="1005" spans="1:10" ht="31.5" x14ac:dyDescent="0.25">
      <c r="A1005" s="399" t="s">
        <v>123</v>
      </c>
      <c r="B1005" s="455">
        <v>908</v>
      </c>
      <c r="C1005" s="402" t="s">
        <v>168</v>
      </c>
      <c r="D1005" s="402" t="s">
        <v>116</v>
      </c>
      <c r="E1005" s="402" t="s">
        <v>526</v>
      </c>
      <c r="F1005" s="402" t="s">
        <v>124</v>
      </c>
      <c r="G1005" s="318">
        <f>G1006</f>
        <v>4920.3999999999996</v>
      </c>
      <c r="H1005" s="318">
        <f>H1006</f>
        <v>4920.3999999999996</v>
      </c>
      <c r="I1005" s="334"/>
      <c r="J1005" s="321"/>
    </row>
    <row r="1006" spans="1:10" ht="33" customHeight="1" x14ac:dyDescent="0.25">
      <c r="A1006" s="399" t="s">
        <v>125</v>
      </c>
      <c r="B1006" s="455">
        <v>908</v>
      </c>
      <c r="C1006" s="402" t="s">
        <v>168</v>
      </c>
      <c r="D1006" s="402" t="s">
        <v>116</v>
      </c>
      <c r="E1006" s="402" t="s">
        <v>526</v>
      </c>
      <c r="F1006" s="402" t="s">
        <v>126</v>
      </c>
      <c r="G1006" s="20">
        <v>4920.3999999999996</v>
      </c>
      <c r="H1006" s="20">
        <v>4920.3999999999996</v>
      </c>
      <c r="I1006" s="334"/>
      <c r="J1006" s="321"/>
    </row>
    <row r="1007" spans="1:10" ht="31.5" x14ac:dyDescent="0.25">
      <c r="A1007" s="459" t="s">
        <v>503</v>
      </c>
      <c r="B1007" s="455">
        <v>908</v>
      </c>
      <c r="C1007" s="402" t="s">
        <v>168</v>
      </c>
      <c r="D1007" s="402" t="s">
        <v>116</v>
      </c>
      <c r="E1007" s="402" t="s">
        <v>527</v>
      </c>
      <c r="F1007" s="414"/>
      <c r="G1007" s="318">
        <f>G1008</f>
        <v>1140</v>
      </c>
      <c r="H1007" s="318">
        <f>H1008</f>
        <v>1140</v>
      </c>
      <c r="I1007" s="334"/>
      <c r="J1007" s="321"/>
    </row>
    <row r="1008" spans="1:10" ht="31.5" x14ac:dyDescent="0.25">
      <c r="A1008" s="399" t="s">
        <v>123</v>
      </c>
      <c r="B1008" s="455">
        <v>908</v>
      </c>
      <c r="C1008" s="402" t="s">
        <v>168</v>
      </c>
      <c r="D1008" s="402" t="s">
        <v>116</v>
      </c>
      <c r="E1008" s="402" t="s">
        <v>527</v>
      </c>
      <c r="F1008" s="402" t="s">
        <v>124</v>
      </c>
      <c r="G1008" s="318">
        <f>G1009</f>
        <v>1140</v>
      </c>
      <c r="H1008" s="318">
        <f>H1009</f>
        <v>1140</v>
      </c>
      <c r="I1008" s="334"/>
      <c r="J1008" s="321"/>
    </row>
    <row r="1009" spans="1:11" ht="33" customHeight="1" x14ac:dyDescent="0.25">
      <c r="A1009" s="399" t="s">
        <v>125</v>
      </c>
      <c r="B1009" s="455">
        <v>908</v>
      </c>
      <c r="C1009" s="402" t="s">
        <v>168</v>
      </c>
      <c r="D1009" s="402" t="s">
        <v>116</v>
      </c>
      <c r="E1009" s="402" t="s">
        <v>527</v>
      </c>
      <c r="F1009" s="402" t="s">
        <v>126</v>
      </c>
      <c r="G1009" s="318">
        <v>1140</v>
      </c>
      <c r="H1009" s="318">
        <v>1140</v>
      </c>
      <c r="I1009" s="334"/>
      <c r="J1009" s="321"/>
      <c r="K1009" s="345"/>
    </row>
    <row r="1010" spans="1:11" ht="33" customHeight="1" x14ac:dyDescent="0.25">
      <c r="A1010" s="399" t="s">
        <v>1006</v>
      </c>
      <c r="B1010" s="455">
        <v>908</v>
      </c>
      <c r="C1010" s="402" t="s">
        <v>168</v>
      </c>
      <c r="D1010" s="402" t="s">
        <v>116</v>
      </c>
      <c r="E1010" s="402" t="s">
        <v>1007</v>
      </c>
      <c r="F1010" s="402"/>
      <c r="G1010" s="318">
        <f>G1011</f>
        <v>7419.83</v>
      </c>
      <c r="H1010" s="318">
        <f>H1011</f>
        <v>0</v>
      </c>
      <c r="I1010" s="334"/>
      <c r="J1010" s="321"/>
    </row>
    <row r="1011" spans="1:11" ht="33" customHeight="1" x14ac:dyDescent="0.25">
      <c r="A1011" s="399" t="s">
        <v>123</v>
      </c>
      <c r="B1011" s="455">
        <v>908</v>
      </c>
      <c r="C1011" s="402" t="s">
        <v>168</v>
      </c>
      <c r="D1011" s="402" t="s">
        <v>116</v>
      </c>
      <c r="E1011" s="402" t="s">
        <v>1007</v>
      </c>
      <c r="F1011" s="402" t="s">
        <v>124</v>
      </c>
      <c r="G1011" s="318">
        <f>G1012</f>
        <v>7419.83</v>
      </c>
      <c r="H1011" s="318">
        <f>H1012</f>
        <v>0</v>
      </c>
      <c r="I1011" s="334"/>
      <c r="J1011" s="321"/>
    </row>
    <row r="1012" spans="1:11" ht="33" customHeight="1" x14ac:dyDescent="0.25">
      <c r="A1012" s="399" t="s">
        <v>125</v>
      </c>
      <c r="B1012" s="455">
        <v>908</v>
      </c>
      <c r="C1012" s="402" t="s">
        <v>168</v>
      </c>
      <c r="D1012" s="402" t="s">
        <v>116</v>
      </c>
      <c r="E1012" s="402" t="s">
        <v>1007</v>
      </c>
      <c r="F1012" s="402" t="s">
        <v>126</v>
      </c>
      <c r="G1012" s="318">
        <f>6900.43698+519.39302</f>
        <v>7419.83</v>
      </c>
      <c r="H1012" s="318">
        <v>0</v>
      </c>
      <c r="I1012" s="334"/>
      <c r="J1012" s="334"/>
    </row>
    <row r="1013" spans="1:11" ht="15.75" x14ac:dyDescent="0.25">
      <c r="A1013" s="417" t="s">
        <v>262</v>
      </c>
      <c r="B1013" s="454">
        <v>908</v>
      </c>
      <c r="C1013" s="414" t="s">
        <v>168</v>
      </c>
      <c r="D1013" s="414" t="s">
        <v>158</v>
      </c>
      <c r="E1013" s="414"/>
      <c r="F1013" s="414"/>
      <c r="G1013" s="314">
        <f>G1014+G1044+G1073</f>
        <v>8184.7419999999993</v>
      </c>
      <c r="H1013" s="314">
        <f>H1014+H1044+H1073</f>
        <v>8354.0300000000007</v>
      </c>
      <c r="I1013" s="334"/>
      <c r="J1013" s="321"/>
    </row>
    <row r="1014" spans="1:11" ht="15.75" x14ac:dyDescent="0.25">
      <c r="A1014" s="417" t="s">
        <v>133</v>
      </c>
      <c r="B1014" s="454">
        <v>908</v>
      </c>
      <c r="C1014" s="414" t="s">
        <v>168</v>
      </c>
      <c r="D1014" s="414" t="s">
        <v>158</v>
      </c>
      <c r="E1014" s="414" t="s">
        <v>442</v>
      </c>
      <c r="F1014" s="414"/>
      <c r="G1014" s="314">
        <f>G1015+G1027</f>
        <v>7280.7419999999993</v>
      </c>
      <c r="H1014" s="314">
        <f>H1015+H1027</f>
        <v>7450.0300000000007</v>
      </c>
      <c r="I1014" s="334"/>
      <c r="J1014" s="321"/>
    </row>
    <row r="1015" spans="1:11" ht="31.5" x14ac:dyDescent="0.25">
      <c r="A1015" s="417" t="s">
        <v>446</v>
      </c>
      <c r="B1015" s="454">
        <v>908</v>
      </c>
      <c r="C1015" s="414" t="s">
        <v>168</v>
      </c>
      <c r="D1015" s="414" t="s">
        <v>158</v>
      </c>
      <c r="E1015" s="414" t="s">
        <v>441</v>
      </c>
      <c r="F1015" s="414"/>
      <c r="G1015" s="314">
        <f>G1016+G1022</f>
        <v>7280.7419999999993</v>
      </c>
      <c r="H1015" s="314">
        <f>H1016+H1022</f>
        <v>7450.0300000000007</v>
      </c>
      <c r="I1015" s="334"/>
      <c r="J1015" s="321"/>
    </row>
    <row r="1016" spans="1:11" ht="15.75" hidden="1" x14ac:dyDescent="0.25">
      <c r="A1016" s="495" t="s">
        <v>271</v>
      </c>
      <c r="B1016" s="455">
        <v>908</v>
      </c>
      <c r="C1016" s="402" t="s">
        <v>168</v>
      </c>
      <c r="D1016" s="402" t="s">
        <v>158</v>
      </c>
      <c r="E1016" s="402" t="s">
        <v>544</v>
      </c>
      <c r="F1016" s="402"/>
      <c r="G1016" s="318">
        <f>G1017+G1019</f>
        <v>0</v>
      </c>
      <c r="H1016" s="318">
        <f>H1017+H1019</f>
        <v>0</v>
      </c>
      <c r="I1016" s="334"/>
      <c r="J1016" s="321"/>
    </row>
    <row r="1017" spans="1:11" ht="31.5" hidden="1" x14ac:dyDescent="0.25">
      <c r="A1017" s="399" t="s">
        <v>123</v>
      </c>
      <c r="B1017" s="455">
        <v>908</v>
      </c>
      <c r="C1017" s="402" t="s">
        <v>168</v>
      </c>
      <c r="D1017" s="402" t="s">
        <v>158</v>
      </c>
      <c r="E1017" s="402" t="s">
        <v>544</v>
      </c>
      <c r="F1017" s="402" t="s">
        <v>124</v>
      </c>
      <c r="G1017" s="318">
        <f>G1018</f>
        <v>0</v>
      </c>
      <c r="H1017" s="318">
        <f>H1018</f>
        <v>0</v>
      </c>
      <c r="I1017" s="334"/>
      <c r="J1017" s="321"/>
    </row>
    <row r="1018" spans="1:11" ht="31.5" hidden="1" x14ac:dyDescent="0.25">
      <c r="A1018" s="399" t="s">
        <v>125</v>
      </c>
      <c r="B1018" s="455">
        <v>908</v>
      </c>
      <c r="C1018" s="402" t="s">
        <v>168</v>
      </c>
      <c r="D1018" s="402" t="s">
        <v>158</v>
      </c>
      <c r="E1018" s="402" t="s">
        <v>544</v>
      </c>
      <c r="F1018" s="402" t="s">
        <v>126</v>
      </c>
      <c r="G1018" s="566"/>
      <c r="H1018" s="566"/>
      <c r="I1018" s="334"/>
      <c r="J1018" s="342"/>
    </row>
    <row r="1019" spans="1:11" ht="15.75" hidden="1" x14ac:dyDescent="0.25">
      <c r="A1019" s="399" t="s">
        <v>127</v>
      </c>
      <c r="B1019" s="455">
        <v>908</v>
      </c>
      <c r="C1019" s="402" t="s">
        <v>168</v>
      </c>
      <c r="D1019" s="402" t="s">
        <v>158</v>
      </c>
      <c r="E1019" s="402" t="s">
        <v>544</v>
      </c>
      <c r="F1019" s="402" t="s">
        <v>134</v>
      </c>
      <c r="G1019" s="566">
        <f>G1020+G1021</f>
        <v>0</v>
      </c>
      <c r="H1019" s="566">
        <f>H1020+H1021</f>
        <v>0</v>
      </c>
      <c r="I1019" s="334"/>
      <c r="J1019" s="321"/>
    </row>
    <row r="1020" spans="1:11" ht="47.25" hidden="1" x14ac:dyDescent="0.25">
      <c r="A1020" s="399" t="s">
        <v>148</v>
      </c>
      <c r="B1020" s="455">
        <v>908</v>
      </c>
      <c r="C1020" s="402" t="s">
        <v>168</v>
      </c>
      <c r="D1020" s="402" t="s">
        <v>158</v>
      </c>
      <c r="E1020" s="402" t="s">
        <v>544</v>
      </c>
      <c r="F1020" s="402" t="s">
        <v>142</v>
      </c>
      <c r="G1020" s="566">
        <v>0</v>
      </c>
      <c r="H1020" s="566">
        <v>0</v>
      </c>
      <c r="I1020" s="334"/>
      <c r="J1020" s="321"/>
    </row>
    <row r="1021" spans="1:11" ht="15.75" hidden="1" x14ac:dyDescent="0.25">
      <c r="A1021" s="399" t="s">
        <v>135</v>
      </c>
      <c r="B1021" s="455">
        <v>908</v>
      </c>
      <c r="C1021" s="402" t="s">
        <v>168</v>
      </c>
      <c r="D1021" s="402" t="s">
        <v>158</v>
      </c>
      <c r="E1021" s="402" t="s">
        <v>544</v>
      </c>
      <c r="F1021" s="402" t="s">
        <v>136</v>
      </c>
      <c r="G1021" s="566">
        <v>0</v>
      </c>
      <c r="H1021" s="566">
        <v>0</v>
      </c>
      <c r="I1021" s="334"/>
      <c r="J1021" s="321"/>
    </row>
    <row r="1022" spans="1:11" ht="31.5" x14ac:dyDescent="0.25">
      <c r="A1022" s="459" t="s">
        <v>503</v>
      </c>
      <c r="B1022" s="455">
        <v>908</v>
      </c>
      <c r="C1022" s="402" t="s">
        <v>168</v>
      </c>
      <c r="D1022" s="402" t="s">
        <v>158</v>
      </c>
      <c r="E1022" s="402" t="s">
        <v>527</v>
      </c>
      <c r="F1022" s="402"/>
      <c r="G1022" s="318">
        <f>G1025+G1023</f>
        <v>7280.7419999999993</v>
      </c>
      <c r="H1022" s="318">
        <f>H1025+H1023</f>
        <v>7450.0300000000007</v>
      </c>
      <c r="I1022" s="334"/>
      <c r="J1022" s="321"/>
    </row>
    <row r="1023" spans="1:11" ht="31.5" x14ac:dyDescent="0.25">
      <c r="A1023" s="399" t="s">
        <v>123</v>
      </c>
      <c r="B1023" s="455">
        <v>908</v>
      </c>
      <c r="C1023" s="402" t="s">
        <v>168</v>
      </c>
      <c r="D1023" s="402" t="s">
        <v>158</v>
      </c>
      <c r="E1023" s="402" t="s">
        <v>527</v>
      </c>
      <c r="F1023" s="402" t="s">
        <v>124</v>
      </c>
      <c r="G1023" s="318">
        <f>G1024</f>
        <v>7280.7419999999993</v>
      </c>
      <c r="H1023" s="318">
        <f>H1024</f>
        <v>7450.0300000000007</v>
      </c>
      <c r="I1023" s="334"/>
      <c r="J1023" s="321"/>
    </row>
    <row r="1024" spans="1:11" ht="31.5" x14ac:dyDescent="0.25">
      <c r="A1024" s="399" t="s">
        <v>125</v>
      </c>
      <c r="B1024" s="455">
        <v>908</v>
      </c>
      <c r="C1024" s="402" t="s">
        <v>168</v>
      </c>
      <c r="D1024" s="402" t="s">
        <v>158</v>
      </c>
      <c r="E1024" s="402" t="s">
        <v>527</v>
      </c>
      <c r="F1024" s="402" t="s">
        <v>126</v>
      </c>
      <c r="G1024" s="318">
        <f>7515.9-224.4-13.658+2.9</f>
        <v>7280.7419999999993</v>
      </c>
      <c r="H1024" s="318">
        <f>6774.6+2692.6-1951.3-65.87</f>
        <v>7450.0300000000007</v>
      </c>
      <c r="I1024" s="334" t="s">
        <v>1321</v>
      </c>
      <c r="J1024" s="321"/>
    </row>
    <row r="1025" spans="1:14" ht="15.75" hidden="1" x14ac:dyDescent="0.25">
      <c r="A1025" s="399" t="s">
        <v>127</v>
      </c>
      <c r="B1025" s="455">
        <v>908</v>
      </c>
      <c r="C1025" s="402" t="s">
        <v>168</v>
      </c>
      <c r="D1025" s="402" t="s">
        <v>158</v>
      </c>
      <c r="E1025" s="402" t="s">
        <v>527</v>
      </c>
      <c r="F1025" s="402" t="s">
        <v>134</v>
      </c>
      <c r="G1025" s="318">
        <f>G1026</f>
        <v>0</v>
      </c>
      <c r="H1025" s="318">
        <f>H1026</f>
        <v>0</v>
      </c>
      <c r="I1025" s="334"/>
      <c r="J1025" s="321"/>
    </row>
    <row r="1026" spans="1:14" ht="15.75" hidden="1" x14ac:dyDescent="0.25">
      <c r="A1026" s="399" t="s">
        <v>135</v>
      </c>
      <c r="B1026" s="455">
        <v>908</v>
      </c>
      <c r="C1026" s="402" t="s">
        <v>168</v>
      </c>
      <c r="D1026" s="402" t="s">
        <v>158</v>
      </c>
      <c r="E1026" s="402" t="s">
        <v>527</v>
      </c>
      <c r="F1026" s="402" t="s">
        <v>136</v>
      </c>
      <c r="G1026" s="318">
        <v>0</v>
      </c>
      <c r="H1026" s="318">
        <v>0</v>
      </c>
      <c r="I1026" s="334"/>
      <c r="J1026" s="321"/>
    </row>
    <row r="1027" spans="1:14" ht="48.75" hidden="1" customHeight="1" x14ac:dyDescent="0.25">
      <c r="A1027" s="417" t="s">
        <v>576</v>
      </c>
      <c r="B1027" s="454">
        <v>908</v>
      </c>
      <c r="C1027" s="414" t="s">
        <v>168</v>
      </c>
      <c r="D1027" s="414" t="s">
        <v>158</v>
      </c>
      <c r="E1027" s="414" t="s">
        <v>545</v>
      </c>
      <c r="F1027" s="414"/>
      <c r="G1027" s="314">
        <f>G1028+G1036+G1033+G1041</f>
        <v>0</v>
      </c>
      <c r="H1027" s="314">
        <f>H1028+H1036+H1033+H1041</f>
        <v>0</v>
      </c>
      <c r="I1027" s="334"/>
      <c r="J1027" s="321"/>
    </row>
    <row r="1028" spans="1:14" ht="35.450000000000003" hidden="1" customHeight="1" x14ac:dyDescent="0.25">
      <c r="A1028" s="399" t="s">
        <v>404</v>
      </c>
      <c r="B1028" s="455">
        <v>908</v>
      </c>
      <c r="C1028" s="402" t="s">
        <v>168</v>
      </c>
      <c r="D1028" s="402" t="s">
        <v>158</v>
      </c>
      <c r="E1028" s="402" t="s">
        <v>546</v>
      </c>
      <c r="F1028" s="402"/>
      <c r="G1028" s="318">
        <f>G1029+G1031</f>
        <v>0</v>
      </c>
      <c r="H1028" s="318">
        <f>H1029+H1031</f>
        <v>0</v>
      </c>
      <c r="I1028" s="334"/>
      <c r="J1028" s="321"/>
      <c r="K1028" s="321"/>
      <c r="L1028" s="321"/>
      <c r="M1028" s="321"/>
      <c r="N1028" s="75"/>
    </row>
    <row r="1029" spans="1:14" ht="34.5" hidden="1" customHeight="1" x14ac:dyDescent="0.25">
      <c r="A1029" s="399" t="s">
        <v>123</v>
      </c>
      <c r="B1029" s="455">
        <v>908</v>
      </c>
      <c r="C1029" s="402" t="s">
        <v>168</v>
      </c>
      <c r="D1029" s="402" t="s">
        <v>158</v>
      </c>
      <c r="E1029" s="402" t="s">
        <v>546</v>
      </c>
      <c r="F1029" s="402" t="s">
        <v>124</v>
      </c>
      <c r="G1029" s="318">
        <f>G1030</f>
        <v>0</v>
      </c>
      <c r="H1029" s="318">
        <f>H1030</f>
        <v>0</v>
      </c>
      <c r="I1029" s="334"/>
      <c r="J1029" s="321"/>
      <c r="K1029" s="321"/>
      <c r="L1029" s="321"/>
      <c r="M1029" s="321"/>
      <c r="N1029" s="75"/>
    </row>
    <row r="1030" spans="1:14" ht="33" hidden="1" customHeight="1" x14ac:dyDescent="0.25">
      <c r="A1030" s="399" t="s">
        <v>125</v>
      </c>
      <c r="B1030" s="455">
        <v>908</v>
      </c>
      <c r="C1030" s="402" t="s">
        <v>168</v>
      </c>
      <c r="D1030" s="402" t="s">
        <v>158</v>
      </c>
      <c r="E1030" s="402" t="s">
        <v>546</v>
      </c>
      <c r="F1030" s="402" t="s">
        <v>126</v>
      </c>
      <c r="G1030" s="318"/>
      <c r="H1030" s="318"/>
      <c r="I1030" s="334"/>
      <c r="J1030" s="321"/>
      <c r="K1030" s="321"/>
      <c r="L1030" s="321"/>
      <c r="M1030" s="321"/>
      <c r="N1030" s="75"/>
    </row>
    <row r="1031" spans="1:14" ht="20.25" hidden="1" customHeight="1" x14ac:dyDescent="0.25">
      <c r="A1031" s="399" t="s">
        <v>127</v>
      </c>
      <c r="B1031" s="455">
        <v>908</v>
      </c>
      <c r="C1031" s="402" t="s">
        <v>168</v>
      </c>
      <c r="D1031" s="402" t="s">
        <v>158</v>
      </c>
      <c r="E1031" s="402" t="s">
        <v>546</v>
      </c>
      <c r="F1031" s="402" t="s">
        <v>414</v>
      </c>
      <c r="G1031" s="318">
        <f>G1032</f>
        <v>0</v>
      </c>
      <c r="H1031" s="318">
        <f>H1032</f>
        <v>0</v>
      </c>
      <c r="I1031" s="334"/>
      <c r="J1031" s="75"/>
      <c r="K1031" s="321"/>
      <c r="L1031" s="321"/>
      <c r="M1031" s="321"/>
      <c r="N1031" s="321"/>
    </row>
    <row r="1032" spans="1:14" ht="20.25" hidden="1" customHeight="1" x14ac:dyDescent="0.25">
      <c r="A1032" s="399" t="s">
        <v>280</v>
      </c>
      <c r="B1032" s="455">
        <v>908</v>
      </c>
      <c r="C1032" s="402" t="s">
        <v>168</v>
      </c>
      <c r="D1032" s="402" t="s">
        <v>158</v>
      </c>
      <c r="E1032" s="402" t="s">
        <v>546</v>
      </c>
      <c r="F1032" s="402" t="s">
        <v>624</v>
      </c>
      <c r="G1032" s="318">
        <v>0</v>
      </c>
      <c r="H1032" s="318">
        <v>0</v>
      </c>
      <c r="I1032" s="334"/>
      <c r="J1032" s="75"/>
      <c r="K1032" s="321"/>
      <c r="L1032" s="321"/>
      <c r="M1032" s="321"/>
      <c r="N1032" s="321"/>
    </row>
    <row r="1033" spans="1:14" ht="47.25" hidden="1" customHeight="1" x14ac:dyDescent="0.25">
      <c r="A1033" s="399" t="s">
        <v>371</v>
      </c>
      <c r="B1033" s="455">
        <v>908</v>
      </c>
      <c r="C1033" s="402" t="s">
        <v>168</v>
      </c>
      <c r="D1033" s="402" t="s">
        <v>158</v>
      </c>
      <c r="E1033" s="402" t="s">
        <v>547</v>
      </c>
      <c r="F1033" s="402"/>
      <c r="G1033" s="318">
        <f>G1034</f>
        <v>0</v>
      </c>
      <c r="H1033" s="318">
        <f>H1034</f>
        <v>0</v>
      </c>
      <c r="I1033" s="334"/>
      <c r="J1033" s="75"/>
      <c r="K1033" s="321"/>
      <c r="L1033" s="321"/>
      <c r="M1033" s="321"/>
      <c r="N1033" s="321"/>
    </row>
    <row r="1034" spans="1:14" ht="33.75" hidden="1" customHeight="1" x14ac:dyDescent="0.25">
      <c r="A1034" s="399" t="s">
        <v>123</v>
      </c>
      <c r="B1034" s="455">
        <v>908</v>
      </c>
      <c r="C1034" s="402" t="s">
        <v>168</v>
      </c>
      <c r="D1034" s="402" t="s">
        <v>158</v>
      </c>
      <c r="E1034" s="402" t="s">
        <v>547</v>
      </c>
      <c r="F1034" s="402" t="s">
        <v>124</v>
      </c>
      <c r="G1034" s="318">
        <f>G1035</f>
        <v>0</v>
      </c>
      <c r="H1034" s="318">
        <f>H1035</f>
        <v>0</v>
      </c>
      <c r="I1034" s="334"/>
      <c r="J1034" s="75"/>
      <c r="K1034" s="321"/>
      <c r="L1034" s="321"/>
      <c r="M1034" s="321"/>
      <c r="N1034" s="321"/>
    </row>
    <row r="1035" spans="1:14" ht="32.25" hidden="1" customHeight="1" x14ac:dyDescent="0.25">
      <c r="A1035" s="399" t="s">
        <v>125</v>
      </c>
      <c r="B1035" s="455">
        <v>908</v>
      </c>
      <c r="C1035" s="402" t="s">
        <v>168</v>
      </c>
      <c r="D1035" s="402" t="s">
        <v>158</v>
      </c>
      <c r="E1035" s="402" t="s">
        <v>547</v>
      </c>
      <c r="F1035" s="402" t="s">
        <v>126</v>
      </c>
      <c r="G1035" s="318">
        <v>0</v>
      </c>
      <c r="H1035" s="318">
        <v>0</v>
      </c>
      <c r="I1035" s="334"/>
      <c r="J1035" s="75"/>
      <c r="K1035" s="321"/>
      <c r="L1035" s="321"/>
      <c r="M1035" s="321"/>
      <c r="N1035" s="321"/>
    </row>
    <row r="1036" spans="1:14" ht="47.25" hidden="1" customHeight="1" x14ac:dyDescent="0.25">
      <c r="A1036" s="472" t="s">
        <v>410</v>
      </c>
      <c r="B1036" s="455">
        <v>908</v>
      </c>
      <c r="C1036" s="402" t="s">
        <v>168</v>
      </c>
      <c r="D1036" s="402" t="s">
        <v>158</v>
      </c>
      <c r="E1036" s="402" t="s">
        <v>548</v>
      </c>
      <c r="F1036" s="402"/>
      <c r="G1036" s="318">
        <f>G1037+G1039</f>
        <v>0</v>
      </c>
      <c r="H1036" s="318">
        <f>H1037+H1039</f>
        <v>0</v>
      </c>
      <c r="I1036" s="334"/>
      <c r="J1036" s="75"/>
      <c r="K1036" s="321"/>
      <c r="L1036" s="321"/>
      <c r="M1036" s="321"/>
      <c r="N1036" s="321"/>
    </row>
    <row r="1037" spans="1:14" ht="34.5" hidden="1" customHeight="1" x14ac:dyDescent="0.25">
      <c r="A1037" s="399" t="s">
        <v>415</v>
      </c>
      <c r="B1037" s="455">
        <v>908</v>
      </c>
      <c r="C1037" s="402" t="s">
        <v>168</v>
      </c>
      <c r="D1037" s="402" t="s">
        <v>158</v>
      </c>
      <c r="E1037" s="402" t="s">
        <v>548</v>
      </c>
      <c r="F1037" s="402" t="s">
        <v>414</v>
      </c>
      <c r="G1037" s="318">
        <f>G1038</f>
        <v>0</v>
      </c>
      <c r="H1037" s="318">
        <f>H1038</f>
        <v>0</v>
      </c>
      <c r="I1037" s="334"/>
      <c r="J1037" s="75"/>
      <c r="K1037" s="321"/>
      <c r="L1037" s="321"/>
      <c r="M1037" s="321"/>
      <c r="N1037" s="321"/>
    </row>
    <row r="1038" spans="1:14" ht="47.25" hidden="1" customHeight="1" x14ac:dyDescent="0.25">
      <c r="A1038" s="399" t="s">
        <v>609</v>
      </c>
      <c r="B1038" s="455">
        <v>908</v>
      </c>
      <c r="C1038" s="402" t="s">
        <v>168</v>
      </c>
      <c r="D1038" s="402" t="s">
        <v>158</v>
      </c>
      <c r="E1038" s="402" t="s">
        <v>548</v>
      </c>
      <c r="F1038" s="402" t="s">
        <v>624</v>
      </c>
      <c r="G1038" s="318">
        <v>0</v>
      </c>
      <c r="H1038" s="318">
        <v>0</v>
      </c>
      <c r="I1038" s="334"/>
      <c r="J1038" s="75"/>
      <c r="K1038" s="321"/>
      <c r="L1038" s="321"/>
      <c r="M1038" s="321"/>
      <c r="N1038" s="321"/>
    </row>
    <row r="1039" spans="1:14" ht="17.45" hidden="1" customHeight="1" x14ac:dyDescent="0.25">
      <c r="A1039" s="399" t="s">
        <v>127</v>
      </c>
      <c r="B1039" s="455">
        <v>908</v>
      </c>
      <c r="C1039" s="402" t="s">
        <v>168</v>
      </c>
      <c r="D1039" s="402" t="s">
        <v>158</v>
      </c>
      <c r="E1039" s="402" t="s">
        <v>548</v>
      </c>
      <c r="F1039" s="402" t="s">
        <v>134</v>
      </c>
      <c r="G1039" s="318">
        <f>G1040</f>
        <v>0</v>
      </c>
      <c r="H1039" s="318">
        <f>H1040</f>
        <v>0</v>
      </c>
      <c r="I1039" s="334"/>
      <c r="J1039" s="75"/>
      <c r="K1039" s="321"/>
      <c r="L1039" s="321"/>
      <c r="M1039" s="321"/>
      <c r="N1039" s="321"/>
    </row>
    <row r="1040" spans="1:14" ht="18.75" hidden="1" customHeight="1" x14ac:dyDescent="0.25">
      <c r="A1040" s="399" t="s">
        <v>338</v>
      </c>
      <c r="B1040" s="455">
        <v>908</v>
      </c>
      <c r="C1040" s="402" t="s">
        <v>168</v>
      </c>
      <c r="D1040" s="402" t="s">
        <v>158</v>
      </c>
      <c r="E1040" s="402" t="s">
        <v>548</v>
      </c>
      <c r="F1040" s="402" t="s">
        <v>130</v>
      </c>
      <c r="G1040" s="318">
        <v>0</v>
      </c>
      <c r="H1040" s="318">
        <v>0</v>
      </c>
      <c r="I1040" s="334"/>
      <c r="J1040" s="75"/>
      <c r="K1040" s="321"/>
      <c r="L1040" s="321"/>
      <c r="M1040" s="321"/>
      <c r="N1040" s="321"/>
    </row>
    <row r="1041" spans="1:14" ht="38.25" hidden="1" customHeight="1" x14ac:dyDescent="0.25">
      <c r="A1041" s="399" t="s">
        <v>625</v>
      </c>
      <c r="B1041" s="455">
        <v>908</v>
      </c>
      <c r="C1041" s="402" t="s">
        <v>168</v>
      </c>
      <c r="D1041" s="402" t="s">
        <v>158</v>
      </c>
      <c r="E1041" s="402" t="s">
        <v>626</v>
      </c>
      <c r="F1041" s="402"/>
      <c r="G1041" s="318">
        <f>G1042</f>
        <v>0</v>
      </c>
      <c r="H1041" s="318">
        <f>H1042</f>
        <v>0</v>
      </c>
      <c r="I1041" s="334"/>
      <c r="J1041" s="75"/>
      <c r="K1041" s="321"/>
      <c r="L1041" s="321"/>
      <c r="M1041" s="321"/>
      <c r="N1041" s="321"/>
    </row>
    <row r="1042" spans="1:14" ht="32.25" hidden="1" customHeight="1" x14ac:dyDescent="0.25">
      <c r="A1042" s="399" t="s">
        <v>123</v>
      </c>
      <c r="B1042" s="455">
        <v>908</v>
      </c>
      <c r="C1042" s="402" t="s">
        <v>168</v>
      </c>
      <c r="D1042" s="402" t="s">
        <v>158</v>
      </c>
      <c r="E1042" s="402" t="s">
        <v>626</v>
      </c>
      <c r="F1042" s="402" t="s">
        <v>124</v>
      </c>
      <c r="G1042" s="318">
        <f>G1043</f>
        <v>0</v>
      </c>
      <c r="H1042" s="318">
        <f>H1043</f>
        <v>0</v>
      </c>
      <c r="I1042" s="334"/>
      <c r="J1042" s="75"/>
      <c r="K1042" s="321"/>
      <c r="L1042" s="321"/>
      <c r="M1042" s="321"/>
      <c r="N1042" s="321"/>
    </row>
    <row r="1043" spans="1:14" ht="35.450000000000003" hidden="1" customHeight="1" x14ac:dyDescent="0.25">
      <c r="A1043" s="399" t="s">
        <v>125</v>
      </c>
      <c r="B1043" s="455">
        <v>908</v>
      </c>
      <c r="C1043" s="402" t="s">
        <v>168</v>
      </c>
      <c r="D1043" s="402" t="s">
        <v>158</v>
      </c>
      <c r="E1043" s="402" t="s">
        <v>626</v>
      </c>
      <c r="F1043" s="402" t="s">
        <v>126</v>
      </c>
      <c r="G1043" s="318">
        <v>0</v>
      </c>
      <c r="H1043" s="318">
        <v>0</v>
      </c>
      <c r="I1043" s="334"/>
      <c r="J1043" s="75"/>
      <c r="K1043" s="321"/>
      <c r="L1043" s="321"/>
      <c r="M1043" s="321"/>
      <c r="N1043" s="321"/>
    </row>
    <row r="1044" spans="1:14" ht="47.25" customHeight="1" x14ac:dyDescent="0.25">
      <c r="A1044" s="417" t="s">
        <v>975</v>
      </c>
      <c r="B1044" s="454">
        <v>908</v>
      </c>
      <c r="C1044" s="414" t="s">
        <v>168</v>
      </c>
      <c r="D1044" s="414" t="s">
        <v>158</v>
      </c>
      <c r="E1044" s="414" t="s">
        <v>263</v>
      </c>
      <c r="F1044" s="414"/>
      <c r="G1044" s="314">
        <f>G1045+G1049+G1053+G1057+G1069+G1065</f>
        <v>700</v>
      </c>
      <c r="H1044" s="314">
        <f>H1045+H1049+H1053+H1057+H1069+H1065</f>
        <v>700</v>
      </c>
      <c r="I1044" s="334"/>
      <c r="J1044" s="75"/>
      <c r="K1044" s="321"/>
      <c r="L1044" s="321"/>
      <c r="M1044" s="321"/>
      <c r="N1044" s="75"/>
    </row>
    <row r="1045" spans="1:14" ht="30.75" customHeight="1" x14ac:dyDescent="0.25">
      <c r="A1045" s="417" t="s">
        <v>528</v>
      </c>
      <c r="B1045" s="454">
        <v>908</v>
      </c>
      <c r="C1045" s="414" t="s">
        <v>168</v>
      </c>
      <c r="D1045" s="414" t="s">
        <v>158</v>
      </c>
      <c r="E1045" s="414" t="s">
        <v>530</v>
      </c>
      <c r="F1045" s="414"/>
      <c r="G1045" s="314">
        <f t="shared" ref="G1045:H1047" si="82">G1046</f>
        <v>700</v>
      </c>
      <c r="H1045" s="314">
        <f t="shared" si="82"/>
        <v>700</v>
      </c>
      <c r="I1045" s="334"/>
      <c r="J1045" s="75"/>
      <c r="K1045" s="321"/>
      <c r="L1045" s="321"/>
      <c r="M1045" s="321"/>
      <c r="N1045" s="321"/>
    </row>
    <row r="1046" spans="1:14" ht="15.75" x14ac:dyDescent="0.25">
      <c r="A1046" s="406" t="s">
        <v>529</v>
      </c>
      <c r="B1046" s="455">
        <v>908</v>
      </c>
      <c r="C1046" s="403" t="s">
        <v>168</v>
      </c>
      <c r="D1046" s="403" t="s">
        <v>158</v>
      </c>
      <c r="E1046" s="402" t="s">
        <v>531</v>
      </c>
      <c r="F1046" s="403"/>
      <c r="G1046" s="318">
        <f t="shared" si="82"/>
        <v>700</v>
      </c>
      <c r="H1046" s="318">
        <f t="shared" si="82"/>
        <v>700</v>
      </c>
      <c r="I1046" s="334"/>
      <c r="J1046" s="75"/>
      <c r="K1046" s="321"/>
      <c r="L1046" s="321"/>
      <c r="M1046" s="321"/>
      <c r="N1046" s="321"/>
    </row>
    <row r="1047" spans="1:14" ht="31.5" x14ac:dyDescent="0.25">
      <c r="A1047" s="401" t="s">
        <v>123</v>
      </c>
      <c r="B1047" s="455">
        <v>908</v>
      </c>
      <c r="C1047" s="403" t="s">
        <v>168</v>
      </c>
      <c r="D1047" s="403" t="s">
        <v>158</v>
      </c>
      <c r="E1047" s="402" t="s">
        <v>531</v>
      </c>
      <c r="F1047" s="403" t="s">
        <v>124</v>
      </c>
      <c r="G1047" s="318">
        <f t="shared" si="82"/>
        <v>700</v>
      </c>
      <c r="H1047" s="318">
        <f t="shared" si="82"/>
        <v>700</v>
      </c>
      <c r="I1047" s="334"/>
      <c r="J1047" s="75"/>
      <c r="K1047" s="321"/>
      <c r="L1047" s="321"/>
      <c r="M1047" s="321"/>
      <c r="N1047" s="321"/>
    </row>
    <row r="1048" spans="1:14" ht="31.5" x14ac:dyDescent="0.25">
      <c r="A1048" s="401" t="s">
        <v>125</v>
      </c>
      <c r="B1048" s="455">
        <v>908</v>
      </c>
      <c r="C1048" s="403" t="s">
        <v>168</v>
      </c>
      <c r="D1048" s="403" t="s">
        <v>158</v>
      </c>
      <c r="E1048" s="402" t="s">
        <v>531</v>
      </c>
      <c r="F1048" s="403" t="s">
        <v>126</v>
      </c>
      <c r="G1048" s="318">
        <v>700</v>
      </c>
      <c r="H1048" s="318">
        <v>700</v>
      </c>
      <c r="I1048" s="334"/>
      <c r="J1048" s="75"/>
      <c r="K1048" s="321"/>
      <c r="L1048" s="321"/>
      <c r="M1048" s="321"/>
      <c r="N1048" s="321"/>
    </row>
    <row r="1049" spans="1:14" ht="15.75" hidden="1" x14ac:dyDescent="0.25">
      <c r="A1049" s="413" t="s">
        <v>532</v>
      </c>
      <c r="B1049" s="454">
        <v>908</v>
      </c>
      <c r="C1049" s="407" t="s">
        <v>168</v>
      </c>
      <c r="D1049" s="407" t="s">
        <v>158</v>
      </c>
      <c r="E1049" s="414" t="s">
        <v>533</v>
      </c>
      <c r="F1049" s="407"/>
      <c r="G1049" s="314">
        <f t="shared" ref="G1049:H1051" si="83">G1050</f>
        <v>0</v>
      </c>
      <c r="H1049" s="314">
        <f t="shared" si="83"/>
        <v>0</v>
      </c>
      <c r="I1049" s="334"/>
      <c r="J1049" s="75"/>
      <c r="K1049" s="321"/>
      <c r="L1049" s="321"/>
      <c r="M1049" s="321"/>
      <c r="N1049" s="75"/>
    </row>
    <row r="1050" spans="1:14" ht="15.75" hidden="1" x14ac:dyDescent="0.25">
      <c r="A1050" s="406" t="s">
        <v>265</v>
      </c>
      <c r="B1050" s="455">
        <v>908</v>
      </c>
      <c r="C1050" s="403" t="s">
        <v>168</v>
      </c>
      <c r="D1050" s="403" t="s">
        <v>158</v>
      </c>
      <c r="E1050" s="402" t="s">
        <v>536</v>
      </c>
      <c r="F1050" s="403"/>
      <c r="G1050" s="318">
        <f t="shared" si="83"/>
        <v>0</v>
      </c>
      <c r="H1050" s="318">
        <f t="shared" si="83"/>
        <v>0</v>
      </c>
      <c r="I1050" s="334"/>
      <c r="J1050" s="75"/>
      <c r="K1050" s="321"/>
      <c r="L1050" s="321"/>
      <c r="M1050" s="321"/>
      <c r="N1050" s="75"/>
    </row>
    <row r="1051" spans="1:14" ht="31.5" hidden="1" x14ac:dyDescent="0.25">
      <c r="A1051" s="401" t="s">
        <v>123</v>
      </c>
      <c r="B1051" s="455">
        <v>908</v>
      </c>
      <c r="C1051" s="403" t="s">
        <v>168</v>
      </c>
      <c r="D1051" s="403" t="s">
        <v>158</v>
      </c>
      <c r="E1051" s="402" t="s">
        <v>536</v>
      </c>
      <c r="F1051" s="403" t="s">
        <v>124</v>
      </c>
      <c r="G1051" s="318">
        <f t="shared" si="83"/>
        <v>0</v>
      </c>
      <c r="H1051" s="318">
        <f t="shared" si="83"/>
        <v>0</v>
      </c>
      <c r="I1051" s="334"/>
      <c r="J1051" s="75"/>
      <c r="K1051" s="321"/>
      <c r="L1051" s="321"/>
      <c r="M1051" s="321"/>
      <c r="N1051" s="321"/>
    </row>
    <row r="1052" spans="1:14" ht="31.5" hidden="1" x14ac:dyDescent="0.25">
      <c r="A1052" s="401" t="s">
        <v>125</v>
      </c>
      <c r="B1052" s="455">
        <v>908</v>
      </c>
      <c r="C1052" s="403" t="s">
        <v>168</v>
      </c>
      <c r="D1052" s="403" t="s">
        <v>158</v>
      </c>
      <c r="E1052" s="402" t="s">
        <v>536</v>
      </c>
      <c r="F1052" s="403" t="s">
        <v>126</v>
      </c>
      <c r="G1052" s="311"/>
      <c r="H1052" s="311"/>
      <c r="I1052" s="334"/>
      <c r="J1052" s="75"/>
      <c r="K1052" s="321"/>
      <c r="L1052" s="321"/>
      <c r="M1052" s="321"/>
      <c r="N1052" s="321"/>
    </row>
    <row r="1053" spans="1:14" ht="16.5" hidden="1" customHeight="1" x14ac:dyDescent="0.25">
      <c r="A1053" s="474" t="s">
        <v>534</v>
      </c>
      <c r="B1053" s="454">
        <v>908</v>
      </c>
      <c r="C1053" s="407" t="s">
        <v>168</v>
      </c>
      <c r="D1053" s="407" t="s">
        <v>158</v>
      </c>
      <c r="E1053" s="414" t="s">
        <v>535</v>
      </c>
      <c r="F1053" s="407"/>
      <c r="G1053" s="310">
        <f t="shared" ref="G1053:H1055" si="84">G1054</f>
        <v>0</v>
      </c>
      <c r="H1053" s="310">
        <f t="shared" si="84"/>
        <v>0</v>
      </c>
      <c r="I1053" s="334"/>
      <c r="J1053" s="75"/>
      <c r="K1053" s="321"/>
      <c r="L1053" s="321"/>
      <c r="M1053" s="321"/>
      <c r="N1053" s="321"/>
    </row>
    <row r="1054" spans="1:14" ht="15.75" hidden="1" x14ac:dyDescent="0.25">
      <c r="A1054" s="406" t="s">
        <v>266</v>
      </c>
      <c r="B1054" s="455">
        <v>908</v>
      </c>
      <c r="C1054" s="403" t="s">
        <v>168</v>
      </c>
      <c r="D1054" s="403" t="s">
        <v>158</v>
      </c>
      <c r="E1054" s="402" t="s">
        <v>537</v>
      </c>
      <c r="F1054" s="403"/>
      <c r="G1054" s="318">
        <f t="shared" si="84"/>
        <v>0</v>
      </c>
      <c r="H1054" s="318">
        <f t="shared" si="84"/>
        <v>0</v>
      </c>
      <c r="I1054" s="334"/>
      <c r="J1054" s="75"/>
      <c r="K1054" s="321"/>
      <c r="L1054" s="321"/>
      <c r="M1054" s="321"/>
      <c r="N1054" s="321"/>
    </row>
    <row r="1055" spans="1:14" ht="31.5" hidden="1" x14ac:dyDescent="0.25">
      <c r="A1055" s="401" t="s">
        <v>123</v>
      </c>
      <c r="B1055" s="455">
        <v>908</v>
      </c>
      <c r="C1055" s="403" t="s">
        <v>168</v>
      </c>
      <c r="D1055" s="403" t="s">
        <v>158</v>
      </c>
      <c r="E1055" s="402" t="s">
        <v>537</v>
      </c>
      <c r="F1055" s="403" t="s">
        <v>124</v>
      </c>
      <c r="G1055" s="318">
        <f t="shared" si="84"/>
        <v>0</v>
      </c>
      <c r="H1055" s="318">
        <f t="shared" si="84"/>
        <v>0</v>
      </c>
      <c r="I1055" s="334"/>
      <c r="J1055" s="75"/>
      <c r="K1055" s="321"/>
      <c r="L1055" s="321"/>
      <c r="M1055" s="321"/>
      <c r="N1055" s="321"/>
    </row>
    <row r="1056" spans="1:14" ht="31.5" hidden="1" x14ac:dyDescent="0.25">
      <c r="A1056" s="401" t="s">
        <v>125</v>
      </c>
      <c r="B1056" s="455">
        <v>908</v>
      </c>
      <c r="C1056" s="403" t="s">
        <v>168</v>
      </c>
      <c r="D1056" s="403" t="s">
        <v>158</v>
      </c>
      <c r="E1056" s="402" t="s">
        <v>537</v>
      </c>
      <c r="F1056" s="403" t="s">
        <v>126</v>
      </c>
      <c r="G1056" s="311"/>
      <c r="H1056" s="311"/>
      <c r="I1056" s="334"/>
      <c r="J1056" s="75"/>
      <c r="K1056" s="321"/>
      <c r="L1056" s="321"/>
      <c r="M1056" s="321"/>
      <c r="N1056" s="321"/>
    </row>
    <row r="1057" spans="1:14" ht="31.5" hidden="1" x14ac:dyDescent="0.25">
      <c r="A1057" s="474" t="s">
        <v>538</v>
      </c>
      <c r="B1057" s="454">
        <v>908</v>
      </c>
      <c r="C1057" s="407" t="s">
        <v>168</v>
      </c>
      <c r="D1057" s="407" t="s">
        <v>158</v>
      </c>
      <c r="E1057" s="414" t="s">
        <v>539</v>
      </c>
      <c r="F1057" s="407"/>
      <c r="G1057" s="310">
        <f t="shared" ref="G1057:H1059" si="85">G1058</f>
        <v>0</v>
      </c>
      <c r="H1057" s="310">
        <f t="shared" si="85"/>
        <v>0</v>
      </c>
      <c r="I1057" s="334"/>
      <c r="J1057" s="75"/>
      <c r="K1057" s="321"/>
      <c r="L1057" s="321"/>
      <c r="M1057" s="321"/>
      <c r="N1057" s="321"/>
    </row>
    <row r="1058" spans="1:14" ht="15.75" hidden="1" x14ac:dyDescent="0.25">
      <c r="A1058" s="406" t="s">
        <v>267</v>
      </c>
      <c r="B1058" s="455">
        <v>908</v>
      </c>
      <c r="C1058" s="403" t="s">
        <v>168</v>
      </c>
      <c r="D1058" s="403" t="s">
        <v>158</v>
      </c>
      <c r="E1058" s="402" t="s">
        <v>540</v>
      </c>
      <c r="F1058" s="403"/>
      <c r="G1058" s="318">
        <f t="shared" si="85"/>
        <v>0</v>
      </c>
      <c r="H1058" s="318">
        <f t="shared" si="85"/>
        <v>0</v>
      </c>
      <c r="I1058" s="334"/>
      <c r="J1058" s="75"/>
      <c r="K1058" s="321"/>
      <c r="L1058" s="321"/>
      <c r="M1058" s="321"/>
      <c r="N1058" s="321"/>
    </row>
    <row r="1059" spans="1:14" ht="31.5" hidden="1" x14ac:dyDescent="0.25">
      <c r="A1059" s="401" t="s">
        <v>123</v>
      </c>
      <c r="B1059" s="455">
        <v>908</v>
      </c>
      <c r="C1059" s="403" t="s">
        <v>168</v>
      </c>
      <c r="D1059" s="403" t="s">
        <v>158</v>
      </c>
      <c r="E1059" s="402" t="s">
        <v>540</v>
      </c>
      <c r="F1059" s="403" t="s">
        <v>124</v>
      </c>
      <c r="G1059" s="318">
        <f t="shared" si="85"/>
        <v>0</v>
      </c>
      <c r="H1059" s="318">
        <f t="shared" si="85"/>
        <v>0</v>
      </c>
      <c r="I1059" s="334"/>
      <c r="J1059" s="75"/>
      <c r="K1059" s="321"/>
      <c r="L1059" s="321"/>
      <c r="M1059" s="321"/>
      <c r="N1059" s="321"/>
    </row>
    <row r="1060" spans="1:14" ht="31.5" hidden="1" x14ac:dyDescent="0.25">
      <c r="A1060" s="401" t="s">
        <v>125</v>
      </c>
      <c r="B1060" s="455">
        <v>908</v>
      </c>
      <c r="C1060" s="403" t="s">
        <v>168</v>
      </c>
      <c r="D1060" s="403" t="s">
        <v>158</v>
      </c>
      <c r="E1060" s="402" t="s">
        <v>540</v>
      </c>
      <c r="F1060" s="403" t="s">
        <v>126</v>
      </c>
      <c r="G1060" s="311"/>
      <c r="H1060" s="311"/>
      <c r="I1060" s="334"/>
      <c r="J1060" s="75"/>
      <c r="K1060" s="321"/>
      <c r="L1060" s="321"/>
      <c r="M1060" s="321"/>
      <c r="N1060" s="321"/>
    </row>
    <row r="1061" spans="1:14" ht="31.7" hidden="1" customHeight="1" x14ac:dyDescent="0.25">
      <c r="A1061" s="413" t="s">
        <v>577</v>
      </c>
      <c r="B1061" s="454">
        <v>908</v>
      </c>
      <c r="C1061" s="407" t="s">
        <v>168</v>
      </c>
      <c r="D1061" s="407" t="s">
        <v>158</v>
      </c>
      <c r="E1061" s="414" t="s">
        <v>578</v>
      </c>
      <c r="F1061" s="407"/>
      <c r="G1061" s="310">
        <f t="shared" ref="G1061:H1063" si="86">G1062</f>
        <v>0</v>
      </c>
      <c r="H1061" s="310">
        <f t="shared" si="86"/>
        <v>0</v>
      </c>
      <c r="I1061" s="334"/>
      <c r="J1061" s="75"/>
      <c r="K1061" s="321"/>
      <c r="L1061" s="321"/>
      <c r="M1061" s="321"/>
      <c r="N1061" s="321"/>
    </row>
    <row r="1062" spans="1:14" ht="15.75" hidden="1" x14ac:dyDescent="0.25">
      <c r="A1062" s="406" t="s">
        <v>268</v>
      </c>
      <c r="B1062" s="455">
        <v>908</v>
      </c>
      <c r="C1062" s="403" t="s">
        <v>168</v>
      </c>
      <c r="D1062" s="403" t="s">
        <v>158</v>
      </c>
      <c r="E1062" s="402" t="s">
        <v>581</v>
      </c>
      <c r="F1062" s="403"/>
      <c r="G1062" s="318">
        <f t="shared" si="86"/>
        <v>0</v>
      </c>
      <c r="H1062" s="318">
        <f t="shared" si="86"/>
        <v>0</v>
      </c>
      <c r="I1062" s="334"/>
      <c r="J1062" s="75"/>
      <c r="K1062" s="321"/>
      <c r="L1062" s="321"/>
      <c r="M1062" s="321"/>
      <c r="N1062" s="321"/>
    </row>
    <row r="1063" spans="1:14" ht="31.5" hidden="1" x14ac:dyDescent="0.25">
      <c r="A1063" s="401" t="s">
        <v>123</v>
      </c>
      <c r="B1063" s="455">
        <v>908</v>
      </c>
      <c r="C1063" s="403" t="s">
        <v>168</v>
      </c>
      <c r="D1063" s="403" t="s">
        <v>158</v>
      </c>
      <c r="E1063" s="402" t="s">
        <v>581</v>
      </c>
      <c r="F1063" s="403" t="s">
        <v>124</v>
      </c>
      <c r="G1063" s="318">
        <f t="shared" si="86"/>
        <v>0</v>
      </c>
      <c r="H1063" s="318">
        <f t="shared" si="86"/>
        <v>0</v>
      </c>
      <c r="I1063" s="334"/>
      <c r="J1063" s="75"/>
      <c r="K1063" s="321"/>
      <c r="L1063" s="321"/>
      <c r="M1063" s="321"/>
      <c r="N1063" s="321"/>
    </row>
    <row r="1064" spans="1:14" ht="31.5" hidden="1" x14ac:dyDescent="0.25">
      <c r="A1064" s="401" t="s">
        <v>125</v>
      </c>
      <c r="B1064" s="455">
        <v>908</v>
      </c>
      <c r="C1064" s="403" t="s">
        <v>168</v>
      </c>
      <c r="D1064" s="403" t="s">
        <v>158</v>
      </c>
      <c r="E1064" s="402" t="s">
        <v>581</v>
      </c>
      <c r="F1064" s="403" t="s">
        <v>126</v>
      </c>
      <c r="G1064" s="318">
        <v>0</v>
      </c>
      <c r="H1064" s="318">
        <v>0</v>
      </c>
      <c r="I1064" s="334"/>
      <c r="J1064" s="75"/>
      <c r="K1064" s="321"/>
      <c r="L1064" s="321"/>
      <c r="M1064" s="321"/>
      <c r="N1064" s="321"/>
    </row>
    <row r="1065" spans="1:14" ht="31.5" hidden="1" x14ac:dyDescent="0.25">
      <c r="A1065" s="496" t="s">
        <v>579</v>
      </c>
      <c r="B1065" s="454">
        <v>908</v>
      </c>
      <c r="C1065" s="407" t="s">
        <v>168</v>
      </c>
      <c r="D1065" s="407" t="s">
        <v>158</v>
      </c>
      <c r="E1065" s="414" t="s">
        <v>580</v>
      </c>
      <c r="F1065" s="407"/>
      <c r="G1065" s="314">
        <f t="shared" ref="G1065:H1067" si="87">G1066</f>
        <v>0</v>
      </c>
      <c r="H1065" s="314">
        <f t="shared" si="87"/>
        <v>0</v>
      </c>
      <c r="I1065" s="334"/>
      <c r="J1065" s="75"/>
      <c r="K1065" s="321"/>
      <c r="L1065" s="321"/>
      <c r="M1065" s="321"/>
      <c r="N1065" s="321"/>
    </row>
    <row r="1066" spans="1:14" ht="21.75" hidden="1" customHeight="1" x14ac:dyDescent="0.25">
      <c r="A1066" s="460" t="s">
        <v>269</v>
      </c>
      <c r="B1066" s="455">
        <v>908</v>
      </c>
      <c r="C1066" s="403" t="s">
        <v>168</v>
      </c>
      <c r="D1066" s="403" t="s">
        <v>158</v>
      </c>
      <c r="E1066" s="402" t="s">
        <v>582</v>
      </c>
      <c r="F1066" s="403"/>
      <c r="G1066" s="318">
        <f t="shared" si="87"/>
        <v>0</v>
      </c>
      <c r="H1066" s="318">
        <f t="shared" si="87"/>
        <v>0</v>
      </c>
      <c r="I1066" s="334"/>
      <c r="J1066" s="75"/>
      <c r="K1066" s="321"/>
      <c r="L1066" s="321"/>
      <c r="M1066" s="321"/>
      <c r="N1066" s="321"/>
    </row>
    <row r="1067" spans="1:14" ht="31.7" hidden="1" customHeight="1" x14ac:dyDescent="0.25">
      <c r="A1067" s="401" t="s">
        <v>123</v>
      </c>
      <c r="B1067" s="455">
        <v>908</v>
      </c>
      <c r="C1067" s="403" t="s">
        <v>168</v>
      </c>
      <c r="D1067" s="403" t="s">
        <v>158</v>
      </c>
      <c r="E1067" s="402" t="s">
        <v>582</v>
      </c>
      <c r="F1067" s="403" t="s">
        <v>124</v>
      </c>
      <c r="G1067" s="318">
        <f t="shared" si="87"/>
        <v>0</v>
      </c>
      <c r="H1067" s="318">
        <f t="shared" si="87"/>
        <v>0</v>
      </c>
      <c r="I1067" s="334"/>
      <c r="J1067" s="75"/>
      <c r="K1067" s="321"/>
      <c r="L1067" s="321"/>
      <c r="M1067" s="321"/>
      <c r="N1067" s="321"/>
    </row>
    <row r="1068" spans="1:14" ht="36" hidden="1" customHeight="1" x14ac:dyDescent="0.25">
      <c r="A1068" s="401" t="s">
        <v>125</v>
      </c>
      <c r="B1068" s="455">
        <v>908</v>
      </c>
      <c r="C1068" s="403" t="s">
        <v>168</v>
      </c>
      <c r="D1068" s="403" t="s">
        <v>158</v>
      </c>
      <c r="E1068" s="402" t="s">
        <v>582</v>
      </c>
      <c r="F1068" s="403" t="s">
        <v>126</v>
      </c>
      <c r="G1068" s="318">
        <v>0</v>
      </c>
      <c r="H1068" s="318">
        <v>0</v>
      </c>
      <c r="I1068" s="334"/>
      <c r="J1068" s="75"/>
      <c r="K1068" s="321"/>
      <c r="L1068" s="321"/>
      <c r="M1068" s="321"/>
      <c r="N1068" s="321"/>
    </row>
    <row r="1069" spans="1:14" ht="31.7" hidden="1" customHeight="1" x14ac:dyDescent="0.25">
      <c r="A1069" s="496" t="s">
        <v>542</v>
      </c>
      <c r="B1069" s="454">
        <v>908</v>
      </c>
      <c r="C1069" s="407" t="s">
        <v>168</v>
      </c>
      <c r="D1069" s="407" t="s">
        <v>158</v>
      </c>
      <c r="E1069" s="414" t="s">
        <v>543</v>
      </c>
      <c r="F1069" s="407"/>
      <c r="G1069" s="314">
        <f t="shared" ref="G1069:H1071" si="88">G1070</f>
        <v>0</v>
      </c>
      <c r="H1069" s="314">
        <f t="shared" si="88"/>
        <v>0</v>
      </c>
      <c r="I1069" s="334"/>
      <c r="J1069" s="75"/>
      <c r="K1069" s="321"/>
      <c r="L1069" s="321"/>
      <c r="M1069" s="321"/>
      <c r="N1069" s="321"/>
    </row>
    <row r="1070" spans="1:14" ht="15.75" hidden="1" x14ac:dyDescent="0.25">
      <c r="A1070" s="460" t="s">
        <v>270</v>
      </c>
      <c r="B1070" s="455">
        <v>908</v>
      </c>
      <c r="C1070" s="403" t="s">
        <v>168</v>
      </c>
      <c r="D1070" s="403" t="s">
        <v>158</v>
      </c>
      <c r="E1070" s="402" t="s">
        <v>541</v>
      </c>
      <c r="F1070" s="403"/>
      <c r="G1070" s="318">
        <f t="shared" si="88"/>
        <v>0</v>
      </c>
      <c r="H1070" s="318">
        <f t="shared" si="88"/>
        <v>0</v>
      </c>
      <c r="I1070" s="334"/>
      <c r="J1070" s="75"/>
      <c r="K1070" s="321"/>
    </row>
    <row r="1071" spans="1:14" ht="31.5" hidden="1" x14ac:dyDescent="0.25">
      <c r="A1071" s="399" t="s">
        <v>123</v>
      </c>
      <c r="B1071" s="455">
        <v>908</v>
      </c>
      <c r="C1071" s="403" t="s">
        <v>168</v>
      </c>
      <c r="D1071" s="403" t="s">
        <v>158</v>
      </c>
      <c r="E1071" s="402" t="s">
        <v>541</v>
      </c>
      <c r="F1071" s="403" t="s">
        <v>124</v>
      </c>
      <c r="G1071" s="318">
        <f t="shared" si="88"/>
        <v>0</v>
      </c>
      <c r="H1071" s="318">
        <f t="shared" si="88"/>
        <v>0</v>
      </c>
      <c r="I1071" s="334"/>
      <c r="J1071" s="75"/>
    </row>
    <row r="1072" spans="1:14" ht="31.5" hidden="1" x14ac:dyDescent="0.25">
      <c r="A1072" s="399" t="s">
        <v>125</v>
      </c>
      <c r="B1072" s="455">
        <v>908</v>
      </c>
      <c r="C1072" s="403" t="s">
        <v>168</v>
      </c>
      <c r="D1072" s="403" t="s">
        <v>158</v>
      </c>
      <c r="E1072" s="402" t="s">
        <v>541</v>
      </c>
      <c r="F1072" s="403" t="s">
        <v>126</v>
      </c>
      <c r="G1072" s="318"/>
      <c r="H1072" s="318"/>
      <c r="I1072" s="334"/>
      <c r="J1072" s="75"/>
    </row>
    <row r="1073" spans="1:10" ht="31.5" x14ac:dyDescent="0.25">
      <c r="A1073" s="417" t="s">
        <v>976</v>
      </c>
      <c r="B1073" s="454">
        <v>908</v>
      </c>
      <c r="C1073" s="407" t="s">
        <v>168</v>
      </c>
      <c r="D1073" s="407" t="s">
        <v>158</v>
      </c>
      <c r="E1073" s="414" t="s">
        <v>692</v>
      </c>
      <c r="F1073" s="407"/>
      <c r="G1073" s="314">
        <f t="shared" ref="G1073:H1076" si="89">G1074</f>
        <v>204</v>
      </c>
      <c r="H1073" s="314">
        <f t="shared" si="89"/>
        <v>204</v>
      </c>
      <c r="I1073" s="334"/>
      <c r="J1073" s="75"/>
    </row>
    <row r="1074" spans="1:10" ht="31.5" x14ac:dyDescent="0.25">
      <c r="A1074" s="417" t="s">
        <v>693</v>
      </c>
      <c r="B1074" s="454">
        <v>908</v>
      </c>
      <c r="C1074" s="407" t="s">
        <v>168</v>
      </c>
      <c r="D1074" s="407" t="s">
        <v>158</v>
      </c>
      <c r="E1074" s="414" t="s">
        <v>694</v>
      </c>
      <c r="F1074" s="407"/>
      <c r="G1074" s="314">
        <f t="shared" si="89"/>
        <v>204</v>
      </c>
      <c r="H1074" s="314">
        <f t="shared" si="89"/>
        <v>204</v>
      </c>
      <c r="I1074" s="334"/>
      <c r="J1074" s="75"/>
    </row>
    <row r="1075" spans="1:10" ht="15.75" x14ac:dyDescent="0.25">
      <c r="A1075" s="399" t="s">
        <v>271</v>
      </c>
      <c r="B1075" s="455">
        <v>908</v>
      </c>
      <c r="C1075" s="403" t="s">
        <v>168</v>
      </c>
      <c r="D1075" s="403" t="s">
        <v>158</v>
      </c>
      <c r="E1075" s="402" t="s">
        <v>695</v>
      </c>
      <c r="F1075" s="403"/>
      <c r="G1075" s="318">
        <f t="shared" si="89"/>
        <v>204</v>
      </c>
      <c r="H1075" s="318">
        <f t="shared" si="89"/>
        <v>204</v>
      </c>
      <c r="I1075" s="334"/>
      <c r="J1075" s="75"/>
    </row>
    <row r="1076" spans="1:10" ht="31.5" x14ac:dyDescent="0.25">
      <c r="A1076" s="399" t="s">
        <v>123</v>
      </c>
      <c r="B1076" s="455">
        <v>908</v>
      </c>
      <c r="C1076" s="403" t="s">
        <v>168</v>
      </c>
      <c r="D1076" s="403" t="s">
        <v>158</v>
      </c>
      <c r="E1076" s="402" t="s">
        <v>695</v>
      </c>
      <c r="F1076" s="403" t="s">
        <v>124</v>
      </c>
      <c r="G1076" s="318">
        <f t="shared" si="89"/>
        <v>204</v>
      </c>
      <c r="H1076" s="318">
        <f t="shared" si="89"/>
        <v>204</v>
      </c>
      <c r="I1076" s="334"/>
      <c r="J1076" s="75"/>
    </row>
    <row r="1077" spans="1:10" ht="31.5" x14ac:dyDescent="0.25">
      <c r="A1077" s="399" t="s">
        <v>125</v>
      </c>
      <c r="B1077" s="455">
        <v>908</v>
      </c>
      <c r="C1077" s="403" t="s">
        <v>168</v>
      </c>
      <c r="D1077" s="403" t="s">
        <v>158</v>
      </c>
      <c r="E1077" s="402" t="s">
        <v>695</v>
      </c>
      <c r="F1077" s="403" t="s">
        <v>126</v>
      </c>
      <c r="G1077" s="318">
        <f>204</f>
        <v>204</v>
      </c>
      <c r="H1077" s="318">
        <f>204</f>
        <v>204</v>
      </c>
      <c r="I1077" s="334"/>
      <c r="J1077" s="75"/>
    </row>
    <row r="1078" spans="1:10" ht="15.75" x14ac:dyDescent="0.25">
      <c r="A1078" s="417" t="s">
        <v>272</v>
      </c>
      <c r="B1078" s="454">
        <v>908</v>
      </c>
      <c r="C1078" s="414" t="s">
        <v>168</v>
      </c>
      <c r="D1078" s="414" t="s">
        <v>159</v>
      </c>
      <c r="E1078" s="414"/>
      <c r="F1078" s="414"/>
      <c r="G1078" s="314">
        <f>G1079+G1084+G1131</f>
        <v>9771.4399999999987</v>
      </c>
      <c r="H1078" s="314">
        <f>H1079+H1084+H1131</f>
        <v>9771.4399999999987</v>
      </c>
      <c r="I1078" s="334"/>
      <c r="J1078" s="321"/>
    </row>
    <row r="1079" spans="1:10" ht="15.75" x14ac:dyDescent="0.25">
      <c r="A1079" s="417" t="s">
        <v>133</v>
      </c>
      <c r="B1079" s="454">
        <v>908</v>
      </c>
      <c r="C1079" s="414" t="s">
        <v>168</v>
      </c>
      <c r="D1079" s="414" t="s">
        <v>159</v>
      </c>
      <c r="E1079" s="414" t="s">
        <v>442</v>
      </c>
      <c r="F1079" s="414"/>
      <c r="G1079" s="314">
        <f t="shared" ref="G1079:H1082" si="90">G1080</f>
        <v>390</v>
      </c>
      <c r="H1079" s="314">
        <f t="shared" si="90"/>
        <v>390</v>
      </c>
      <c r="I1079" s="334"/>
      <c r="J1079" s="321"/>
    </row>
    <row r="1080" spans="1:10" ht="31.5" x14ac:dyDescent="0.25">
      <c r="A1080" s="417" t="s">
        <v>446</v>
      </c>
      <c r="B1080" s="454">
        <v>908</v>
      </c>
      <c r="C1080" s="414" t="s">
        <v>168</v>
      </c>
      <c r="D1080" s="414" t="s">
        <v>159</v>
      </c>
      <c r="E1080" s="414" t="s">
        <v>441</v>
      </c>
      <c r="F1080" s="414"/>
      <c r="G1080" s="314">
        <f t="shared" si="90"/>
        <v>390</v>
      </c>
      <c r="H1080" s="314">
        <f t="shared" si="90"/>
        <v>390</v>
      </c>
      <c r="I1080" s="334"/>
      <c r="J1080" s="321"/>
    </row>
    <row r="1081" spans="1:10" ht="15.75" x14ac:dyDescent="0.25">
      <c r="A1081" s="399" t="s">
        <v>279</v>
      </c>
      <c r="B1081" s="455">
        <v>908</v>
      </c>
      <c r="C1081" s="402" t="s">
        <v>168</v>
      </c>
      <c r="D1081" s="402" t="s">
        <v>159</v>
      </c>
      <c r="E1081" s="402" t="s">
        <v>629</v>
      </c>
      <c r="F1081" s="402"/>
      <c r="G1081" s="318">
        <f t="shared" si="90"/>
        <v>390</v>
      </c>
      <c r="H1081" s="318">
        <f t="shared" si="90"/>
        <v>390</v>
      </c>
      <c r="I1081" s="334"/>
      <c r="J1081" s="321"/>
    </row>
    <row r="1082" spans="1:10" ht="31.5" x14ac:dyDescent="0.25">
      <c r="A1082" s="399" t="s">
        <v>123</v>
      </c>
      <c r="B1082" s="455">
        <v>908</v>
      </c>
      <c r="C1082" s="402" t="s">
        <v>168</v>
      </c>
      <c r="D1082" s="402" t="s">
        <v>159</v>
      </c>
      <c r="E1082" s="402" t="s">
        <v>629</v>
      </c>
      <c r="F1082" s="402" t="s">
        <v>124</v>
      </c>
      <c r="G1082" s="318">
        <f t="shared" si="90"/>
        <v>390</v>
      </c>
      <c r="H1082" s="318">
        <f t="shared" si="90"/>
        <v>390</v>
      </c>
      <c r="I1082" s="334"/>
      <c r="J1082" s="75"/>
    </row>
    <row r="1083" spans="1:10" ht="31.5" x14ac:dyDescent="0.25">
      <c r="A1083" s="399" t="s">
        <v>125</v>
      </c>
      <c r="B1083" s="455">
        <v>908</v>
      </c>
      <c r="C1083" s="402" t="s">
        <v>168</v>
      </c>
      <c r="D1083" s="402" t="s">
        <v>159</v>
      </c>
      <c r="E1083" s="402" t="s">
        <v>629</v>
      </c>
      <c r="F1083" s="402" t="s">
        <v>126</v>
      </c>
      <c r="G1083" s="20">
        <v>390</v>
      </c>
      <c r="H1083" s="20">
        <v>390</v>
      </c>
      <c r="I1083" s="334"/>
      <c r="J1083" s="321"/>
    </row>
    <row r="1084" spans="1:10" ht="34.5" customHeight="1" x14ac:dyDescent="0.25">
      <c r="A1084" s="417" t="s">
        <v>864</v>
      </c>
      <c r="B1084" s="454">
        <v>908</v>
      </c>
      <c r="C1084" s="414" t="s">
        <v>168</v>
      </c>
      <c r="D1084" s="414" t="s">
        <v>159</v>
      </c>
      <c r="E1084" s="414" t="s">
        <v>273</v>
      </c>
      <c r="F1084" s="414"/>
      <c r="G1084" s="314">
        <f>G1085+G1116+G1089+G1123+G1127</f>
        <v>8881.4399999999987</v>
      </c>
      <c r="H1084" s="314">
        <f>H1085+H1116+H1089+H1123+H1127</f>
        <v>8881.4399999999987</v>
      </c>
      <c r="I1084" s="334"/>
      <c r="J1084" s="321"/>
    </row>
    <row r="1085" spans="1:10" ht="35.450000000000003" hidden="1" customHeight="1" x14ac:dyDescent="0.25">
      <c r="A1085" s="417" t="s">
        <v>918</v>
      </c>
      <c r="B1085" s="454">
        <v>908</v>
      </c>
      <c r="C1085" s="414" t="s">
        <v>168</v>
      </c>
      <c r="D1085" s="414" t="s">
        <v>159</v>
      </c>
      <c r="E1085" s="414" t="s">
        <v>800</v>
      </c>
      <c r="F1085" s="414"/>
      <c r="G1085" s="314">
        <f t="shared" ref="G1085:H1087" si="91">G1086</f>
        <v>0</v>
      </c>
      <c r="H1085" s="314">
        <f t="shared" si="91"/>
        <v>0</v>
      </c>
      <c r="I1085" s="334"/>
      <c r="J1085" s="321"/>
    </row>
    <row r="1086" spans="1:10" ht="21.2" hidden="1" customHeight="1" x14ac:dyDescent="0.25">
      <c r="A1086" s="497" t="s">
        <v>919</v>
      </c>
      <c r="B1086" s="455">
        <v>908</v>
      </c>
      <c r="C1086" s="402" t="s">
        <v>168</v>
      </c>
      <c r="D1086" s="402" t="s">
        <v>159</v>
      </c>
      <c r="E1086" s="402" t="s">
        <v>909</v>
      </c>
      <c r="F1086" s="402"/>
      <c r="G1086" s="318">
        <f t="shared" si="91"/>
        <v>0</v>
      </c>
      <c r="H1086" s="318">
        <f t="shared" si="91"/>
        <v>0</v>
      </c>
      <c r="I1086" s="334"/>
      <c r="J1086" s="321"/>
    </row>
    <row r="1087" spans="1:10" ht="35.450000000000003" hidden="1" customHeight="1" x14ac:dyDescent="0.25">
      <c r="A1087" s="399" t="s">
        <v>123</v>
      </c>
      <c r="B1087" s="455">
        <v>908</v>
      </c>
      <c r="C1087" s="402" t="s">
        <v>168</v>
      </c>
      <c r="D1087" s="402" t="s">
        <v>159</v>
      </c>
      <c r="E1087" s="402" t="s">
        <v>909</v>
      </c>
      <c r="F1087" s="402" t="s">
        <v>124</v>
      </c>
      <c r="G1087" s="318">
        <f t="shared" si="91"/>
        <v>0</v>
      </c>
      <c r="H1087" s="318">
        <f t="shared" si="91"/>
        <v>0</v>
      </c>
      <c r="I1087" s="334"/>
      <c r="J1087" s="321"/>
    </row>
    <row r="1088" spans="1:10" ht="35.450000000000003" hidden="1" customHeight="1" x14ac:dyDescent="0.25">
      <c r="A1088" s="399" t="s">
        <v>125</v>
      </c>
      <c r="B1088" s="455">
        <v>908</v>
      </c>
      <c r="C1088" s="402" t="s">
        <v>168</v>
      </c>
      <c r="D1088" s="402" t="s">
        <v>159</v>
      </c>
      <c r="E1088" s="402" t="s">
        <v>909</v>
      </c>
      <c r="F1088" s="402" t="s">
        <v>126</v>
      </c>
      <c r="G1088" s="318">
        <v>0</v>
      </c>
      <c r="H1088" s="318">
        <v>0</v>
      </c>
      <c r="I1088" s="334"/>
      <c r="J1088" s="321"/>
    </row>
    <row r="1089" spans="1:17" ht="35.450000000000003" customHeight="1" x14ac:dyDescent="0.25">
      <c r="A1089" s="417" t="s">
        <v>937</v>
      </c>
      <c r="B1089" s="454">
        <v>908</v>
      </c>
      <c r="C1089" s="414" t="s">
        <v>168</v>
      </c>
      <c r="D1089" s="414" t="s">
        <v>159</v>
      </c>
      <c r="E1089" s="414" t="s">
        <v>801</v>
      </c>
      <c r="F1089" s="414"/>
      <c r="G1089" s="314">
        <f>G1090+G1093+G1099+G1102+G1105+G1110+G1113</f>
        <v>2248</v>
      </c>
      <c r="H1089" s="314">
        <f>H1090+H1093+H1099+H1102+H1105+H1110+H1113</f>
        <v>2248</v>
      </c>
      <c r="I1089" s="334"/>
      <c r="J1089" s="321"/>
    </row>
    <row r="1090" spans="1:17" ht="19.5" customHeight="1" x14ac:dyDescent="0.25">
      <c r="A1090" s="399" t="s">
        <v>274</v>
      </c>
      <c r="B1090" s="455">
        <v>908</v>
      </c>
      <c r="C1090" s="402" t="s">
        <v>168</v>
      </c>
      <c r="D1090" s="402" t="s">
        <v>159</v>
      </c>
      <c r="E1090" s="402" t="s">
        <v>917</v>
      </c>
      <c r="F1090" s="402"/>
      <c r="G1090" s="318">
        <f>G1091</f>
        <v>365</v>
      </c>
      <c r="H1090" s="318">
        <f>H1091</f>
        <v>365</v>
      </c>
      <c r="I1090" s="334"/>
      <c r="J1090" s="321"/>
    </row>
    <row r="1091" spans="1:17" ht="31.5" x14ac:dyDescent="0.25">
      <c r="A1091" s="399" t="s">
        <v>123</v>
      </c>
      <c r="B1091" s="455">
        <v>908</v>
      </c>
      <c r="C1091" s="402" t="s">
        <v>168</v>
      </c>
      <c r="D1091" s="402" t="s">
        <v>159</v>
      </c>
      <c r="E1091" s="402" t="s">
        <v>917</v>
      </c>
      <c r="F1091" s="402" t="s">
        <v>124</v>
      </c>
      <c r="G1091" s="318">
        <f>G1092</f>
        <v>365</v>
      </c>
      <c r="H1091" s="318">
        <f>H1092</f>
        <v>365</v>
      </c>
      <c r="I1091" s="334"/>
      <c r="J1091" s="321"/>
    </row>
    <row r="1092" spans="1:17" ht="31.5" x14ac:dyDescent="0.25">
      <c r="A1092" s="399" t="s">
        <v>125</v>
      </c>
      <c r="B1092" s="455">
        <v>908</v>
      </c>
      <c r="C1092" s="402" t="s">
        <v>168</v>
      </c>
      <c r="D1092" s="402" t="s">
        <v>159</v>
      </c>
      <c r="E1092" s="402" t="s">
        <v>917</v>
      </c>
      <c r="F1092" s="402" t="s">
        <v>126</v>
      </c>
      <c r="G1092" s="318">
        <v>365</v>
      </c>
      <c r="H1092" s="318">
        <v>365</v>
      </c>
      <c r="I1092" s="334"/>
      <c r="J1092" s="321"/>
      <c r="K1092" s="345"/>
    </row>
    <row r="1093" spans="1:17" ht="15.75" x14ac:dyDescent="0.25">
      <c r="A1093" s="399" t="s">
        <v>640</v>
      </c>
      <c r="B1093" s="455">
        <v>908</v>
      </c>
      <c r="C1093" s="402" t="s">
        <v>168</v>
      </c>
      <c r="D1093" s="402" t="s">
        <v>159</v>
      </c>
      <c r="E1093" s="402" t="s">
        <v>908</v>
      </c>
      <c r="F1093" s="402"/>
      <c r="G1093" s="318">
        <f>G1094+G1096</f>
        <v>1408</v>
      </c>
      <c r="H1093" s="318">
        <f>H1094+H1096</f>
        <v>1408</v>
      </c>
      <c r="I1093" s="334"/>
      <c r="J1093" s="321"/>
    </row>
    <row r="1094" spans="1:17" ht="31.5" x14ac:dyDescent="0.25">
      <c r="A1094" s="399" t="s">
        <v>123</v>
      </c>
      <c r="B1094" s="455">
        <v>908</v>
      </c>
      <c r="C1094" s="402" t="s">
        <v>168</v>
      </c>
      <c r="D1094" s="402" t="s">
        <v>159</v>
      </c>
      <c r="E1094" s="402" t="s">
        <v>908</v>
      </c>
      <c r="F1094" s="402" t="s">
        <v>124</v>
      </c>
      <c r="G1094" s="318">
        <f>G1095</f>
        <v>1408</v>
      </c>
      <c r="H1094" s="318">
        <f>H1095</f>
        <v>1408</v>
      </c>
      <c r="I1094" s="334"/>
      <c r="J1094" s="321"/>
    </row>
    <row r="1095" spans="1:17" ht="31.5" x14ac:dyDescent="0.25">
      <c r="A1095" s="399" t="s">
        <v>125</v>
      </c>
      <c r="B1095" s="455">
        <v>908</v>
      </c>
      <c r="C1095" s="402" t="s">
        <v>168</v>
      </c>
      <c r="D1095" s="402" t="s">
        <v>159</v>
      </c>
      <c r="E1095" s="402" t="s">
        <v>908</v>
      </c>
      <c r="F1095" s="402" t="s">
        <v>126</v>
      </c>
      <c r="G1095" s="318">
        <f>1408</f>
        <v>1408</v>
      </c>
      <c r="H1095" s="318">
        <f>1408</f>
        <v>1408</v>
      </c>
      <c r="I1095" s="334"/>
      <c r="J1095" s="321"/>
      <c r="N1095" s="345"/>
      <c r="Q1095" s="345"/>
    </row>
    <row r="1096" spans="1:17" ht="15.75" hidden="1" x14ac:dyDescent="0.25">
      <c r="A1096" s="399" t="s">
        <v>127</v>
      </c>
      <c r="B1096" s="455">
        <v>908</v>
      </c>
      <c r="C1096" s="402" t="s">
        <v>168</v>
      </c>
      <c r="D1096" s="402" t="s">
        <v>159</v>
      </c>
      <c r="E1096" s="402" t="s">
        <v>908</v>
      </c>
      <c r="F1096" s="402" t="s">
        <v>134</v>
      </c>
      <c r="G1096" s="318">
        <f>G1098+G1097</f>
        <v>0</v>
      </c>
      <c r="H1096" s="318">
        <f>H1098+H1097</f>
        <v>0</v>
      </c>
      <c r="I1096" s="334"/>
      <c r="J1096" s="321"/>
    </row>
    <row r="1097" spans="1:17" ht="32.25" hidden="1" customHeight="1" x14ac:dyDescent="0.25">
      <c r="A1097" s="399" t="s">
        <v>413</v>
      </c>
      <c r="B1097" s="455">
        <v>908</v>
      </c>
      <c r="C1097" s="402" t="s">
        <v>168</v>
      </c>
      <c r="D1097" s="402" t="s">
        <v>159</v>
      </c>
      <c r="E1097" s="402" t="s">
        <v>908</v>
      </c>
      <c r="F1097" s="402" t="s">
        <v>136</v>
      </c>
      <c r="G1097" s="318">
        <v>0</v>
      </c>
      <c r="H1097" s="318">
        <v>0</v>
      </c>
      <c r="I1097" s="334"/>
      <c r="J1097" s="321"/>
    </row>
    <row r="1098" spans="1:17" ht="15.75" hidden="1" x14ac:dyDescent="0.25">
      <c r="A1098" s="399" t="s">
        <v>338</v>
      </c>
      <c r="B1098" s="455">
        <v>908</v>
      </c>
      <c r="C1098" s="402" t="s">
        <v>168</v>
      </c>
      <c r="D1098" s="402" t="s">
        <v>159</v>
      </c>
      <c r="E1098" s="402" t="s">
        <v>908</v>
      </c>
      <c r="F1098" s="402" t="s">
        <v>130</v>
      </c>
      <c r="G1098" s="318">
        <f>3.4+37.5-40.9</f>
        <v>0</v>
      </c>
      <c r="H1098" s="318">
        <f>3.4+37.5-40.9</f>
        <v>0</v>
      </c>
      <c r="I1098" s="334"/>
      <c r="J1098" s="321"/>
    </row>
    <row r="1099" spans="1:17" ht="15.75" hidden="1" x14ac:dyDescent="0.25">
      <c r="A1099" s="399" t="s">
        <v>276</v>
      </c>
      <c r="B1099" s="455">
        <v>908</v>
      </c>
      <c r="C1099" s="402" t="s">
        <v>168</v>
      </c>
      <c r="D1099" s="402" t="s">
        <v>159</v>
      </c>
      <c r="E1099" s="402" t="s">
        <v>813</v>
      </c>
      <c r="F1099" s="402"/>
      <c r="G1099" s="318">
        <f>G1100</f>
        <v>0</v>
      </c>
      <c r="H1099" s="318">
        <f>H1100</f>
        <v>0</v>
      </c>
      <c r="I1099" s="334"/>
      <c r="J1099" s="321"/>
    </row>
    <row r="1100" spans="1:17" ht="31.5" hidden="1" x14ac:dyDescent="0.25">
      <c r="A1100" s="399" t="s">
        <v>123</v>
      </c>
      <c r="B1100" s="455">
        <v>908</v>
      </c>
      <c r="C1100" s="402" t="s">
        <v>168</v>
      </c>
      <c r="D1100" s="402" t="s">
        <v>159</v>
      </c>
      <c r="E1100" s="402" t="s">
        <v>813</v>
      </c>
      <c r="F1100" s="402" t="s">
        <v>124</v>
      </c>
      <c r="G1100" s="318">
        <f>G1101</f>
        <v>0</v>
      </c>
      <c r="H1100" s="318">
        <f>H1101</f>
        <v>0</v>
      </c>
      <c r="I1100" s="334"/>
      <c r="J1100" s="321"/>
    </row>
    <row r="1101" spans="1:17" ht="31.5" hidden="1" x14ac:dyDescent="0.25">
      <c r="A1101" s="399" t="s">
        <v>125</v>
      </c>
      <c r="B1101" s="455">
        <v>908</v>
      </c>
      <c r="C1101" s="402" t="s">
        <v>168</v>
      </c>
      <c r="D1101" s="402" t="s">
        <v>159</v>
      </c>
      <c r="E1101" s="402" t="s">
        <v>813</v>
      </c>
      <c r="F1101" s="402" t="s">
        <v>126</v>
      </c>
      <c r="G1101" s="318">
        <v>0</v>
      </c>
      <c r="H1101" s="318">
        <v>0</v>
      </c>
      <c r="I1101" s="334"/>
      <c r="J1101" s="321"/>
    </row>
    <row r="1102" spans="1:17" ht="15.75" x14ac:dyDescent="0.25">
      <c r="A1102" s="399" t="s">
        <v>277</v>
      </c>
      <c r="B1102" s="455">
        <v>908</v>
      </c>
      <c r="C1102" s="402" t="s">
        <v>168</v>
      </c>
      <c r="D1102" s="402" t="s">
        <v>159</v>
      </c>
      <c r="E1102" s="402" t="s">
        <v>802</v>
      </c>
      <c r="F1102" s="402"/>
      <c r="G1102" s="318">
        <f>G1103</f>
        <v>50</v>
      </c>
      <c r="H1102" s="318">
        <f>H1103</f>
        <v>50</v>
      </c>
      <c r="I1102" s="334"/>
      <c r="J1102" s="321"/>
    </row>
    <row r="1103" spans="1:17" ht="31.5" x14ac:dyDescent="0.25">
      <c r="A1103" s="399" t="s">
        <v>123</v>
      </c>
      <c r="B1103" s="455">
        <v>908</v>
      </c>
      <c r="C1103" s="402" t="s">
        <v>168</v>
      </c>
      <c r="D1103" s="402" t="s">
        <v>159</v>
      </c>
      <c r="E1103" s="402" t="s">
        <v>802</v>
      </c>
      <c r="F1103" s="402" t="s">
        <v>124</v>
      </c>
      <c r="G1103" s="318">
        <f>G1104</f>
        <v>50</v>
      </c>
      <c r="H1103" s="318">
        <f>H1104</f>
        <v>50</v>
      </c>
      <c r="I1103" s="334"/>
      <c r="J1103" s="321"/>
    </row>
    <row r="1104" spans="1:17" ht="36" customHeight="1" x14ac:dyDescent="0.25">
      <c r="A1104" s="399" t="s">
        <v>125</v>
      </c>
      <c r="B1104" s="455">
        <v>908</v>
      </c>
      <c r="C1104" s="402" t="s">
        <v>168</v>
      </c>
      <c r="D1104" s="402" t="s">
        <v>159</v>
      </c>
      <c r="E1104" s="402" t="s">
        <v>802</v>
      </c>
      <c r="F1104" s="402" t="s">
        <v>126</v>
      </c>
      <c r="G1104" s="318">
        <v>50</v>
      </c>
      <c r="H1104" s="318">
        <v>50</v>
      </c>
      <c r="I1104" s="334"/>
      <c r="J1104" s="321"/>
    </row>
    <row r="1105" spans="1:10" ht="30.75" customHeight="1" x14ac:dyDescent="0.25">
      <c r="A1105" s="498" t="s">
        <v>920</v>
      </c>
      <c r="B1105" s="455">
        <v>908</v>
      </c>
      <c r="C1105" s="402" t="s">
        <v>168</v>
      </c>
      <c r="D1105" s="402" t="s">
        <v>159</v>
      </c>
      <c r="E1105" s="402" t="s">
        <v>803</v>
      </c>
      <c r="F1105" s="402"/>
      <c r="G1105" s="318">
        <f>G1106+G1108</f>
        <v>375</v>
      </c>
      <c r="H1105" s="318">
        <f>H1106+H1108</f>
        <v>375</v>
      </c>
      <c r="I1105" s="334"/>
      <c r="J1105" s="321"/>
    </row>
    <row r="1106" spans="1:10" ht="31.5" x14ac:dyDescent="0.25">
      <c r="A1106" s="399" t="s">
        <v>123</v>
      </c>
      <c r="B1106" s="455">
        <v>908</v>
      </c>
      <c r="C1106" s="402" t="s">
        <v>168</v>
      </c>
      <c r="D1106" s="402" t="s">
        <v>159</v>
      </c>
      <c r="E1106" s="402" t="s">
        <v>803</v>
      </c>
      <c r="F1106" s="402" t="s">
        <v>124</v>
      </c>
      <c r="G1106" s="318">
        <f>G1107</f>
        <v>375</v>
      </c>
      <c r="H1106" s="318">
        <f>H1107</f>
        <v>375</v>
      </c>
      <c r="I1106" s="334"/>
      <c r="J1106" s="321"/>
    </row>
    <row r="1107" spans="1:10" ht="31.5" x14ac:dyDescent="0.25">
      <c r="A1107" s="399" t="s">
        <v>125</v>
      </c>
      <c r="B1107" s="455">
        <v>908</v>
      </c>
      <c r="C1107" s="402" t="s">
        <v>168</v>
      </c>
      <c r="D1107" s="402" t="s">
        <v>159</v>
      </c>
      <c r="E1107" s="402" t="s">
        <v>803</v>
      </c>
      <c r="F1107" s="402" t="s">
        <v>126</v>
      </c>
      <c r="G1107" s="318">
        <f>375</f>
        <v>375</v>
      </c>
      <c r="H1107" s="318">
        <f>375</f>
        <v>375</v>
      </c>
      <c r="I1107" s="334"/>
      <c r="J1107" s="321"/>
    </row>
    <row r="1108" spans="1:10" ht="15.75" hidden="1" x14ac:dyDescent="0.25">
      <c r="A1108" s="399" t="s">
        <v>127</v>
      </c>
      <c r="B1108" s="455">
        <v>908</v>
      </c>
      <c r="C1108" s="402" t="s">
        <v>168</v>
      </c>
      <c r="D1108" s="402" t="s">
        <v>159</v>
      </c>
      <c r="E1108" s="402" t="s">
        <v>803</v>
      </c>
      <c r="F1108" s="402" t="s">
        <v>134</v>
      </c>
      <c r="G1108" s="318">
        <f>G1109</f>
        <v>0</v>
      </c>
      <c r="H1108" s="318">
        <f>H1109</f>
        <v>0</v>
      </c>
      <c r="I1108" s="334"/>
      <c r="J1108" s="321"/>
    </row>
    <row r="1109" spans="1:10" ht="15.75" hidden="1" x14ac:dyDescent="0.25">
      <c r="A1109" s="399" t="s">
        <v>338</v>
      </c>
      <c r="B1109" s="455">
        <v>908</v>
      </c>
      <c r="C1109" s="402" t="s">
        <v>168</v>
      </c>
      <c r="D1109" s="402" t="s">
        <v>159</v>
      </c>
      <c r="E1109" s="402" t="s">
        <v>803</v>
      </c>
      <c r="F1109" s="402" t="s">
        <v>130</v>
      </c>
      <c r="G1109" s="318">
        <f>75-75</f>
        <v>0</v>
      </c>
      <c r="H1109" s="318">
        <f>75-75</f>
        <v>0</v>
      </c>
      <c r="I1109" s="334"/>
      <c r="J1109" s="321"/>
    </row>
    <row r="1110" spans="1:10" ht="15.75" hidden="1" x14ac:dyDescent="0.25">
      <c r="A1110" s="406" t="s">
        <v>278</v>
      </c>
      <c r="B1110" s="455">
        <v>908</v>
      </c>
      <c r="C1110" s="402" t="s">
        <v>168</v>
      </c>
      <c r="D1110" s="402" t="s">
        <v>159</v>
      </c>
      <c r="E1110" s="402" t="s">
        <v>804</v>
      </c>
      <c r="F1110" s="402"/>
      <c r="G1110" s="318">
        <f>G1111</f>
        <v>0</v>
      </c>
      <c r="H1110" s="318">
        <f>H1111</f>
        <v>0</v>
      </c>
      <c r="I1110" s="334"/>
      <c r="J1110" s="321"/>
    </row>
    <row r="1111" spans="1:10" ht="31.5" hidden="1" x14ac:dyDescent="0.25">
      <c r="A1111" s="399" t="s">
        <v>123</v>
      </c>
      <c r="B1111" s="455">
        <v>908</v>
      </c>
      <c r="C1111" s="402" t="s">
        <v>168</v>
      </c>
      <c r="D1111" s="402" t="s">
        <v>159</v>
      </c>
      <c r="E1111" s="402" t="s">
        <v>804</v>
      </c>
      <c r="F1111" s="402" t="s">
        <v>124</v>
      </c>
      <c r="G1111" s="318">
        <f>G1112</f>
        <v>0</v>
      </c>
      <c r="H1111" s="318">
        <f>H1112</f>
        <v>0</v>
      </c>
      <c r="I1111" s="334"/>
      <c r="J1111" s="321"/>
    </row>
    <row r="1112" spans="1:10" ht="31.5" hidden="1" x14ac:dyDescent="0.25">
      <c r="A1112" s="399" t="s">
        <v>125</v>
      </c>
      <c r="B1112" s="455">
        <v>908</v>
      </c>
      <c r="C1112" s="402" t="s">
        <v>168</v>
      </c>
      <c r="D1112" s="402" t="s">
        <v>159</v>
      </c>
      <c r="E1112" s="402" t="s">
        <v>804</v>
      </c>
      <c r="F1112" s="402" t="s">
        <v>126</v>
      </c>
      <c r="G1112" s="318">
        <v>0</v>
      </c>
      <c r="H1112" s="318">
        <v>0</v>
      </c>
      <c r="I1112" s="334"/>
      <c r="J1112" s="321"/>
    </row>
    <row r="1113" spans="1:10" ht="31.5" x14ac:dyDescent="0.25">
      <c r="A1113" s="499" t="s">
        <v>642</v>
      </c>
      <c r="B1113" s="455">
        <v>908</v>
      </c>
      <c r="C1113" s="402" t="s">
        <v>168</v>
      </c>
      <c r="D1113" s="402" t="s">
        <v>159</v>
      </c>
      <c r="E1113" s="402" t="s">
        <v>805</v>
      </c>
      <c r="F1113" s="402"/>
      <c r="G1113" s="318">
        <f>G1114</f>
        <v>50</v>
      </c>
      <c r="H1113" s="318">
        <f>H1114</f>
        <v>50</v>
      </c>
      <c r="I1113" s="334"/>
      <c r="J1113" s="321"/>
    </row>
    <row r="1114" spans="1:10" ht="31.5" x14ac:dyDescent="0.25">
      <c r="A1114" s="399" t="s">
        <v>123</v>
      </c>
      <c r="B1114" s="455">
        <v>908</v>
      </c>
      <c r="C1114" s="402" t="s">
        <v>168</v>
      </c>
      <c r="D1114" s="402" t="s">
        <v>159</v>
      </c>
      <c r="E1114" s="402" t="s">
        <v>805</v>
      </c>
      <c r="F1114" s="402" t="s">
        <v>124</v>
      </c>
      <c r="G1114" s="318">
        <f>G1115</f>
        <v>50</v>
      </c>
      <c r="H1114" s="318">
        <f>H1115</f>
        <v>50</v>
      </c>
      <c r="I1114" s="334"/>
      <c r="J1114" s="321"/>
    </row>
    <row r="1115" spans="1:10" ht="31.5" x14ac:dyDescent="0.25">
      <c r="A1115" s="399" t="s">
        <v>125</v>
      </c>
      <c r="B1115" s="455">
        <v>908</v>
      </c>
      <c r="C1115" s="402" t="s">
        <v>168</v>
      </c>
      <c r="D1115" s="402" t="s">
        <v>159</v>
      </c>
      <c r="E1115" s="402" t="s">
        <v>805</v>
      </c>
      <c r="F1115" s="402" t="s">
        <v>126</v>
      </c>
      <c r="G1115" s="318">
        <f>50</f>
        <v>50</v>
      </c>
      <c r="H1115" s="318">
        <f>50</f>
        <v>50</v>
      </c>
      <c r="I1115" s="334"/>
      <c r="J1115" s="321"/>
    </row>
    <row r="1116" spans="1:10" ht="31.5" x14ac:dyDescent="0.25">
      <c r="A1116" s="417" t="s">
        <v>464</v>
      </c>
      <c r="B1116" s="454">
        <v>908</v>
      </c>
      <c r="C1116" s="414" t="s">
        <v>168</v>
      </c>
      <c r="D1116" s="414" t="s">
        <v>159</v>
      </c>
      <c r="E1116" s="414" t="s">
        <v>812</v>
      </c>
      <c r="F1116" s="414"/>
      <c r="G1116" s="314">
        <f>G1117+G1120</f>
        <v>2145.8000000000002</v>
      </c>
      <c r="H1116" s="314">
        <f>H1117+H1120</f>
        <v>2145.8000000000002</v>
      </c>
      <c r="I1116" s="334"/>
      <c r="J1116" s="321"/>
    </row>
    <row r="1117" spans="1:10" ht="31.5" hidden="1" x14ac:dyDescent="0.25">
      <c r="A1117" s="399" t="s">
        <v>332</v>
      </c>
      <c r="B1117" s="455">
        <v>908</v>
      </c>
      <c r="C1117" s="402" t="s">
        <v>168</v>
      </c>
      <c r="D1117" s="402" t="s">
        <v>159</v>
      </c>
      <c r="E1117" s="402" t="s">
        <v>834</v>
      </c>
      <c r="F1117" s="402"/>
      <c r="G1117" s="318">
        <f>G1118</f>
        <v>0</v>
      </c>
      <c r="H1117" s="318">
        <f>H1118</f>
        <v>0</v>
      </c>
      <c r="I1117" s="334"/>
      <c r="J1117" s="321"/>
    </row>
    <row r="1118" spans="1:10" ht="31.5" hidden="1" x14ac:dyDescent="0.25">
      <c r="A1118" s="399" t="s">
        <v>123</v>
      </c>
      <c r="B1118" s="455">
        <v>908</v>
      </c>
      <c r="C1118" s="402" t="s">
        <v>168</v>
      </c>
      <c r="D1118" s="402" t="s">
        <v>159</v>
      </c>
      <c r="E1118" s="402" t="s">
        <v>834</v>
      </c>
      <c r="F1118" s="402" t="s">
        <v>124</v>
      </c>
      <c r="G1118" s="318">
        <f>G1119</f>
        <v>0</v>
      </c>
      <c r="H1118" s="318">
        <f>H1119</f>
        <v>0</v>
      </c>
      <c r="I1118" s="334"/>
      <c r="J1118" s="321"/>
    </row>
    <row r="1119" spans="1:10" ht="31.5" hidden="1" x14ac:dyDescent="0.25">
      <c r="A1119" s="399" t="s">
        <v>125</v>
      </c>
      <c r="B1119" s="455">
        <v>908</v>
      </c>
      <c r="C1119" s="402" t="s">
        <v>168</v>
      </c>
      <c r="D1119" s="402" t="s">
        <v>159</v>
      </c>
      <c r="E1119" s="402" t="s">
        <v>834</v>
      </c>
      <c r="F1119" s="402" t="s">
        <v>126</v>
      </c>
      <c r="G1119" s="318">
        <v>0</v>
      </c>
      <c r="H1119" s="318">
        <v>0</v>
      </c>
      <c r="I1119" s="334"/>
      <c r="J1119" s="321"/>
    </row>
    <row r="1120" spans="1:10" ht="47.25" x14ac:dyDescent="0.25">
      <c r="A1120" s="399" t="s">
        <v>627</v>
      </c>
      <c r="B1120" s="455">
        <v>908</v>
      </c>
      <c r="C1120" s="402" t="s">
        <v>168</v>
      </c>
      <c r="D1120" s="402" t="s">
        <v>159</v>
      </c>
      <c r="E1120" s="402" t="s">
        <v>811</v>
      </c>
      <c r="F1120" s="402"/>
      <c r="G1120" s="318">
        <f>G1121</f>
        <v>2145.8000000000002</v>
      </c>
      <c r="H1120" s="318">
        <f>H1121</f>
        <v>2145.8000000000002</v>
      </c>
      <c r="I1120" s="334"/>
      <c r="J1120" s="321"/>
    </row>
    <row r="1121" spans="1:10" ht="31.5" x14ac:dyDescent="0.25">
      <c r="A1121" s="399" t="s">
        <v>123</v>
      </c>
      <c r="B1121" s="455">
        <v>908</v>
      </c>
      <c r="C1121" s="402" t="s">
        <v>168</v>
      </c>
      <c r="D1121" s="402" t="s">
        <v>159</v>
      </c>
      <c r="E1121" s="402" t="s">
        <v>811</v>
      </c>
      <c r="F1121" s="402" t="s">
        <v>124</v>
      </c>
      <c r="G1121" s="318">
        <f>G1122</f>
        <v>2145.8000000000002</v>
      </c>
      <c r="H1121" s="318">
        <f>H1122</f>
        <v>2145.8000000000002</v>
      </c>
      <c r="I1121" s="334"/>
      <c r="J1121" s="321"/>
    </row>
    <row r="1122" spans="1:10" ht="31.5" x14ac:dyDescent="0.25">
      <c r="A1122" s="399" t="s">
        <v>125</v>
      </c>
      <c r="B1122" s="455">
        <v>908</v>
      </c>
      <c r="C1122" s="402" t="s">
        <v>168</v>
      </c>
      <c r="D1122" s="402" t="s">
        <v>159</v>
      </c>
      <c r="E1122" s="402" t="s">
        <v>811</v>
      </c>
      <c r="F1122" s="402" t="s">
        <v>126</v>
      </c>
      <c r="G1122" s="318">
        <v>2145.8000000000002</v>
      </c>
      <c r="H1122" s="318">
        <v>2145.8000000000002</v>
      </c>
      <c r="I1122" s="334"/>
      <c r="J1122" s="321"/>
    </row>
    <row r="1123" spans="1:10" ht="31.5" hidden="1" x14ac:dyDescent="0.25">
      <c r="A1123" s="413" t="s">
        <v>1044</v>
      </c>
      <c r="B1123" s="454">
        <v>908</v>
      </c>
      <c r="C1123" s="414" t="s">
        <v>168</v>
      </c>
      <c r="D1123" s="414" t="s">
        <v>159</v>
      </c>
      <c r="E1123" s="414" t="s">
        <v>1045</v>
      </c>
      <c r="F1123" s="414"/>
      <c r="G1123" s="314">
        <f t="shared" ref="G1123:H1125" si="92">G1124</f>
        <v>0</v>
      </c>
      <c r="H1123" s="314">
        <f t="shared" si="92"/>
        <v>0</v>
      </c>
      <c r="I1123" s="334"/>
      <c r="J1123" s="321"/>
    </row>
    <row r="1124" spans="1:10" ht="15.75" hidden="1" x14ac:dyDescent="0.25">
      <c r="A1124" s="401" t="s">
        <v>1043</v>
      </c>
      <c r="B1124" s="455">
        <v>908</v>
      </c>
      <c r="C1124" s="402" t="s">
        <v>168</v>
      </c>
      <c r="D1124" s="402" t="s">
        <v>159</v>
      </c>
      <c r="E1124" s="402" t="s">
        <v>1046</v>
      </c>
      <c r="F1124" s="402"/>
      <c r="G1124" s="318">
        <f t="shared" si="92"/>
        <v>0</v>
      </c>
      <c r="H1124" s="318">
        <f t="shared" si="92"/>
        <v>0</v>
      </c>
      <c r="I1124" s="334"/>
      <c r="J1124" s="321"/>
    </row>
    <row r="1125" spans="1:10" ht="31.5" hidden="1" x14ac:dyDescent="0.25">
      <c r="A1125" s="399" t="s">
        <v>123</v>
      </c>
      <c r="B1125" s="455">
        <v>908</v>
      </c>
      <c r="C1125" s="402" t="s">
        <v>168</v>
      </c>
      <c r="D1125" s="402" t="s">
        <v>159</v>
      </c>
      <c r="E1125" s="402" t="s">
        <v>1046</v>
      </c>
      <c r="F1125" s="402" t="s">
        <v>124</v>
      </c>
      <c r="G1125" s="318">
        <f t="shared" si="92"/>
        <v>0</v>
      </c>
      <c r="H1125" s="318">
        <f t="shared" si="92"/>
        <v>0</v>
      </c>
      <c r="I1125" s="334"/>
      <c r="J1125" s="321"/>
    </row>
    <row r="1126" spans="1:10" ht="31.5" hidden="1" x14ac:dyDescent="0.25">
      <c r="A1126" s="399" t="s">
        <v>125</v>
      </c>
      <c r="B1126" s="455">
        <v>908</v>
      </c>
      <c r="C1126" s="402" t="s">
        <v>168</v>
      </c>
      <c r="D1126" s="402" t="s">
        <v>159</v>
      </c>
      <c r="E1126" s="402" t="s">
        <v>1046</v>
      </c>
      <c r="F1126" s="402" t="s">
        <v>126</v>
      </c>
      <c r="G1126" s="318"/>
      <c r="H1126" s="318"/>
      <c r="I1126" s="343"/>
      <c r="J1126" s="321"/>
    </row>
    <row r="1127" spans="1:10" ht="31.5" x14ac:dyDescent="0.25">
      <c r="A1127" s="413" t="s">
        <v>1070</v>
      </c>
      <c r="B1127" s="454">
        <v>908</v>
      </c>
      <c r="C1127" s="414" t="s">
        <v>168</v>
      </c>
      <c r="D1127" s="414" t="s">
        <v>159</v>
      </c>
      <c r="E1127" s="414" t="s">
        <v>1069</v>
      </c>
      <c r="F1127" s="414"/>
      <c r="G1127" s="314">
        <f t="shared" ref="G1127:H1129" si="93">G1128</f>
        <v>4487.6399999999994</v>
      </c>
      <c r="H1127" s="314">
        <f t="shared" si="93"/>
        <v>4487.6399999999994</v>
      </c>
      <c r="I1127" s="348"/>
      <c r="J1127" s="321"/>
    </row>
    <row r="1128" spans="1:10" ht="15.75" x14ac:dyDescent="0.25">
      <c r="A1128" s="401" t="s">
        <v>1128</v>
      </c>
      <c r="B1128" s="455">
        <v>908</v>
      </c>
      <c r="C1128" s="402" t="s">
        <v>168</v>
      </c>
      <c r="D1128" s="402" t="s">
        <v>159</v>
      </c>
      <c r="E1128" s="402" t="s">
        <v>1078</v>
      </c>
      <c r="F1128" s="402"/>
      <c r="G1128" s="318">
        <f t="shared" si="93"/>
        <v>4487.6399999999994</v>
      </c>
      <c r="H1128" s="318">
        <f t="shared" si="93"/>
        <v>4487.6399999999994</v>
      </c>
      <c r="I1128" s="348"/>
      <c r="J1128" s="321"/>
    </row>
    <row r="1129" spans="1:10" ht="31.5" x14ac:dyDescent="0.25">
      <c r="A1129" s="399" t="s">
        <v>123</v>
      </c>
      <c r="B1129" s="455">
        <v>908</v>
      </c>
      <c r="C1129" s="402" t="s">
        <v>168</v>
      </c>
      <c r="D1129" s="402" t="s">
        <v>159</v>
      </c>
      <c r="E1129" s="402" t="s">
        <v>1078</v>
      </c>
      <c r="F1129" s="402" t="s">
        <v>124</v>
      </c>
      <c r="G1129" s="318">
        <f t="shared" si="93"/>
        <v>4487.6399999999994</v>
      </c>
      <c r="H1129" s="318">
        <f t="shared" si="93"/>
        <v>4487.6399999999994</v>
      </c>
      <c r="I1129" s="348"/>
      <c r="J1129" s="321"/>
    </row>
    <row r="1130" spans="1:10" ht="31.5" x14ac:dyDescent="0.25">
      <c r="A1130" s="399" t="s">
        <v>125</v>
      </c>
      <c r="B1130" s="455">
        <v>908</v>
      </c>
      <c r="C1130" s="402" t="s">
        <v>168</v>
      </c>
      <c r="D1130" s="402" t="s">
        <v>159</v>
      </c>
      <c r="E1130" s="402" t="s">
        <v>1078</v>
      </c>
      <c r="F1130" s="402" t="s">
        <v>126</v>
      </c>
      <c r="G1130" s="318">
        <f>4173.5+178.4+135.74</f>
        <v>4487.6399999999994</v>
      </c>
      <c r="H1130" s="318">
        <f>4173.5+178.4+135.74</f>
        <v>4487.6399999999994</v>
      </c>
      <c r="I1130" s="348" t="s">
        <v>1211</v>
      </c>
      <c r="J1130" s="321"/>
    </row>
    <row r="1131" spans="1:10" ht="51" customHeight="1" x14ac:dyDescent="0.25">
      <c r="A1131" s="417" t="s">
        <v>1002</v>
      </c>
      <c r="B1131" s="454">
        <v>908</v>
      </c>
      <c r="C1131" s="414" t="s">
        <v>168</v>
      </c>
      <c r="D1131" s="414" t="s">
        <v>159</v>
      </c>
      <c r="E1131" s="414" t="s">
        <v>341</v>
      </c>
      <c r="F1131" s="414"/>
      <c r="G1131" s="314">
        <f>G1132+G1136</f>
        <v>500</v>
      </c>
      <c r="H1131" s="314">
        <f>H1132+H1136</f>
        <v>500</v>
      </c>
      <c r="I1131" s="334"/>
      <c r="J1131" s="321"/>
    </row>
    <row r="1132" spans="1:10" ht="34.5" customHeight="1" x14ac:dyDescent="0.25">
      <c r="A1132" s="417" t="s">
        <v>623</v>
      </c>
      <c r="B1132" s="454">
        <v>908</v>
      </c>
      <c r="C1132" s="414" t="s">
        <v>168</v>
      </c>
      <c r="D1132" s="414" t="s">
        <v>159</v>
      </c>
      <c r="E1132" s="414" t="s">
        <v>641</v>
      </c>
      <c r="F1132" s="414"/>
      <c r="G1132" s="314">
        <f t="shared" ref="G1132:H1134" si="94">G1133</f>
        <v>500</v>
      </c>
      <c r="H1132" s="314">
        <f t="shared" si="94"/>
        <v>500</v>
      </c>
      <c r="I1132" s="334"/>
      <c r="J1132" s="321"/>
    </row>
    <row r="1133" spans="1:10" ht="48.75" customHeight="1" x14ac:dyDescent="0.25">
      <c r="A1133" s="418" t="s">
        <v>333</v>
      </c>
      <c r="B1133" s="455">
        <v>908</v>
      </c>
      <c r="C1133" s="402" t="s">
        <v>168</v>
      </c>
      <c r="D1133" s="402" t="s">
        <v>159</v>
      </c>
      <c r="E1133" s="402" t="s">
        <v>412</v>
      </c>
      <c r="F1133" s="402"/>
      <c r="G1133" s="318">
        <f t="shared" si="94"/>
        <v>500</v>
      </c>
      <c r="H1133" s="318">
        <f t="shared" si="94"/>
        <v>500</v>
      </c>
      <c r="I1133" s="334"/>
      <c r="J1133" s="321"/>
    </row>
    <row r="1134" spans="1:10" ht="31.5" x14ac:dyDescent="0.25">
      <c r="A1134" s="399" t="s">
        <v>123</v>
      </c>
      <c r="B1134" s="455">
        <v>908</v>
      </c>
      <c r="C1134" s="402" t="s">
        <v>168</v>
      </c>
      <c r="D1134" s="402" t="s">
        <v>159</v>
      </c>
      <c r="E1134" s="402" t="s">
        <v>412</v>
      </c>
      <c r="F1134" s="402" t="s">
        <v>124</v>
      </c>
      <c r="G1134" s="318">
        <f t="shared" si="94"/>
        <v>500</v>
      </c>
      <c r="H1134" s="318">
        <f t="shared" si="94"/>
        <v>500</v>
      </c>
      <c r="I1134" s="334"/>
      <c r="J1134" s="321"/>
    </row>
    <row r="1135" spans="1:10" ht="31.5" x14ac:dyDescent="0.25">
      <c r="A1135" s="399" t="s">
        <v>125</v>
      </c>
      <c r="B1135" s="455">
        <v>908</v>
      </c>
      <c r="C1135" s="402" t="s">
        <v>168</v>
      </c>
      <c r="D1135" s="402" t="s">
        <v>159</v>
      </c>
      <c r="E1135" s="402" t="s">
        <v>412</v>
      </c>
      <c r="F1135" s="402" t="s">
        <v>126</v>
      </c>
      <c r="G1135" s="318">
        <f>500</f>
        <v>500</v>
      </c>
      <c r="H1135" s="318">
        <f>500</f>
        <v>500</v>
      </c>
      <c r="I1135" s="334"/>
      <c r="J1135" s="321"/>
    </row>
    <row r="1136" spans="1:10" ht="98.25" hidden="1" customHeight="1" x14ac:dyDescent="0.25">
      <c r="A1136" s="417" t="s">
        <v>1073</v>
      </c>
      <c r="B1136" s="454">
        <v>908</v>
      </c>
      <c r="C1136" s="414" t="s">
        <v>168</v>
      </c>
      <c r="D1136" s="414" t="s">
        <v>159</v>
      </c>
      <c r="E1136" s="414" t="s">
        <v>1074</v>
      </c>
      <c r="F1136" s="414"/>
      <c r="G1136" s="314">
        <f t="shared" ref="G1136:H1138" si="95">G1137</f>
        <v>0</v>
      </c>
      <c r="H1136" s="314">
        <f t="shared" si="95"/>
        <v>0</v>
      </c>
      <c r="I1136" s="334"/>
      <c r="J1136" s="321"/>
    </row>
    <row r="1137" spans="1:10" ht="76.150000000000006" hidden="1" customHeight="1" x14ac:dyDescent="0.25">
      <c r="A1137" s="418" t="s">
        <v>1096</v>
      </c>
      <c r="B1137" s="455">
        <v>908</v>
      </c>
      <c r="C1137" s="402" t="s">
        <v>168</v>
      </c>
      <c r="D1137" s="402" t="s">
        <v>159</v>
      </c>
      <c r="E1137" s="402" t="s">
        <v>1075</v>
      </c>
      <c r="F1137" s="402"/>
      <c r="G1137" s="318">
        <f t="shared" si="95"/>
        <v>0</v>
      </c>
      <c r="H1137" s="318">
        <f t="shared" si="95"/>
        <v>0</v>
      </c>
      <c r="I1137" s="334"/>
      <c r="J1137" s="321"/>
    </row>
    <row r="1138" spans="1:10" ht="31.15" hidden="1" customHeight="1" x14ac:dyDescent="0.25">
      <c r="A1138" s="399" t="s">
        <v>123</v>
      </c>
      <c r="B1138" s="455">
        <v>908</v>
      </c>
      <c r="C1138" s="402" t="s">
        <v>168</v>
      </c>
      <c r="D1138" s="402" t="s">
        <v>159</v>
      </c>
      <c r="E1138" s="402" t="s">
        <v>1075</v>
      </c>
      <c r="F1138" s="402" t="s">
        <v>124</v>
      </c>
      <c r="G1138" s="318">
        <f t="shared" si="95"/>
        <v>0</v>
      </c>
      <c r="H1138" s="318">
        <f t="shared" si="95"/>
        <v>0</v>
      </c>
      <c r="I1138" s="334"/>
      <c r="J1138" s="321"/>
    </row>
    <row r="1139" spans="1:10" ht="31.15" hidden="1" customHeight="1" x14ac:dyDescent="0.25">
      <c r="A1139" s="399" t="s">
        <v>125</v>
      </c>
      <c r="B1139" s="455">
        <v>908</v>
      </c>
      <c r="C1139" s="402" t="s">
        <v>168</v>
      </c>
      <c r="D1139" s="402" t="s">
        <v>159</v>
      </c>
      <c r="E1139" s="402" t="s">
        <v>1075</v>
      </c>
      <c r="F1139" s="402" t="s">
        <v>126</v>
      </c>
      <c r="G1139" s="318"/>
      <c r="H1139" s="318"/>
      <c r="I1139" s="334"/>
      <c r="J1139" s="321"/>
    </row>
    <row r="1140" spans="1:10" ht="31.5" x14ac:dyDescent="0.25">
      <c r="A1140" s="417" t="s">
        <v>281</v>
      </c>
      <c r="B1140" s="454">
        <v>908</v>
      </c>
      <c r="C1140" s="414" t="s">
        <v>168</v>
      </c>
      <c r="D1140" s="414" t="s">
        <v>168</v>
      </c>
      <c r="E1140" s="414"/>
      <c r="F1140" s="414"/>
      <c r="G1140" s="314">
        <f>G1141+G1156+G1181</f>
        <v>30376.5</v>
      </c>
      <c r="H1140" s="314">
        <f>H1141+H1156+H1181</f>
        <v>30376.6</v>
      </c>
      <c r="I1140" s="334"/>
      <c r="J1140" s="321"/>
    </row>
    <row r="1141" spans="1:10" ht="31.5" x14ac:dyDescent="0.25">
      <c r="A1141" s="417" t="s">
        <v>488</v>
      </c>
      <c r="B1141" s="454">
        <v>908</v>
      </c>
      <c r="C1141" s="414" t="s">
        <v>168</v>
      </c>
      <c r="D1141" s="414" t="s">
        <v>168</v>
      </c>
      <c r="E1141" s="414" t="s">
        <v>434</v>
      </c>
      <c r="F1141" s="414"/>
      <c r="G1141" s="314">
        <f>G1142</f>
        <v>16377</v>
      </c>
      <c r="H1141" s="314">
        <f>H1142</f>
        <v>16377</v>
      </c>
      <c r="I1141" s="334"/>
      <c r="J1141" s="321"/>
    </row>
    <row r="1142" spans="1:10" ht="15.75" x14ac:dyDescent="0.25">
      <c r="A1142" s="417" t="s">
        <v>489</v>
      </c>
      <c r="B1142" s="454">
        <v>908</v>
      </c>
      <c r="C1142" s="414" t="s">
        <v>168</v>
      </c>
      <c r="D1142" s="414" t="s">
        <v>168</v>
      </c>
      <c r="E1142" s="414" t="s">
        <v>435</v>
      </c>
      <c r="F1142" s="414"/>
      <c r="G1142" s="314">
        <f>G1143+G1153+G1150</f>
        <v>16377</v>
      </c>
      <c r="H1142" s="314">
        <f>H1143+H1153+H1150</f>
        <v>16377</v>
      </c>
      <c r="I1142" s="334"/>
      <c r="J1142" s="321"/>
    </row>
    <row r="1143" spans="1:10" ht="31.9" customHeight="1" x14ac:dyDescent="0.25">
      <c r="A1143" s="399" t="s">
        <v>468</v>
      </c>
      <c r="B1143" s="455">
        <v>908</v>
      </c>
      <c r="C1143" s="402" t="s">
        <v>168</v>
      </c>
      <c r="D1143" s="402" t="s">
        <v>168</v>
      </c>
      <c r="E1143" s="402" t="s">
        <v>436</v>
      </c>
      <c r="F1143" s="402"/>
      <c r="G1143" s="318">
        <f>G1144+G1148+G1146</f>
        <v>14388.5</v>
      </c>
      <c r="H1143" s="318">
        <f>H1144+H1148+H1146</f>
        <v>14388.5</v>
      </c>
      <c r="I1143" s="334"/>
      <c r="J1143" s="321"/>
    </row>
    <row r="1144" spans="1:10" ht="60.75" customHeight="1" x14ac:dyDescent="0.25">
      <c r="A1144" s="399" t="s">
        <v>119</v>
      </c>
      <c r="B1144" s="455">
        <v>908</v>
      </c>
      <c r="C1144" s="402" t="s">
        <v>168</v>
      </c>
      <c r="D1144" s="402" t="s">
        <v>168</v>
      </c>
      <c r="E1144" s="402" t="s">
        <v>436</v>
      </c>
      <c r="F1144" s="402" t="s">
        <v>120</v>
      </c>
      <c r="G1144" s="318">
        <f>G1145</f>
        <v>14363.5</v>
      </c>
      <c r="H1144" s="318">
        <f>H1145</f>
        <v>14363.5</v>
      </c>
      <c r="I1144" s="334"/>
      <c r="J1144" s="321"/>
    </row>
    <row r="1145" spans="1:10" ht="31.5" x14ac:dyDescent="0.25">
      <c r="A1145" s="399" t="s">
        <v>121</v>
      </c>
      <c r="B1145" s="455">
        <v>908</v>
      </c>
      <c r="C1145" s="402" t="s">
        <v>168</v>
      </c>
      <c r="D1145" s="402" t="s">
        <v>168</v>
      </c>
      <c r="E1145" s="402" t="s">
        <v>436</v>
      </c>
      <c r="F1145" s="402" t="s">
        <v>122</v>
      </c>
      <c r="G1145" s="20">
        <v>14363.5</v>
      </c>
      <c r="H1145" s="20">
        <f>G1145</f>
        <v>14363.5</v>
      </c>
      <c r="I1145" s="334"/>
      <c r="J1145" s="321"/>
    </row>
    <row r="1146" spans="1:10" ht="31.5" x14ac:dyDescent="0.25">
      <c r="A1146" s="399" t="s">
        <v>123</v>
      </c>
      <c r="B1146" s="455">
        <v>908</v>
      </c>
      <c r="C1146" s="402" t="s">
        <v>168</v>
      </c>
      <c r="D1146" s="402" t="s">
        <v>168</v>
      </c>
      <c r="E1146" s="402" t="s">
        <v>436</v>
      </c>
      <c r="F1146" s="402" t="s">
        <v>124</v>
      </c>
      <c r="G1146" s="318">
        <f>G1147</f>
        <v>25</v>
      </c>
      <c r="H1146" s="318">
        <f>H1147</f>
        <v>25</v>
      </c>
      <c r="I1146" s="334"/>
      <c r="J1146" s="321"/>
    </row>
    <row r="1147" spans="1:10" ht="36.75" customHeight="1" x14ac:dyDescent="0.25">
      <c r="A1147" s="399" t="s">
        <v>125</v>
      </c>
      <c r="B1147" s="455">
        <v>908</v>
      </c>
      <c r="C1147" s="402" t="s">
        <v>168</v>
      </c>
      <c r="D1147" s="402" t="s">
        <v>168</v>
      </c>
      <c r="E1147" s="402" t="s">
        <v>436</v>
      </c>
      <c r="F1147" s="402" t="s">
        <v>126</v>
      </c>
      <c r="G1147" s="20">
        <v>25</v>
      </c>
      <c r="H1147" s="20">
        <v>25</v>
      </c>
      <c r="I1147" s="334"/>
      <c r="J1147" s="321"/>
    </row>
    <row r="1148" spans="1:10" ht="15.75" hidden="1" x14ac:dyDescent="0.25">
      <c r="A1148" s="399" t="s">
        <v>127</v>
      </c>
      <c r="B1148" s="455">
        <v>908</v>
      </c>
      <c r="C1148" s="402" t="s">
        <v>168</v>
      </c>
      <c r="D1148" s="402" t="s">
        <v>168</v>
      </c>
      <c r="E1148" s="402" t="s">
        <v>436</v>
      </c>
      <c r="F1148" s="402" t="s">
        <v>134</v>
      </c>
      <c r="G1148" s="318">
        <f>G1149</f>
        <v>0</v>
      </c>
      <c r="H1148" s="318">
        <f>H1149</f>
        <v>0</v>
      </c>
      <c r="I1148" s="334"/>
      <c r="J1148" s="321"/>
    </row>
    <row r="1149" spans="1:10" ht="15.75" hidden="1" x14ac:dyDescent="0.25">
      <c r="A1149" s="399" t="s">
        <v>280</v>
      </c>
      <c r="B1149" s="455">
        <v>908</v>
      </c>
      <c r="C1149" s="402" t="s">
        <v>168</v>
      </c>
      <c r="D1149" s="402" t="s">
        <v>168</v>
      </c>
      <c r="E1149" s="402" t="s">
        <v>436</v>
      </c>
      <c r="F1149" s="402" t="s">
        <v>130</v>
      </c>
      <c r="G1149" s="318"/>
      <c r="H1149" s="318"/>
      <c r="I1149" s="334"/>
      <c r="J1149" s="321"/>
    </row>
    <row r="1150" spans="1:10" ht="31.5" x14ac:dyDescent="0.25">
      <c r="A1150" s="399" t="s">
        <v>417</v>
      </c>
      <c r="B1150" s="455">
        <v>908</v>
      </c>
      <c r="C1150" s="402" t="s">
        <v>168</v>
      </c>
      <c r="D1150" s="402" t="s">
        <v>168</v>
      </c>
      <c r="E1150" s="402" t="s">
        <v>437</v>
      </c>
      <c r="F1150" s="402"/>
      <c r="G1150" s="318">
        <f>G1151</f>
        <v>1280.5</v>
      </c>
      <c r="H1150" s="318">
        <f>H1151</f>
        <v>1280.5</v>
      </c>
      <c r="I1150" s="334"/>
      <c r="J1150" s="321"/>
    </row>
    <row r="1151" spans="1:10" ht="63" x14ac:dyDescent="0.25">
      <c r="A1151" s="399" t="s">
        <v>119</v>
      </c>
      <c r="B1151" s="455">
        <v>908</v>
      </c>
      <c r="C1151" s="402" t="s">
        <v>168</v>
      </c>
      <c r="D1151" s="402" t="s">
        <v>168</v>
      </c>
      <c r="E1151" s="402" t="s">
        <v>437</v>
      </c>
      <c r="F1151" s="402" t="s">
        <v>120</v>
      </c>
      <c r="G1151" s="318">
        <f>G1152</f>
        <v>1280.5</v>
      </c>
      <c r="H1151" s="318">
        <f>H1152</f>
        <v>1280.5</v>
      </c>
      <c r="I1151" s="334"/>
      <c r="J1151" s="321"/>
    </row>
    <row r="1152" spans="1:10" ht="31.5" x14ac:dyDescent="0.25">
      <c r="A1152" s="399" t="s">
        <v>121</v>
      </c>
      <c r="B1152" s="455">
        <v>908</v>
      </c>
      <c r="C1152" s="402" t="s">
        <v>168</v>
      </c>
      <c r="D1152" s="402" t="s">
        <v>168</v>
      </c>
      <c r="E1152" s="402" t="s">
        <v>437</v>
      </c>
      <c r="F1152" s="402" t="s">
        <v>122</v>
      </c>
      <c r="G1152" s="318">
        <v>1280.5</v>
      </c>
      <c r="H1152" s="318">
        <f>G1152</f>
        <v>1280.5</v>
      </c>
      <c r="I1152" s="334"/>
      <c r="J1152" s="321"/>
    </row>
    <row r="1153" spans="1:10" ht="31.5" x14ac:dyDescent="0.25">
      <c r="A1153" s="399" t="s">
        <v>416</v>
      </c>
      <c r="B1153" s="455">
        <v>908</v>
      </c>
      <c r="C1153" s="402" t="s">
        <v>168</v>
      </c>
      <c r="D1153" s="402" t="s">
        <v>168</v>
      </c>
      <c r="E1153" s="402" t="s">
        <v>438</v>
      </c>
      <c r="F1153" s="402"/>
      <c r="G1153" s="318">
        <f>G1154</f>
        <v>708</v>
      </c>
      <c r="H1153" s="318">
        <f>H1154</f>
        <v>708</v>
      </c>
      <c r="I1153" s="334"/>
      <c r="J1153" s="321"/>
    </row>
    <row r="1154" spans="1:10" ht="63" x14ac:dyDescent="0.25">
      <c r="A1154" s="399" t="s">
        <v>119</v>
      </c>
      <c r="B1154" s="455">
        <v>908</v>
      </c>
      <c r="C1154" s="402" t="s">
        <v>168</v>
      </c>
      <c r="D1154" s="402" t="s">
        <v>168</v>
      </c>
      <c r="E1154" s="402" t="s">
        <v>438</v>
      </c>
      <c r="F1154" s="402" t="s">
        <v>120</v>
      </c>
      <c r="G1154" s="318">
        <f>G1155</f>
        <v>708</v>
      </c>
      <c r="H1154" s="318">
        <f>H1155</f>
        <v>708</v>
      </c>
      <c r="I1154" s="334"/>
      <c r="J1154" s="321"/>
    </row>
    <row r="1155" spans="1:10" ht="31.5" x14ac:dyDescent="0.25">
      <c r="A1155" s="399" t="s">
        <v>121</v>
      </c>
      <c r="B1155" s="455">
        <v>908</v>
      </c>
      <c r="C1155" s="402" t="s">
        <v>168</v>
      </c>
      <c r="D1155" s="402" t="s">
        <v>168</v>
      </c>
      <c r="E1155" s="402" t="s">
        <v>438</v>
      </c>
      <c r="F1155" s="402" t="s">
        <v>122</v>
      </c>
      <c r="G1155" s="318">
        <f>368+340</f>
        <v>708</v>
      </c>
      <c r="H1155" s="318">
        <f>368+340</f>
        <v>708</v>
      </c>
      <c r="I1155" s="334"/>
      <c r="J1155" s="321"/>
    </row>
    <row r="1156" spans="1:10" ht="15.75" x14ac:dyDescent="0.25">
      <c r="A1156" s="417" t="s">
        <v>133</v>
      </c>
      <c r="B1156" s="454">
        <v>908</v>
      </c>
      <c r="C1156" s="414" t="s">
        <v>168</v>
      </c>
      <c r="D1156" s="414" t="s">
        <v>168</v>
      </c>
      <c r="E1156" s="414" t="s">
        <v>442</v>
      </c>
      <c r="F1156" s="414"/>
      <c r="G1156" s="314">
        <f>G1157+G1168</f>
        <v>13999.5</v>
      </c>
      <c r="H1156" s="314">
        <f>H1157+H1168</f>
        <v>13999.6</v>
      </c>
      <c r="I1156" s="334"/>
      <c r="J1156" s="321"/>
    </row>
    <row r="1157" spans="1:10" ht="15.75" x14ac:dyDescent="0.25">
      <c r="A1157" s="417" t="s">
        <v>519</v>
      </c>
      <c r="B1157" s="454">
        <v>908</v>
      </c>
      <c r="C1157" s="414" t="s">
        <v>168</v>
      </c>
      <c r="D1157" s="414" t="s">
        <v>168</v>
      </c>
      <c r="E1157" s="414" t="s">
        <v>518</v>
      </c>
      <c r="F1157" s="414"/>
      <c r="G1157" s="30">
        <f>G1158+G1161</f>
        <v>13017.5</v>
      </c>
      <c r="H1157" s="30">
        <f>H1158+H1161</f>
        <v>13017.6</v>
      </c>
      <c r="I1157" s="334"/>
      <c r="J1157" s="321"/>
    </row>
    <row r="1158" spans="1:10" ht="31.5" x14ac:dyDescent="0.25">
      <c r="A1158" s="399" t="s">
        <v>416</v>
      </c>
      <c r="B1158" s="455">
        <v>908</v>
      </c>
      <c r="C1158" s="402" t="s">
        <v>168</v>
      </c>
      <c r="D1158" s="402" t="s">
        <v>168</v>
      </c>
      <c r="E1158" s="402" t="s">
        <v>521</v>
      </c>
      <c r="F1158" s="402"/>
      <c r="G1158" s="318">
        <f>G1159</f>
        <v>498</v>
      </c>
      <c r="H1158" s="318">
        <f>H1159</f>
        <v>498</v>
      </c>
      <c r="I1158" s="334"/>
      <c r="J1158" s="321"/>
    </row>
    <row r="1159" spans="1:10" ht="63" x14ac:dyDescent="0.25">
      <c r="A1159" s="399" t="s">
        <v>119</v>
      </c>
      <c r="B1159" s="455">
        <v>908</v>
      </c>
      <c r="C1159" s="402" t="s">
        <v>168</v>
      </c>
      <c r="D1159" s="402" t="s">
        <v>168</v>
      </c>
      <c r="E1159" s="402" t="s">
        <v>521</v>
      </c>
      <c r="F1159" s="402" t="s">
        <v>120</v>
      </c>
      <c r="G1159" s="318">
        <f>G1160</f>
        <v>498</v>
      </c>
      <c r="H1159" s="318">
        <f>H1160</f>
        <v>498</v>
      </c>
      <c r="I1159" s="334"/>
      <c r="J1159" s="321"/>
    </row>
    <row r="1160" spans="1:10" ht="15.75" x14ac:dyDescent="0.25">
      <c r="A1160" s="399" t="s">
        <v>212</v>
      </c>
      <c r="B1160" s="455">
        <v>908</v>
      </c>
      <c r="C1160" s="402" t="s">
        <v>168</v>
      </c>
      <c r="D1160" s="402" t="s">
        <v>168</v>
      </c>
      <c r="E1160" s="402" t="s">
        <v>521</v>
      </c>
      <c r="F1160" s="402" t="s">
        <v>156</v>
      </c>
      <c r="G1160" s="318">
        <v>498</v>
      </c>
      <c r="H1160" s="318">
        <v>498</v>
      </c>
      <c r="I1160" s="334"/>
      <c r="J1160" s="321"/>
    </row>
    <row r="1161" spans="1:10" ht="15.75" x14ac:dyDescent="0.25">
      <c r="A1161" s="399" t="s">
        <v>379</v>
      </c>
      <c r="B1161" s="455">
        <v>908</v>
      </c>
      <c r="C1161" s="402" t="s">
        <v>168</v>
      </c>
      <c r="D1161" s="402" t="s">
        <v>168</v>
      </c>
      <c r="E1161" s="402" t="s">
        <v>520</v>
      </c>
      <c r="F1161" s="402"/>
      <c r="G1161" s="318">
        <f>G1163+G1165+G1166</f>
        <v>12519.5</v>
      </c>
      <c r="H1161" s="318">
        <f>H1163+H1165+H1166</f>
        <v>12519.6</v>
      </c>
      <c r="I1161" s="334"/>
      <c r="J1161" s="321"/>
    </row>
    <row r="1162" spans="1:10" ht="63" x14ac:dyDescent="0.25">
      <c r="A1162" s="399" t="s">
        <v>119</v>
      </c>
      <c r="B1162" s="455">
        <v>908</v>
      </c>
      <c r="C1162" s="402" t="s">
        <v>168</v>
      </c>
      <c r="D1162" s="402" t="s">
        <v>168</v>
      </c>
      <c r="E1162" s="402" t="s">
        <v>520</v>
      </c>
      <c r="F1162" s="402" t="s">
        <v>120</v>
      </c>
      <c r="G1162" s="318">
        <f>G1163</f>
        <v>10681.4</v>
      </c>
      <c r="H1162" s="318">
        <f>H1163</f>
        <v>10681.5</v>
      </c>
      <c r="I1162" s="334"/>
      <c r="J1162" s="321"/>
    </row>
    <row r="1163" spans="1:10" ht="15.75" x14ac:dyDescent="0.25">
      <c r="A1163" s="399" t="s">
        <v>212</v>
      </c>
      <c r="B1163" s="455">
        <v>908</v>
      </c>
      <c r="C1163" s="402" t="s">
        <v>168</v>
      </c>
      <c r="D1163" s="402" t="s">
        <v>168</v>
      </c>
      <c r="E1163" s="402" t="s">
        <v>520</v>
      </c>
      <c r="F1163" s="402" t="s">
        <v>156</v>
      </c>
      <c r="G1163" s="20">
        <v>10681.4</v>
      </c>
      <c r="H1163" s="20">
        <v>10681.5</v>
      </c>
      <c r="I1163" s="334"/>
      <c r="J1163" s="321"/>
    </row>
    <row r="1164" spans="1:10" ht="31.5" x14ac:dyDescent="0.25">
      <c r="A1164" s="399" t="s">
        <v>123</v>
      </c>
      <c r="B1164" s="455">
        <v>908</v>
      </c>
      <c r="C1164" s="402" t="s">
        <v>168</v>
      </c>
      <c r="D1164" s="402" t="s">
        <v>168</v>
      </c>
      <c r="E1164" s="402" t="s">
        <v>520</v>
      </c>
      <c r="F1164" s="402" t="s">
        <v>124</v>
      </c>
      <c r="G1164" s="318">
        <f>G1165</f>
        <v>1791.1</v>
      </c>
      <c r="H1164" s="318">
        <f>H1165</f>
        <v>1791.1</v>
      </c>
      <c r="I1164" s="334"/>
      <c r="J1164" s="321"/>
    </row>
    <row r="1165" spans="1:10" ht="31.5" x14ac:dyDescent="0.25">
      <c r="A1165" s="399" t="s">
        <v>125</v>
      </c>
      <c r="B1165" s="455">
        <v>908</v>
      </c>
      <c r="C1165" s="402" t="s">
        <v>168</v>
      </c>
      <c r="D1165" s="402" t="s">
        <v>168</v>
      </c>
      <c r="E1165" s="402" t="s">
        <v>520</v>
      </c>
      <c r="F1165" s="402" t="s">
        <v>126</v>
      </c>
      <c r="G1165" s="20">
        <f>1791.1</f>
        <v>1791.1</v>
      </c>
      <c r="H1165" s="20">
        <f>1791.1</f>
        <v>1791.1</v>
      </c>
      <c r="I1165" s="334"/>
      <c r="J1165" s="321"/>
    </row>
    <row r="1166" spans="1:10" ht="15.75" x14ac:dyDescent="0.25">
      <c r="A1166" s="399" t="s">
        <v>127</v>
      </c>
      <c r="B1166" s="455">
        <v>908</v>
      </c>
      <c r="C1166" s="402" t="s">
        <v>168</v>
      </c>
      <c r="D1166" s="402" t="s">
        <v>168</v>
      </c>
      <c r="E1166" s="402" t="s">
        <v>520</v>
      </c>
      <c r="F1166" s="402" t="s">
        <v>134</v>
      </c>
      <c r="G1166" s="20">
        <f>G1167</f>
        <v>47</v>
      </c>
      <c r="H1166" s="20">
        <f>H1167</f>
        <v>47</v>
      </c>
      <c r="I1166" s="334"/>
      <c r="J1166" s="321"/>
    </row>
    <row r="1167" spans="1:10" ht="15.75" x14ac:dyDescent="0.25">
      <c r="A1167" s="399" t="s">
        <v>280</v>
      </c>
      <c r="B1167" s="455">
        <v>908</v>
      </c>
      <c r="C1167" s="402" t="s">
        <v>168</v>
      </c>
      <c r="D1167" s="402" t="s">
        <v>168</v>
      </c>
      <c r="E1167" s="402" t="s">
        <v>520</v>
      </c>
      <c r="F1167" s="402" t="s">
        <v>130</v>
      </c>
      <c r="G1167" s="20">
        <f>47</f>
        <v>47</v>
      </c>
      <c r="H1167" s="20">
        <f>47</f>
        <v>47</v>
      </c>
      <c r="I1167" s="334"/>
      <c r="J1167" s="321"/>
    </row>
    <row r="1168" spans="1:10" ht="31.5" x14ac:dyDescent="0.25">
      <c r="A1168" s="417" t="s">
        <v>446</v>
      </c>
      <c r="B1168" s="454">
        <v>908</v>
      </c>
      <c r="C1168" s="414" t="s">
        <v>168</v>
      </c>
      <c r="D1168" s="414" t="s">
        <v>168</v>
      </c>
      <c r="E1168" s="414" t="s">
        <v>441</v>
      </c>
      <c r="F1168" s="414"/>
      <c r="G1168" s="314">
        <f>G1169+G1176</f>
        <v>982</v>
      </c>
      <c r="H1168" s="314">
        <f>H1169+H1176</f>
        <v>982</v>
      </c>
      <c r="I1168" s="334"/>
      <c r="J1168" s="321"/>
    </row>
    <row r="1169" spans="1:19" ht="31.5" x14ac:dyDescent="0.25">
      <c r="A1169" s="399" t="s">
        <v>282</v>
      </c>
      <c r="B1169" s="455">
        <v>908</v>
      </c>
      <c r="C1169" s="402" t="s">
        <v>168</v>
      </c>
      <c r="D1169" s="402" t="s">
        <v>168</v>
      </c>
      <c r="E1169" s="402" t="s">
        <v>549</v>
      </c>
      <c r="F1169" s="402"/>
      <c r="G1169" s="20">
        <f>G1172+G1170</f>
        <v>982</v>
      </c>
      <c r="H1169" s="20">
        <f>H1172+H1170</f>
        <v>982</v>
      </c>
      <c r="I1169" s="334"/>
      <c r="J1169" s="321"/>
    </row>
    <row r="1170" spans="1:19" ht="15.75" hidden="1" x14ac:dyDescent="0.25">
      <c r="A1170" s="399" t="s">
        <v>981</v>
      </c>
      <c r="B1170" s="455">
        <v>908</v>
      </c>
      <c r="C1170" s="402" t="s">
        <v>168</v>
      </c>
      <c r="D1170" s="402" t="s">
        <v>168</v>
      </c>
      <c r="E1170" s="402" t="s">
        <v>549</v>
      </c>
      <c r="F1170" s="402" t="s">
        <v>178</v>
      </c>
      <c r="G1170" s="20">
        <f>G1171</f>
        <v>0</v>
      </c>
      <c r="H1170" s="20">
        <f>H1171</f>
        <v>0</v>
      </c>
      <c r="I1170" s="334"/>
      <c r="J1170" s="321"/>
    </row>
    <row r="1171" spans="1:19" ht="15.75" hidden="1" x14ac:dyDescent="0.25">
      <c r="A1171" s="399" t="s">
        <v>980</v>
      </c>
      <c r="B1171" s="455">
        <v>908</v>
      </c>
      <c r="C1171" s="402" t="s">
        <v>168</v>
      </c>
      <c r="D1171" s="402" t="s">
        <v>168</v>
      </c>
      <c r="E1171" s="402" t="s">
        <v>549</v>
      </c>
      <c r="F1171" s="402" t="s">
        <v>982</v>
      </c>
      <c r="G1171" s="20">
        <f>4500-240-240-1748.75-2271.25</f>
        <v>0</v>
      </c>
      <c r="H1171" s="20">
        <f>4500-240-240-1748.75-2271.25</f>
        <v>0</v>
      </c>
      <c r="I1171" s="334"/>
      <c r="J1171" s="321"/>
    </row>
    <row r="1172" spans="1:19" ht="15.75" x14ac:dyDescent="0.25">
      <c r="A1172" s="399" t="s">
        <v>127</v>
      </c>
      <c r="B1172" s="455">
        <v>908</v>
      </c>
      <c r="C1172" s="402" t="s">
        <v>168</v>
      </c>
      <c r="D1172" s="402" t="s">
        <v>168</v>
      </c>
      <c r="E1172" s="402" t="s">
        <v>549</v>
      </c>
      <c r="F1172" s="402" t="s">
        <v>134</v>
      </c>
      <c r="G1172" s="20">
        <f>G1173+G1174+G1175</f>
        <v>982</v>
      </c>
      <c r="H1172" s="20">
        <f>H1173+H1174+H1175</f>
        <v>982</v>
      </c>
      <c r="I1172" s="334"/>
      <c r="J1172" s="321"/>
    </row>
    <row r="1173" spans="1:19" ht="47.25" customHeight="1" x14ac:dyDescent="0.25">
      <c r="A1173" s="399" t="s">
        <v>148</v>
      </c>
      <c r="B1173" s="455">
        <v>908</v>
      </c>
      <c r="C1173" s="402" t="s">
        <v>168</v>
      </c>
      <c r="D1173" s="402" t="s">
        <v>168</v>
      </c>
      <c r="E1173" s="402" t="s">
        <v>549</v>
      </c>
      <c r="F1173" s="402" t="s">
        <v>142</v>
      </c>
      <c r="G1173" s="20">
        <v>982</v>
      </c>
      <c r="H1173" s="20">
        <v>982</v>
      </c>
      <c r="I1173" s="334"/>
      <c r="J1173" s="321"/>
    </row>
    <row r="1174" spans="1:19" ht="15.75" hidden="1" x14ac:dyDescent="0.25">
      <c r="A1174" s="399" t="s">
        <v>338</v>
      </c>
      <c r="B1174" s="455">
        <v>908</v>
      </c>
      <c r="C1174" s="402" t="s">
        <v>168</v>
      </c>
      <c r="D1174" s="402" t="s">
        <v>168</v>
      </c>
      <c r="E1174" s="402" t="s">
        <v>549</v>
      </c>
      <c r="F1174" s="402" t="s">
        <v>130</v>
      </c>
      <c r="G1174" s="20"/>
      <c r="H1174" s="20"/>
      <c r="I1174" s="342"/>
      <c r="J1174" s="321"/>
      <c r="K1174" s="345"/>
      <c r="N1174" s="345"/>
      <c r="Q1174" s="345"/>
      <c r="S1174" s="345"/>
    </row>
    <row r="1175" spans="1:19" ht="15.75" hidden="1" x14ac:dyDescent="0.25">
      <c r="A1175" s="399" t="s">
        <v>1050</v>
      </c>
      <c r="B1175" s="455">
        <v>908</v>
      </c>
      <c r="C1175" s="402" t="s">
        <v>168</v>
      </c>
      <c r="D1175" s="402" t="s">
        <v>168</v>
      </c>
      <c r="E1175" s="402" t="s">
        <v>549</v>
      </c>
      <c r="F1175" s="402" t="s">
        <v>1051</v>
      </c>
      <c r="G1175" s="20">
        <f>240-240</f>
        <v>0</v>
      </c>
      <c r="H1175" s="20">
        <f>240-240</f>
        <v>0</v>
      </c>
      <c r="I1175" s="334"/>
      <c r="J1175" s="321"/>
    </row>
    <row r="1176" spans="1:19" ht="37.5" hidden="1" customHeight="1" x14ac:dyDescent="0.25">
      <c r="A1176" s="399" t="s">
        <v>1063</v>
      </c>
      <c r="B1176" s="455">
        <v>908</v>
      </c>
      <c r="C1176" s="402" t="s">
        <v>168</v>
      </c>
      <c r="D1176" s="402" t="s">
        <v>168</v>
      </c>
      <c r="E1176" s="402" t="s">
        <v>1064</v>
      </c>
      <c r="F1176" s="402"/>
      <c r="G1176" s="20">
        <f>G1177+G1179</f>
        <v>0</v>
      </c>
      <c r="H1176" s="20">
        <f>H1177+H1179</f>
        <v>0</v>
      </c>
      <c r="I1176" s="334"/>
      <c r="J1176" s="321"/>
    </row>
    <row r="1177" spans="1:19" ht="21.75" hidden="1" customHeight="1" x14ac:dyDescent="0.25">
      <c r="A1177" s="399" t="s">
        <v>1066</v>
      </c>
      <c r="B1177" s="455">
        <v>908</v>
      </c>
      <c r="C1177" s="402" t="s">
        <v>168</v>
      </c>
      <c r="D1177" s="402" t="s">
        <v>168</v>
      </c>
      <c r="E1177" s="402" t="s">
        <v>1064</v>
      </c>
      <c r="F1177" s="402" t="s">
        <v>414</v>
      </c>
      <c r="G1177" s="20">
        <f>G1178</f>
        <v>0</v>
      </c>
      <c r="H1177" s="20">
        <f>H1178</f>
        <v>0</v>
      </c>
      <c r="I1177" s="334"/>
      <c r="J1177" s="321"/>
    </row>
    <row r="1178" spans="1:19" ht="35.25" hidden="1" customHeight="1" x14ac:dyDescent="0.25">
      <c r="A1178" s="399" t="s">
        <v>415</v>
      </c>
      <c r="B1178" s="455">
        <v>908</v>
      </c>
      <c r="C1178" s="402" t="s">
        <v>168</v>
      </c>
      <c r="D1178" s="402" t="s">
        <v>168</v>
      </c>
      <c r="E1178" s="402" t="s">
        <v>1064</v>
      </c>
      <c r="F1178" s="402" t="s">
        <v>1067</v>
      </c>
      <c r="G1178" s="20"/>
      <c r="H1178" s="20"/>
      <c r="I1178" s="334"/>
      <c r="J1178" s="321"/>
    </row>
    <row r="1179" spans="1:19" ht="21.75" hidden="1" customHeight="1" x14ac:dyDescent="0.25">
      <c r="A1179" s="399" t="s">
        <v>127</v>
      </c>
      <c r="B1179" s="455">
        <v>908</v>
      </c>
      <c r="C1179" s="402" t="s">
        <v>168</v>
      </c>
      <c r="D1179" s="402" t="s">
        <v>168</v>
      </c>
      <c r="E1179" s="402" t="s">
        <v>1064</v>
      </c>
      <c r="F1179" s="402" t="s">
        <v>134</v>
      </c>
      <c r="G1179" s="20">
        <f>G1180</f>
        <v>0</v>
      </c>
      <c r="H1179" s="20">
        <f>H1180</f>
        <v>0</v>
      </c>
      <c r="I1179" s="334"/>
      <c r="J1179" s="321"/>
    </row>
    <row r="1180" spans="1:19" ht="39.75" hidden="1" customHeight="1" x14ac:dyDescent="0.25">
      <c r="A1180" s="399" t="s">
        <v>148</v>
      </c>
      <c r="B1180" s="455">
        <v>908</v>
      </c>
      <c r="C1180" s="402" t="s">
        <v>168</v>
      </c>
      <c r="D1180" s="402" t="s">
        <v>168</v>
      </c>
      <c r="E1180" s="402" t="s">
        <v>1064</v>
      </c>
      <c r="F1180" s="402" t="s">
        <v>142</v>
      </c>
      <c r="G1180" s="20"/>
      <c r="H1180" s="20"/>
      <c r="I1180" s="334"/>
      <c r="J1180" s="321"/>
    </row>
    <row r="1181" spans="1:19" ht="47.25" hidden="1" x14ac:dyDescent="0.25">
      <c r="A1181" s="413" t="s">
        <v>859</v>
      </c>
      <c r="B1181" s="454">
        <v>908</v>
      </c>
      <c r="C1181" s="414" t="s">
        <v>168</v>
      </c>
      <c r="D1181" s="414" t="s">
        <v>168</v>
      </c>
      <c r="E1181" s="414" t="s">
        <v>206</v>
      </c>
      <c r="F1181" s="414"/>
      <c r="G1181" s="314">
        <f t="shared" ref="G1181:H1184" si="96">G1182</f>
        <v>0</v>
      </c>
      <c r="H1181" s="314">
        <f t="shared" si="96"/>
        <v>0</v>
      </c>
      <c r="I1181" s="334"/>
      <c r="J1181" s="321"/>
    </row>
    <row r="1182" spans="1:19" ht="47.25" hidden="1" x14ac:dyDescent="0.25">
      <c r="A1182" s="413" t="s">
        <v>572</v>
      </c>
      <c r="B1182" s="454">
        <v>908</v>
      </c>
      <c r="C1182" s="414" t="s">
        <v>168</v>
      </c>
      <c r="D1182" s="414" t="s">
        <v>168</v>
      </c>
      <c r="E1182" s="414" t="s">
        <v>504</v>
      </c>
      <c r="F1182" s="414"/>
      <c r="G1182" s="314">
        <f t="shared" si="96"/>
        <v>0</v>
      </c>
      <c r="H1182" s="314">
        <f t="shared" si="96"/>
        <v>0</v>
      </c>
      <c r="I1182" s="334"/>
      <c r="J1182" s="321"/>
    </row>
    <row r="1183" spans="1:19" ht="47.25" hidden="1" x14ac:dyDescent="0.25">
      <c r="A1183" s="401" t="s">
        <v>634</v>
      </c>
      <c r="B1183" s="455">
        <v>908</v>
      </c>
      <c r="C1183" s="402" t="s">
        <v>168</v>
      </c>
      <c r="D1183" s="402" t="s">
        <v>168</v>
      </c>
      <c r="E1183" s="402" t="s">
        <v>589</v>
      </c>
      <c r="F1183" s="402"/>
      <c r="G1183" s="318">
        <f t="shared" si="96"/>
        <v>0</v>
      </c>
      <c r="H1183" s="318">
        <f t="shared" si="96"/>
        <v>0</v>
      </c>
      <c r="I1183" s="334"/>
      <c r="J1183" s="321"/>
    </row>
    <row r="1184" spans="1:19" ht="31.5" hidden="1" x14ac:dyDescent="0.25">
      <c r="A1184" s="399" t="s">
        <v>123</v>
      </c>
      <c r="B1184" s="455">
        <v>908</v>
      </c>
      <c r="C1184" s="402" t="s">
        <v>168</v>
      </c>
      <c r="D1184" s="402" t="s">
        <v>168</v>
      </c>
      <c r="E1184" s="402" t="s">
        <v>589</v>
      </c>
      <c r="F1184" s="402" t="s">
        <v>124</v>
      </c>
      <c r="G1184" s="318">
        <f t="shared" si="96"/>
        <v>0</v>
      </c>
      <c r="H1184" s="318">
        <f t="shared" si="96"/>
        <v>0</v>
      </c>
      <c r="I1184" s="334"/>
      <c r="J1184" s="321"/>
    </row>
    <row r="1185" spans="1:10" ht="31.5" hidden="1" x14ac:dyDescent="0.25">
      <c r="A1185" s="399" t="s">
        <v>125</v>
      </c>
      <c r="B1185" s="455">
        <v>908</v>
      </c>
      <c r="C1185" s="402" t="s">
        <v>168</v>
      </c>
      <c r="D1185" s="402" t="s">
        <v>168</v>
      </c>
      <c r="E1185" s="402" t="s">
        <v>589</v>
      </c>
      <c r="F1185" s="402" t="s">
        <v>126</v>
      </c>
      <c r="G1185" s="318"/>
      <c r="H1185" s="318"/>
      <c r="I1185" s="334"/>
      <c r="J1185" s="321"/>
    </row>
    <row r="1186" spans="1:10" ht="15.75" x14ac:dyDescent="0.25">
      <c r="A1186" s="417" t="s">
        <v>173</v>
      </c>
      <c r="B1186" s="454">
        <v>908</v>
      </c>
      <c r="C1186" s="414" t="s">
        <v>174</v>
      </c>
      <c r="D1186" s="414"/>
      <c r="E1186" s="414"/>
      <c r="F1186" s="414"/>
      <c r="G1186" s="314">
        <f t="shared" ref="G1186:H1192" si="97">G1187</f>
        <v>85.1</v>
      </c>
      <c r="H1186" s="314">
        <f t="shared" si="97"/>
        <v>85.1</v>
      </c>
      <c r="I1186" s="334"/>
      <c r="J1186" s="321"/>
    </row>
    <row r="1187" spans="1:10" ht="15.75" x14ac:dyDescent="0.25">
      <c r="A1187" s="417" t="s">
        <v>183</v>
      </c>
      <c r="B1187" s="454">
        <v>908</v>
      </c>
      <c r="C1187" s="414" t="s">
        <v>174</v>
      </c>
      <c r="D1187" s="414" t="s">
        <v>118</v>
      </c>
      <c r="E1187" s="414"/>
      <c r="F1187" s="414"/>
      <c r="G1187" s="314">
        <f t="shared" si="97"/>
        <v>85.1</v>
      </c>
      <c r="H1187" s="314">
        <f t="shared" si="97"/>
        <v>85.1</v>
      </c>
      <c r="I1187" s="334"/>
      <c r="J1187" s="321"/>
    </row>
    <row r="1188" spans="1:10" ht="15.75" x14ac:dyDescent="0.25">
      <c r="A1188" s="417" t="s">
        <v>133</v>
      </c>
      <c r="B1188" s="454">
        <v>908</v>
      </c>
      <c r="C1188" s="414" t="s">
        <v>174</v>
      </c>
      <c r="D1188" s="414" t="s">
        <v>118</v>
      </c>
      <c r="E1188" s="414" t="s">
        <v>442</v>
      </c>
      <c r="F1188" s="414"/>
      <c r="G1188" s="314">
        <f t="shared" si="97"/>
        <v>85.1</v>
      </c>
      <c r="H1188" s="314">
        <f t="shared" si="97"/>
        <v>85.1</v>
      </c>
      <c r="I1188" s="334"/>
      <c r="J1188" s="321"/>
    </row>
    <row r="1189" spans="1:10" ht="15.75" x14ac:dyDescent="0.25">
      <c r="A1189" s="417" t="s">
        <v>133</v>
      </c>
      <c r="B1189" s="454">
        <v>908</v>
      </c>
      <c r="C1189" s="414" t="s">
        <v>174</v>
      </c>
      <c r="D1189" s="414" t="s">
        <v>118</v>
      </c>
      <c r="E1189" s="414" t="s">
        <v>441</v>
      </c>
      <c r="F1189" s="414"/>
      <c r="G1189" s="314">
        <f t="shared" si="97"/>
        <v>85.1</v>
      </c>
      <c r="H1189" s="314">
        <f t="shared" si="97"/>
        <v>85.1</v>
      </c>
      <c r="I1189" s="334"/>
      <c r="J1189" s="321"/>
    </row>
    <row r="1190" spans="1:10" ht="31.5" x14ac:dyDescent="0.25">
      <c r="A1190" s="417" t="s">
        <v>446</v>
      </c>
      <c r="B1190" s="454">
        <v>908</v>
      </c>
      <c r="C1190" s="414" t="s">
        <v>174</v>
      </c>
      <c r="D1190" s="414" t="s">
        <v>118</v>
      </c>
      <c r="E1190" s="414" t="s">
        <v>441</v>
      </c>
      <c r="F1190" s="414"/>
      <c r="G1190" s="314">
        <f t="shared" si="97"/>
        <v>85.1</v>
      </c>
      <c r="H1190" s="314">
        <f t="shared" si="97"/>
        <v>85.1</v>
      </c>
      <c r="I1190" s="334"/>
      <c r="J1190" s="321"/>
    </row>
    <row r="1191" spans="1:10" ht="15.75" x14ac:dyDescent="0.25">
      <c r="A1191" s="399" t="s">
        <v>283</v>
      </c>
      <c r="B1191" s="455">
        <v>908</v>
      </c>
      <c r="C1191" s="402" t="s">
        <v>174</v>
      </c>
      <c r="D1191" s="402" t="s">
        <v>118</v>
      </c>
      <c r="E1191" s="402" t="s">
        <v>550</v>
      </c>
      <c r="F1191" s="402"/>
      <c r="G1191" s="318">
        <f t="shared" si="97"/>
        <v>85.1</v>
      </c>
      <c r="H1191" s="318">
        <f t="shared" si="97"/>
        <v>85.1</v>
      </c>
      <c r="I1191" s="334"/>
      <c r="J1191" s="321"/>
    </row>
    <row r="1192" spans="1:10" ht="31.5" x14ac:dyDescent="0.25">
      <c r="A1192" s="399" t="s">
        <v>123</v>
      </c>
      <c r="B1192" s="455">
        <v>908</v>
      </c>
      <c r="C1192" s="402" t="s">
        <v>174</v>
      </c>
      <c r="D1192" s="402" t="s">
        <v>118</v>
      </c>
      <c r="E1192" s="402" t="s">
        <v>550</v>
      </c>
      <c r="F1192" s="402" t="s">
        <v>124</v>
      </c>
      <c r="G1192" s="318">
        <f t="shared" si="97"/>
        <v>85.1</v>
      </c>
      <c r="H1192" s="318">
        <f t="shared" si="97"/>
        <v>85.1</v>
      </c>
      <c r="I1192" s="334"/>
      <c r="J1192" s="321"/>
    </row>
    <row r="1193" spans="1:10" ht="31.5" x14ac:dyDescent="0.25">
      <c r="A1193" s="399" t="s">
        <v>125</v>
      </c>
      <c r="B1193" s="455">
        <v>908</v>
      </c>
      <c r="C1193" s="402" t="s">
        <v>174</v>
      </c>
      <c r="D1193" s="402" t="s">
        <v>118</v>
      </c>
      <c r="E1193" s="402" t="s">
        <v>550</v>
      </c>
      <c r="F1193" s="402" t="s">
        <v>126</v>
      </c>
      <c r="G1193" s="318">
        <v>85.1</v>
      </c>
      <c r="H1193" s="318">
        <f>85.1</f>
        <v>85.1</v>
      </c>
      <c r="I1193" s="334"/>
      <c r="J1193" s="321"/>
    </row>
    <row r="1194" spans="1:10" ht="33.950000000000003" customHeight="1" x14ac:dyDescent="0.25">
      <c r="A1194" s="454" t="s">
        <v>284</v>
      </c>
      <c r="B1194" s="454">
        <v>910</v>
      </c>
      <c r="C1194" s="500"/>
      <c r="D1194" s="500"/>
      <c r="E1194" s="500"/>
      <c r="F1194" s="500"/>
      <c r="G1194" s="314">
        <f t="shared" ref="G1194:H1197" si="98">G1195</f>
        <v>5970</v>
      </c>
      <c r="H1194" s="314">
        <f t="shared" si="98"/>
        <v>5970</v>
      </c>
      <c r="I1194" s="334"/>
      <c r="J1194" s="321"/>
    </row>
    <row r="1195" spans="1:10" ht="15.75" x14ac:dyDescent="0.25">
      <c r="A1195" s="417" t="s">
        <v>115</v>
      </c>
      <c r="B1195" s="454">
        <v>910</v>
      </c>
      <c r="C1195" s="414" t="s">
        <v>116</v>
      </c>
      <c r="D1195" s="414"/>
      <c r="E1195" s="414"/>
      <c r="F1195" s="414"/>
      <c r="G1195" s="314">
        <f t="shared" si="98"/>
        <v>5970</v>
      </c>
      <c r="H1195" s="314">
        <f t="shared" si="98"/>
        <v>5970</v>
      </c>
      <c r="I1195" s="334"/>
      <c r="J1195" s="321"/>
    </row>
    <row r="1196" spans="1:10" ht="47.25" customHeight="1" x14ac:dyDescent="0.25">
      <c r="A1196" s="417" t="s">
        <v>287</v>
      </c>
      <c r="B1196" s="454">
        <v>910</v>
      </c>
      <c r="C1196" s="414" t="s">
        <v>116</v>
      </c>
      <c r="D1196" s="414" t="s">
        <v>159</v>
      </c>
      <c r="E1196" s="414"/>
      <c r="F1196" s="414"/>
      <c r="G1196" s="314">
        <f t="shared" si="98"/>
        <v>5970</v>
      </c>
      <c r="H1196" s="314">
        <f t="shared" si="98"/>
        <v>5970</v>
      </c>
      <c r="I1196" s="334"/>
      <c r="J1196" s="321"/>
    </row>
    <row r="1197" spans="1:10" ht="31.5" x14ac:dyDescent="0.25">
      <c r="A1197" s="417" t="s">
        <v>488</v>
      </c>
      <c r="B1197" s="454">
        <v>910</v>
      </c>
      <c r="C1197" s="414" t="s">
        <v>116</v>
      </c>
      <c r="D1197" s="414" t="s">
        <v>159</v>
      </c>
      <c r="E1197" s="414" t="s">
        <v>434</v>
      </c>
      <c r="F1197" s="414"/>
      <c r="G1197" s="314">
        <f t="shared" si="98"/>
        <v>5970</v>
      </c>
      <c r="H1197" s="314">
        <f t="shared" si="98"/>
        <v>5970</v>
      </c>
      <c r="I1197" s="334"/>
      <c r="J1197" s="321"/>
    </row>
    <row r="1198" spans="1:10" ht="15.75" x14ac:dyDescent="0.25">
      <c r="A1198" s="417" t="s">
        <v>551</v>
      </c>
      <c r="B1198" s="454">
        <v>910</v>
      </c>
      <c r="C1198" s="414" t="s">
        <v>116</v>
      </c>
      <c r="D1198" s="414" t="s">
        <v>159</v>
      </c>
      <c r="E1198" s="414" t="s">
        <v>552</v>
      </c>
      <c r="F1198" s="414"/>
      <c r="G1198" s="314">
        <f>G1204+G1209+G1199</f>
        <v>5970</v>
      </c>
      <c r="H1198" s="314">
        <f>H1204+H1209+H1199</f>
        <v>5970</v>
      </c>
      <c r="I1198" s="334"/>
      <c r="J1198" s="321"/>
    </row>
    <row r="1199" spans="1:10" ht="31.5" x14ac:dyDescent="0.25">
      <c r="A1199" s="501" t="s">
        <v>865</v>
      </c>
      <c r="B1199" s="455">
        <v>910</v>
      </c>
      <c r="C1199" s="402" t="s">
        <v>116</v>
      </c>
      <c r="D1199" s="402" t="s">
        <v>159</v>
      </c>
      <c r="E1199" s="402" t="s">
        <v>895</v>
      </c>
      <c r="F1199" s="414"/>
      <c r="G1199" s="318">
        <f>G1200+G1202</f>
        <v>4708.8999999999996</v>
      </c>
      <c r="H1199" s="318">
        <f>H1200+H1202</f>
        <v>4708.8999999999996</v>
      </c>
      <c r="I1199" s="334"/>
      <c r="J1199" s="321"/>
    </row>
    <row r="1200" spans="1:10" ht="63" x14ac:dyDescent="0.25">
      <c r="A1200" s="399" t="s">
        <v>119</v>
      </c>
      <c r="B1200" s="455">
        <v>910</v>
      </c>
      <c r="C1200" s="402" t="s">
        <v>116</v>
      </c>
      <c r="D1200" s="402" t="s">
        <v>159</v>
      </c>
      <c r="E1200" s="402" t="s">
        <v>895</v>
      </c>
      <c r="F1200" s="402" t="s">
        <v>120</v>
      </c>
      <c r="G1200" s="318">
        <f>G1201</f>
        <v>4615.8999999999996</v>
      </c>
      <c r="H1200" s="318">
        <f>H1201</f>
        <v>4615.8999999999996</v>
      </c>
      <c r="I1200" s="334"/>
      <c r="J1200" s="321"/>
    </row>
    <row r="1201" spans="1:31" ht="31.5" x14ac:dyDescent="0.25">
      <c r="A1201" s="399" t="s">
        <v>121</v>
      </c>
      <c r="B1201" s="455">
        <v>910</v>
      </c>
      <c r="C1201" s="402" t="s">
        <v>116</v>
      </c>
      <c r="D1201" s="402" t="s">
        <v>159</v>
      </c>
      <c r="E1201" s="402" t="s">
        <v>895</v>
      </c>
      <c r="F1201" s="402" t="s">
        <v>122</v>
      </c>
      <c r="G1201" s="318">
        <v>4615.8999999999996</v>
      </c>
      <c r="H1201" s="318">
        <f>G1201</f>
        <v>4615.8999999999996</v>
      </c>
      <c r="I1201" s="334"/>
      <c r="J1201" s="321"/>
    </row>
    <row r="1202" spans="1:31" ht="31.5" x14ac:dyDescent="0.25">
      <c r="A1202" s="399" t="s">
        <v>153</v>
      </c>
      <c r="B1202" s="455">
        <v>910</v>
      </c>
      <c r="C1202" s="402" t="s">
        <v>116</v>
      </c>
      <c r="D1202" s="402" t="s">
        <v>159</v>
      </c>
      <c r="E1202" s="402" t="s">
        <v>895</v>
      </c>
      <c r="F1202" s="402" t="s">
        <v>124</v>
      </c>
      <c r="G1202" s="318">
        <f>G1203</f>
        <v>93</v>
      </c>
      <c r="H1202" s="318">
        <f>H1203</f>
        <v>93</v>
      </c>
      <c r="I1202" s="334"/>
      <c r="J1202" s="321"/>
    </row>
    <row r="1203" spans="1:31" ht="31.5" x14ac:dyDescent="0.25">
      <c r="A1203" s="399" t="s">
        <v>125</v>
      </c>
      <c r="B1203" s="455">
        <v>910</v>
      </c>
      <c r="C1203" s="402" t="s">
        <v>116</v>
      </c>
      <c r="D1203" s="402" t="s">
        <v>159</v>
      </c>
      <c r="E1203" s="402" t="s">
        <v>895</v>
      </c>
      <c r="F1203" s="402" t="s">
        <v>126</v>
      </c>
      <c r="G1203" s="318">
        <v>93</v>
      </c>
      <c r="H1203" s="318">
        <v>93</v>
      </c>
      <c r="I1203" s="334"/>
      <c r="J1203" s="321"/>
    </row>
    <row r="1204" spans="1:31" ht="37.35" customHeight="1" x14ac:dyDescent="0.25">
      <c r="A1204" s="399" t="s">
        <v>554</v>
      </c>
      <c r="B1204" s="455">
        <v>910</v>
      </c>
      <c r="C1204" s="402" t="s">
        <v>116</v>
      </c>
      <c r="D1204" s="402" t="s">
        <v>159</v>
      </c>
      <c r="E1204" s="402" t="s">
        <v>555</v>
      </c>
      <c r="F1204" s="402"/>
      <c r="G1204" s="318">
        <f>G1205+G1207</f>
        <v>1261.0999999999999</v>
      </c>
      <c r="H1204" s="318">
        <f>H1205+H1207</f>
        <v>1261.0999999999999</v>
      </c>
      <c r="I1204" s="334"/>
      <c r="J1204" s="321"/>
    </row>
    <row r="1205" spans="1:31" ht="63" x14ac:dyDescent="0.25">
      <c r="A1205" s="399" t="s">
        <v>119</v>
      </c>
      <c r="B1205" s="455">
        <v>910</v>
      </c>
      <c r="C1205" s="402" t="s">
        <v>116</v>
      </c>
      <c r="D1205" s="402" t="s">
        <v>159</v>
      </c>
      <c r="E1205" s="402" t="s">
        <v>555</v>
      </c>
      <c r="F1205" s="402" t="s">
        <v>120</v>
      </c>
      <c r="G1205" s="318">
        <f>G1206</f>
        <v>1261.0999999999999</v>
      </c>
      <c r="H1205" s="318">
        <f>H1206</f>
        <v>1261.0999999999999</v>
      </c>
      <c r="I1205" s="334"/>
      <c r="J1205" s="321"/>
    </row>
    <row r="1206" spans="1:31" ht="31.5" x14ac:dyDescent="0.25">
      <c r="A1206" s="399" t="s">
        <v>121</v>
      </c>
      <c r="B1206" s="455">
        <v>910</v>
      </c>
      <c r="C1206" s="402" t="s">
        <v>116</v>
      </c>
      <c r="D1206" s="402" t="s">
        <v>159</v>
      </c>
      <c r="E1206" s="402" t="s">
        <v>555</v>
      </c>
      <c r="F1206" s="402" t="s">
        <v>122</v>
      </c>
      <c r="G1206" s="318">
        <v>1261.0999999999999</v>
      </c>
      <c r="H1206" s="318">
        <f>G1206</f>
        <v>1261.0999999999999</v>
      </c>
      <c r="I1206" s="334"/>
      <c r="J1206" s="321"/>
    </row>
    <row r="1207" spans="1:31" ht="31.5" hidden="1" x14ac:dyDescent="0.25">
      <c r="A1207" s="399" t="s">
        <v>153</v>
      </c>
      <c r="B1207" s="455">
        <v>910</v>
      </c>
      <c r="C1207" s="402" t="s">
        <v>116</v>
      </c>
      <c r="D1207" s="402" t="s">
        <v>159</v>
      </c>
      <c r="E1207" s="402" t="s">
        <v>555</v>
      </c>
      <c r="F1207" s="402" t="s">
        <v>124</v>
      </c>
      <c r="G1207" s="318">
        <f>G1208</f>
        <v>0</v>
      </c>
      <c r="H1207" s="318">
        <f>H1208</f>
        <v>0</v>
      </c>
      <c r="I1207" s="334"/>
      <c r="J1207" s="321"/>
    </row>
    <row r="1208" spans="1:31" ht="31.5" hidden="1" x14ac:dyDescent="0.25">
      <c r="A1208" s="399" t="s">
        <v>125</v>
      </c>
      <c r="B1208" s="455">
        <v>910</v>
      </c>
      <c r="C1208" s="402" t="s">
        <v>116</v>
      </c>
      <c r="D1208" s="402" t="s">
        <v>159</v>
      </c>
      <c r="E1208" s="402" t="s">
        <v>555</v>
      </c>
      <c r="F1208" s="402" t="s">
        <v>126</v>
      </c>
      <c r="G1208" s="318">
        <v>0</v>
      </c>
      <c r="H1208" s="318">
        <v>0</v>
      </c>
      <c r="I1208" s="334"/>
      <c r="J1208" s="321"/>
    </row>
    <row r="1209" spans="1:31" ht="39.75" hidden="1" customHeight="1" x14ac:dyDescent="0.25">
      <c r="A1209" s="399" t="s">
        <v>416</v>
      </c>
      <c r="B1209" s="455">
        <v>910</v>
      </c>
      <c r="C1209" s="402" t="s">
        <v>116</v>
      </c>
      <c r="D1209" s="402" t="s">
        <v>159</v>
      </c>
      <c r="E1209" s="402" t="s">
        <v>553</v>
      </c>
      <c r="F1209" s="402"/>
      <c r="G1209" s="318">
        <f>G1210</f>
        <v>0</v>
      </c>
      <c r="H1209" s="318">
        <f>H1210</f>
        <v>0</v>
      </c>
      <c r="I1209" s="334"/>
      <c r="J1209" s="321"/>
    </row>
    <row r="1210" spans="1:31" ht="69.75" hidden="1" customHeight="1" x14ac:dyDescent="0.25">
      <c r="A1210" s="399" t="s">
        <v>119</v>
      </c>
      <c r="B1210" s="455">
        <v>910</v>
      </c>
      <c r="C1210" s="402" t="s">
        <v>116</v>
      </c>
      <c r="D1210" s="402" t="s">
        <v>159</v>
      </c>
      <c r="E1210" s="402" t="s">
        <v>553</v>
      </c>
      <c r="F1210" s="402" t="s">
        <v>120</v>
      </c>
      <c r="G1210" s="318">
        <f>G1211</f>
        <v>0</v>
      </c>
      <c r="H1210" s="318">
        <f>H1211</f>
        <v>0</v>
      </c>
      <c r="I1210" s="334"/>
      <c r="J1210" s="321"/>
    </row>
    <row r="1211" spans="1:31" ht="35.450000000000003" hidden="1" customHeight="1" x14ac:dyDescent="0.25">
      <c r="A1211" s="399" t="s">
        <v>121</v>
      </c>
      <c r="B1211" s="455">
        <v>910</v>
      </c>
      <c r="C1211" s="402" t="s">
        <v>116</v>
      </c>
      <c r="D1211" s="402" t="s">
        <v>159</v>
      </c>
      <c r="E1211" s="402" t="s">
        <v>553</v>
      </c>
      <c r="F1211" s="402" t="s">
        <v>122</v>
      </c>
      <c r="G1211" s="318"/>
      <c r="H1211" s="318"/>
      <c r="I1211" s="334"/>
      <c r="J1211" s="321"/>
    </row>
    <row r="1212" spans="1:31" ht="15.75" x14ac:dyDescent="0.25">
      <c r="A1212" s="502" t="s">
        <v>290</v>
      </c>
      <c r="B1212" s="502"/>
      <c r="C1212" s="414"/>
      <c r="D1212" s="414"/>
      <c r="E1212" s="414"/>
      <c r="F1212" s="414"/>
      <c r="G1212" s="567">
        <f>G1194+G934+G843+G608+G557+G246+G31+G10+G541+G9</f>
        <v>807747.37200000009</v>
      </c>
      <c r="H1212" s="567">
        <f>H1194+H934+H843+H608+H557+H246+H31+H10+H541+H9</f>
        <v>777654.58000000007</v>
      </c>
    </row>
    <row r="1213" spans="1:31" ht="15.75" x14ac:dyDescent="0.25">
      <c r="A1213" s="503"/>
      <c r="B1213" s="503"/>
      <c r="C1213" s="504"/>
      <c r="D1213" s="504"/>
      <c r="E1213" s="504"/>
      <c r="F1213" s="504"/>
      <c r="G1213" s="568"/>
      <c r="H1213" s="568"/>
      <c r="I1213" s="334"/>
      <c r="J1213" s="600"/>
      <c r="K1213" s="600"/>
      <c r="L1213" s="600"/>
      <c r="M1213" s="600"/>
      <c r="N1213" s="600"/>
      <c r="O1213" s="600"/>
      <c r="P1213" s="600"/>
      <c r="Q1213" s="600"/>
      <c r="R1213" s="600"/>
      <c r="S1213" s="600"/>
      <c r="T1213" s="321"/>
      <c r="U1213" s="321"/>
      <c r="V1213" s="321"/>
      <c r="W1213" s="321"/>
      <c r="X1213" s="321"/>
      <c r="Y1213" s="321"/>
      <c r="Z1213" s="321"/>
      <c r="AA1213" s="321"/>
      <c r="AB1213" s="321"/>
      <c r="AC1213" s="321"/>
      <c r="AD1213" s="321"/>
      <c r="AE1213" s="321"/>
    </row>
    <row r="1214" spans="1:31" ht="28.5" customHeight="1" x14ac:dyDescent="0.25">
      <c r="A1214" s="505"/>
      <c r="B1214" s="505"/>
      <c r="C1214" s="505"/>
      <c r="D1214" s="505"/>
      <c r="E1214" s="505">
        <f>пр.1дох.22!C78-пр.1дох.22!C80</f>
        <v>274060.41399999999</v>
      </c>
      <c r="F1214" s="505"/>
      <c r="I1214" s="334"/>
      <c r="J1214" s="422"/>
      <c r="K1214" s="422"/>
      <c r="L1214" s="422"/>
      <c r="M1214" s="422"/>
      <c r="N1214" s="422"/>
      <c r="O1214" s="422"/>
      <c r="P1214" s="422"/>
      <c r="Q1214" s="422"/>
      <c r="R1214" s="422"/>
      <c r="S1214" s="422"/>
      <c r="T1214" s="321"/>
      <c r="U1214" s="321"/>
      <c r="V1214" s="321"/>
      <c r="W1214" s="321"/>
      <c r="X1214" s="321"/>
      <c r="Y1214" s="321"/>
      <c r="Z1214" s="321"/>
      <c r="AA1214" s="321"/>
      <c r="AB1214" s="321"/>
      <c r="AC1214" s="321"/>
      <c r="AD1214" s="321"/>
      <c r="AE1214" s="321"/>
    </row>
    <row r="1215" spans="1:31" ht="18.75" x14ac:dyDescent="0.3">
      <c r="A1215" s="505"/>
      <c r="B1215" s="505"/>
      <c r="C1215" s="506"/>
      <c r="D1215" s="506"/>
      <c r="E1215" s="506"/>
      <c r="F1215" s="507" t="s">
        <v>291</v>
      </c>
      <c r="G1215" s="569" t="e">
        <f>G1212-G1216</f>
        <v>#REF!</v>
      </c>
      <c r="H1215" s="569" t="e">
        <f>H1212-H1216</f>
        <v>#REF!</v>
      </c>
      <c r="I1215" s="431">
        <f>'Пр.1.1. дох.23-24'!C10+'Пр.1.1. дох.23-24'!C80</f>
        <v>547196.24</v>
      </c>
      <c r="J1215" s="431">
        <f>'Пр.1.1. дох.23-24'!D10+'Пр.1.1. дох.23-24'!D80</f>
        <v>567369.71000000008</v>
      </c>
      <c r="K1215" s="424"/>
      <c r="L1215" s="423"/>
      <c r="M1215" s="423"/>
      <c r="N1215" s="423"/>
      <c r="O1215" s="423"/>
      <c r="P1215" s="423"/>
      <c r="Q1215" s="423"/>
      <c r="R1215" s="423"/>
      <c r="S1215" s="425"/>
      <c r="T1215" s="321"/>
      <c r="U1215" s="321"/>
      <c r="V1215" s="321"/>
      <c r="W1215" s="321"/>
      <c r="X1215" s="321"/>
      <c r="Y1215" s="321"/>
      <c r="Z1215" s="321"/>
      <c r="AA1215" s="321"/>
      <c r="AB1215" s="321"/>
      <c r="AC1215" s="321"/>
      <c r="AD1215" s="321"/>
      <c r="AE1215" s="321"/>
    </row>
    <row r="1216" spans="1:31" ht="18.75" x14ac:dyDescent="0.3">
      <c r="A1216" s="505"/>
      <c r="B1216" s="505"/>
      <c r="C1216" s="506"/>
      <c r="D1216" s="506"/>
      <c r="E1216" s="506"/>
      <c r="F1216" s="507" t="s">
        <v>292</v>
      </c>
      <c r="G1216" s="569" t="e">
        <f>G67+G214+G240+G330+G405+G572+G623+G685+G777+G878+G1116+#REF!</f>
        <v>#REF!</v>
      </c>
      <c r="H1216" s="569" t="e">
        <f>H67+H214+H240+H330+H405+H572+H623+H685+H777+H878+H1116+#REF!</f>
        <v>#REF!</v>
      </c>
      <c r="I1216" s="431"/>
      <c r="J1216" s="423"/>
      <c r="K1216" s="423"/>
      <c r="L1216" s="423"/>
      <c r="M1216" s="423"/>
      <c r="N1216" s="423"/>
      <c r="O1216" s="423"/>
      <c r="P1216" s="423"/>
      <c r="Q1216" s="425"/>
      <c r="R1216" s="423"/>
      <c r="S1216" s="425"/>
      <c r="T1216" s="321"/>
      <c r="U1216" s="321"/>
      <c r="V1216" s="321"/>
      <c r="W1216" s="321"/>
      <c r="X1216" s="321"/>
      <c r="Y1216" s="321"/>
      <c r="Z1216" s="321"/>
      <c r="AA1216" s="321"/>
      <c r="AB1216" s="321"/>
      <c r="AC1216" s="321"/>
      <c r="AD1216" s="321"/>
      <c r="AE1216" s="321"/>
    </row>
    <row r="1217" spans="1:40" ht="18.75" x14ac:dyDescent="0.3">
      <c r="A1217" s="505"/>
      <c r="B1217" s="505"/>
      <c r="C1217" s="506"/>
      <c r="D1217" s="506"/>
      <c r="E1217" s="506"/>
      <c r="F1217" s="507"/>
      <c r="G1217" s="569">
        <f>'Пр.1.1. дох.23-24'!C10+'Пр.1.1. дох.23-24'!C80</f>
        <v>547196.24</v>
      </c>
      <c r="H1217" s="569">
        <f>'Пр.1.1. дох.23-24'!D10+'Пр.1.1. дох.23-24'!D80</f>
        <v>567369.71000000008</v>
      </c>
      <c r="I1217" s="431"/>
      <c r="J1217" s="423"/>
      <c r="K1217" s="424"/>
      <c r="L1217" s="423"/>
      <c r="M1217" s="423"/>
      <c r="N1217" s="423"/>
      <c r="O1217" s="423"/>
      <c r="P1217" s="423"/>
      <c r="Q1217" s="423"/>
      <c r="R1217" s="423"/>
      <c r="S1217" s="423"/>
      <c r="T1217" s="75"/>
      <c r="U1217" s="321"/>
      <c r="V1217" s="321"/>
      <c r="W1217" s="321"/>
      <c r="X1217" s="321"/>
      <c r="Y1217" s="321"/>
      <c r="Z1217" s="321"/>
      <c r="AA1217" s="321"/>
      <c r="AB1217" s="321"/>
      <c r="AC1217" s="321"/>
      <c r="AD1217" s="321"/>
      <c r="AE1217" s="321"/>
    </row>
    <row r="1218" spans="1:40" ht="15.75" x14ac:dyDescent="0.25">
      <c r="A1218" s="505"/>
      <c r="B1218" s="505"/>
      <c r="C1218" s="506"/>
      <c r="D1218" s="508"/>
      <c r="E1218" s="508"/>
      <c r="F1218" s="509" t="s">
        <v>326</v>
      </c>
      <c r="G1218" s="570"/>
      <c r="H1218" s="570"/>
      <c r="I1218" s="334"/>
      <c r="J1218" s="426"/>
      <c r="K1218" s="426"/>
      <c r="L1218" s="426"/>
      <c r="M1218" s="426"/>
      <c r="N1218" s="426"/>
      <c r="O1218" s="426"/>
      <c r="P1218" s="426"/>
      <c r="Q1218" s="426"/>
      <c r="R1218" s="397"/>
      <c r="S1218" s="426"/>
      <c r="T1218" s="321"/>
      <c r="U1218" s="321"/>
      <c r="V1218" s="321"/>
      <c r="W1218" s="321"/>
      <c r="X1218" s="321"/>
      <c r="Y1218" s="321"/>
      <c r="Z1218" s="321"/>
      <c r="AA1218" s="321"/>
      <c r="AB1218" s="321"/>
      <c r="AC1218" s="321"/>
      <c r="AD1218" s="321"/>
      <c r="AE1218" s="321"/>
    </row>
    <row r="1219" spans="1:40" ht="15.75" x14ac:dyDescent="0.25">
      <c r="A1219" s="505"/>
      <c r="B1219" s="505"/>
      <c r="C1219" s="506"/>
      <c r="D1219" s="508"/>
      <c r="E1219" s="508"/>
      <c r="F1219" s="508"/>
      <c r="G1219" s="570"/>
      <c r="H1219" s="570"/>
      <c r="I1219" s="334"/>
      <c r="J1219" s="73"/>
      <c r="K1219" s="73"/>
      <c r="L1219" s="321"/>
      <c r="M1219" s="321"/>
      <c r="N1219" s="321"/>
      <c r="O1219" s="73"/>
      <c r="P1219" s="321"/>
      <c r="Q1219" s="73"/>
      <c r="R1219" s="73"/>
      <c r="S1219" s="73"/>
      <c r="T1219" s="321"/>
      <c r="U1219" s="321"/>
      <c r="V1219" s="321"/>
      <c r="W1219" s="321"/>
      <c r="X1219" s="321"/>
      <c r="Y1219" s="321"/>
      <c r="Z1219" s="321"/>
      <c r="AA1219" s="321"/>
      <c r="AB1219" s="321"/>
      <c r="AC1219" s="321"/>
      <c r="AD1219" s="321"/>
      <c r="AE1219" s="321"/>
    </row>
    <row r="1220" spans="1:40" ht="15.75" x14ac:dyDescent="0.25">
      <c r="A1220" s="505"/>
      <c r="B1220" s="505"/>
      <c r="C1220" s="506"/>
      <c r="D1220" s="508"/>
      <c r="E1220" s="508"/>
      <c r="F1220" s="508"/>
      <c r="G1220" s="570"/>
      <c r="H1220" s="570"/>
      <c r="I1220" s="334"/>
      <c r="J1220" s="303"/>
      <c r="K1220" s="75"/>
      <c r="L1220" s="321"/>
      <c r="M1220" s="321"/>
      <c r="N1220" s="321"/>
      <c r="O1220" s="321"/>
      <c r="P1220" s="321"/>
      <c r="Q1220" s="321"/>
      <c r="R1220" s="321"/>
      <c r="S1220" s="75"/>
      <c r="T1220" s="321"/>
      <c r="U1220" s="321"/>
      <c r="V1220" s="321"/>
      <c r="W1220" s="321"/>
      <c r="X1220" s="321"/>
      <c r="Y1220" s="321"/>
      <c r="Z1220" s="321"/>
      <c r="AA1220" s="321"/>
      <c r="AB1220" s="321"/>
      <c r="AC1220" s="321"/>
      <c r="AD1220" s="321"/>
      <c r="AE1220" s="321"/>
    </row>
    <row r="1221" spans="1:40" ht="15.75" x14ac:dyDescent="0.25">
      <c r="A1221" s="505"/>
      <c r="B1221" s="505"/>
      <c r="C1221" s="510">
        <v>1</v>
      </c>
      <c r="D1221" s="508"/>
      <c r="E1221" s="508"/>
      <c r="F1221" s="508"/>
      <c r="G1221" s="570">
        <f>G11+G32+G247+G558+G609+G935+G1195+G844</f>
        <v>152214.39999999999</v>
      </c>
      <c r="H1221" s="570">
        <f>H11+H32+H247+H558+H609+H935+H1195+H844</f>
        <v>158064.19999999998</v>
      </c>
      <c r="I1221" s="334"/>
      <c r="J1221" s="303"/>
      <c r="K1221" s="321"/>
      <c r="L1221" s="321"/>
      <c r="M1221" s="321"/>
      <c r="N1221" s="321"/>
      <c r="O1221" s="321"/>
      <c r="P1221" s="321"/>
      <c r="Q1221" s="321"/>
      <c r="R1221" s="321"/>
      <c r="S1221" s="73"/>
      <c r="T1221" s="321"/>
      <c r="U1221" s="321"/>
      <c r="V1221" s="321"/>
      <c r="W1221" s="321"/>
      <c r="X1221" s="321"/>
      <c r="Y1221" s="321"/>
      <c r="Z1221" s="321"/>
      <c r="AA1221" s="321"/>
      <c r="AB1221" s="321"/>
      <c r="AC1221" s="321"/>
      <c r="AD1221" s="321"/>
      <c r="AE1221" s="321"/>
    </row>
    <row r="1222" spans="1:40" ht="15.75" customHeight="1" x14ac:dyDescent="0.25">
      <c r="A1222" s="505"/>
      <c r="B1222" s="505"/>
      <c r="C1222" s="510" t="s">
        <v>291</v>
      </c>
      <c r="D1222" s="508"/>
      <c r="E1222" s="508"/>
      <c r="F1222" s="508"/>
      <c r="G1222" s="570"/>
      <c r="H1222" s="570"/>
      <c r="I1222" s="342"/>
      <c r="J1222" s="303"/>
      <c r="K1222" s="321"/>
      <c r="L1222" s="321"/>
      <c r="M1222" s="321"/>
      <c r="N1222" s="321"/>
      <c r="O1222" s="321"/>
      <c r="P1222" s="321"/>
      <c r="Q1222" s="321"/>
      <c r="R1222" s="321"/>
      <c r="S1222" s="321"/>
      <c r="T1222" s="321"/>
      <c r="U1222" s="321"/>
      <c r="V1222" s="321"/>
      <c r="W1222" s="321"/>
      <c r="X1222" s="321"/>
      <c r="Y1222" s="321"/>
      <c r="Z1222" s="321"/>
      <c r="AA1222" s="321"/>
      <c r="AB1222" s="321"/>
      <c r="AC1222" s="321"/>
      <c r="AD1222" s="321"/>
      <c r="AE1222" s="321"/>
    </row>
    <row r="1223" spans="1:40" ht="15.75" x14ac:dyDescent="0.25">
      <c r="A1223" s="505"/>
      <c r="B1223" s="505"/>
      <c r="C1223" s="510" t="s">
        <v>292</v>
      </c>
      <c r="D1223" s="508"/>
      <c r="E1223" s="508"/>
      <c r="F1223" s="508"/>
      <c r="G1223" s="570"/>
      <c r="H1223" s="570"/>
      <c r="I1223" s="342"/>
      <c r="J1223" s="600"/>
      <c r="K1223" s="600"/>
      <c r="L1223" s="600"/>
      <c r="M1223" s="600"/>
      <c r="N1223" s="600"/>
      <c r="O1223" s="600"/>
      <c r="P1223" s="600"/>
      <c r="Q1223" s="600"/>
      <c r="R1223" s="600"/>
      <c r="S1223" s="600"/>
      <c r="T1223" s="600"/>
      <c r="U1223" s="600"/>
      <c r="V1223" s="600"/>
      <c r="W1223" s="600"/>
      <c r="X1223" s="600"/>
      <c r="Y1223" s="600"/>
      <c r="Z1223" s="600"/>
      <c r="AA1223" s="600"/>
      <c r="AB1223" s="600"/>
      <c r="AC1223" s="600"/>
      <c r="AD1223" s="600"/>
      <c r="AE1223" s="600"/>
      <c r="AF1223" s="393"/>
      <c r="AG1223" s="393"/>
      <c r="AH1223" s="393"/>
      <c r="AI1223" s="393"/>
      <c r="AJ1223" s="393"/>
      <c r="AK1223" s="393"/>
    </row>
    <row r="1224" spans="1:40" ht="60" x14ac:dyDescent="0.25">
      <c r="A1224" s="505"/>
      <c r="B1224" s="505"/>
      <c r="C1224" s="510">
        <v>2</v>
      </c>
      <c r="D1224" s="508"/>
      <c r="E1224" s="508"/>
      <c r="F1224" s="508"/>
      <c r="G1224" s="570">
        <f>G164</f>
        <v>0</v>
      </c>
      <c r="H1224" s="570">
        <f>H164</f>
        <v>0</v>
      </c>
      <c r="I1224" s="334"/>
      <c r="J1224" s="427"/>
      <c r="K1224" s="427"/>
      <c r="L1224" s="427"/>
      <c r="M1224" s="427"/>
      <c r="N1224" s="427"/>
      <c r="O1224" s="427"/>
      <c r="P1224" s="427"/>
      <c r="Q1224" s="427"/>
      <c r="R1224" s="601"/>
      <c r="S1224" s="601"/>
      <c r="T1224" s="601"/>
      <c r="U1224" s="427"/>
      <c r="V1224" s="427"/>
      <c r="W1224" s="427"/>
      <c r="X1224" s="427"/>
      <c r="Y1224" s="427"/>
      <c r="Z1224" s="427"/>
      <c r="AA1224" s="427"/>
      <c r="AB1224" s="427"/>
      <c r="AC1224" s="427"/>
      <c r="AD1224" s="427"/>
      <c r="AE1224" s="427"/>
      <c r="AF1224" s="396" t="s">
        <v>1032</v>
      </c>
      <c r="AG1224" s="304" t="s">
        <v>1047</v>
      </c>
      <c r="AH1224" s="304" t="s">
        <v>1054</v>
      </c>
      <c r="AI1224" s="304" t="s">
        <v>1062</v>
      </c>
      <c r="AJ1224" s="304" t="s">
        <v>1072</v>
      </c>
      <c r="AK1224" s="350" t="s">
        <v>1076</v>
      </c>
    </row>
    <row r="1225" spans="1:40" ht="15.75" x14ac:dyDescent="0.25">
      <c r="A1225" s="505"/>
      <c r="B1225" s="505"/>
      <c r="C1225" s="510">
        <v>3</v>
      </c>
      <c r="D1225" s="508"/>
      <c r="E1225" s="508"/>
      <c r="F1225" s="508"/>
      <c r="G1225" s="570">
        <f>G958+G171</f>
        <v>8292.2000000000007</v>
      </c>
      <c r="H1225" s="570">
        <f>H958+H171</f>
        <v>8292.2000000000007</v>
      </c>
      <c r="I1225" s="342"/>
      <c r="J1225" s="428"/>
      <c r="K1225" s="428"/>
      <c r="L1225" s="429"/>
      <c r="M1225" s="428"/>
      <c r="N1225" s="428"/>
      <c r="O1225" s="428"/>
      <c r="P1225" s="428"/>
      <c r="Q1225" s="428"/>
      <c r="R1225" s="430"/>
      <c r="S1225" s="430"/>
      <c r="T1225" s="430"/>
      <c r="U1225" s="428"/>
      <c r="V1225" s="429"/>
      <c r="W1225" s="429"/>
      <c r="X1225" s="429"/>
      <c r="Y1225" s="429"/>
      <c r="Z1225" s="428"/>
      <c r="AA1225" s="428"/>
      <c r="AB1225" s="428"/>
      <c r="AC1225" s="428"/>
      <c r="AD1225" s="428"/>
      <c r="AE1225" s="428"/>
      <c r="AF1225" s="419">
        <v>106.89</v>
      </c>
      <c r="AG1225" s="233">
        <v>21.5</v>
      </c>
      <c r="AH1225" s="233">
        <v>100</v>
      </c>
      <c r="AI1225" s="233">
        <v>205.9</v>
      </c>
      <c r="AJ1225" s="233">
        <v>463.7</v>
      </c>
      <c r="AK1225" s="272">
        <v>63.805999999999997</v>
      </c>
      <c r="AL1225" s="363">
        <f>SUM(J1225:AK1225)</f>
        <v>961.79600000000005</v>
      </c>
    </row>
    <row r="1226" spans="1:40" ht="15.75" x14ac:dyDescent="0.25">
      <c r="A1226" s="505"/>
      <c r="B1226" s="505"/>
      <c r="C1226" s="510" t="s">
        <v>291</v>
      </c>
      <c r="D1226" s="508"/>
      <c r="E1226" s="508"/>
      <c r="F1226" s="508"/>
      <c r="G1226" s="570">
        <f>G1225-G1227</f>
        <v>8392.2000000000007</v>
      </c>
      <c r="H1226" s="570">
        <f>H1225-H1227</f>
        <v>8498.1</v>
      </c>
      <c r="I1226" s="342"/>
      <c r="J1226" s="428"/>
      <c r="K1226" s="428"/>
      <c r="L1226" s="428"/>
      <c r="M1226" s="428"/>
      <c r="N1226" s="428"/>
      <c r="O1226" s="428"/>
      <c r="P1226" s="428"/>
      <c r="Q1226" s="428"/>
      <c r="R1226" s="429"/>
      <c r="S1226" s="429"/>
      <c r="T1226" s="429"/>
      <c r="U1226" s="428"/>
      <c r="V1226" s="429"/>
      <c r="W1226" s="429"/>
      <c r="X1226" s="428"/>
      <c r="Y1226" s="428"/>
      <c r="Z1226" s="428"/>
      <c r="AA1226" s="428"/>
      <c r="AB1226" s="428"/>
      <c r="AC1226" s="428"/>
      <c r="AD1226" s="428"/>
      <c r="AE1226" s="428"/>
      <c r="AF1226" s="419">
        <v>2500</v>
      </c>
      <c r="AG1226" s="233">
        <v>501.7</v>
      </c>
      <c r="AH1226" s="233">
        <v>448</v>
      </c>
      <c r="AI1226" s="233">
        <v>4816.3</v>
      </c>
      <c r="AJ1226" s="233">
        <v>4173.5</v>
      </c>
      <c r="AK1226" s="272">
        <v>1492.7</v>
      </c>
      <c r="AL1226" s="363">
        <f t="shared" ref="AL1226:AL1227" si="99">SUM(J1226:AK1226)</f>
        <v>13932.2</v>
      </c>
      <c r="AN1226" s="154">
        <f>S1220+AL1226</f>
        <v>13932.2</v>
      </c>
    </row>
    <row r="1227" spans="1:40" ht="15.75" x14ac:dyDescent="0.25">
      <c r="A1227" s="505"/>
      <c r="B1227" s="505"/>
      <c r="C1227" s="510" t="s">
        <v>292</v>
      </c>
      <c r="D1227" s="508"/>
      <c r="E1227" s="508"/>
      <c r="F1227" s="508"/>
      <c r="G1227" s="570">
        <f>G200-AH1225</f>
        <v>-100</v>
      </c>
      <c r="H1227" s="570">
        <f>H200-AI1225</f>
        <v>-205.9</v>
      </c>
      <c r="I1227" s="342"/>
      <c r="J1227" s="423"/>
      <c r="K1227" s="423"/>
      <c r="L1227" s="423"/>
      <c r="M1227" s="423"/>
      <c r="N1227" s="423"/>
      <c r="O1227" s="423"/>
      <c r="P1227" s="423"/>
      <c r="Q1227" s="423"/>
      <c r="R1227" s="423"/>
      <c r="S1227" s="423"/>
      <c r="T1227" s="423"/>
      <c r="U1227" s="423"/>
      <c r="V1227" s="423"/>
      <c r="W1227" s="423"/>
      <c r="X1227" s="423"/>
      <c r="Y1227" s="423"/>
      <c r="Z1227" s="423"/>
      <c r="AA1227" s="423"/>
      <c r="AB1227" s="423"/>
      <c r="AC1227" s="423"/>
      <c r="AD1227" s="423"/>
      <c r="AE1227" s="423"/>
      <c r="AF1227" s="420">
        <f t="shared" ref="AF1227:AK1227" si="100">AF1225+AF1226</f>
        <v>2606.89</v>
      </c>
      <c r="AG1227" s="265">
        <f t="shared" si="100"/>
        <v>523.20000000000005</v>
      </c>
      <c r="AH1227" s="265">
        <f t="shared" si="100"/>
        <v>548</v>
      </c>
      <c r="AI1227" s="265">
        <f t="shared" si="100"/>
        <v>5022.2</v>
      </c>
      <c r="AJ1227" s="265">
        <f t="shared" si="100"/>
        <v>4637.2</v>
      </c>
      <c r="AK1227" s="351">
        <f t="shared" si="100"/>
        <v>1556.5060000000001</v>
      </c>
      <c r="AL1227" s="363">
        <f t="shared" si="99"/>
        <v>14893.996000000001</v>
      </c>
    </row>
    <row r="1228" spans="1:40" ht="15.75" x14ac:dyDescent="0.25">
      <c r="A1228" s="505"/>
      <c r="B1228" s="505"/>
      <c r="C1228" s="510">
        <v>4</v>
      </c>
      <c r="D1228" s="508"/>
      <c r="E1228" s="508"/>
      <c r="F1228" s="508"/>
      <c r="G1228" s="570">
        <f>G974+G283+G201</f>
        <v>7019.3600000000006</v>
      </c>
      <c r="H1228" s="570">
        <f>H974+H283+H201</f>
        <v>7465.16</v>
      </c>
      <c r="I1228" s="334"/>
      <c r="J1228" s="426"/>
      <c r="K1228" s="426"/>
      <c r="L1228" s="426"/>
      <c r="M1228" s="426"/>
      <c r="N1228" s="426"/>
      <c r="O1228" s="426"/>
      <c r="P1228" s="426"/>
      <c r="Q1228" s="426"/>
      <c r="R1228" s="397"/>
      <c r="S1228" s="426"/>
      <c r="T1228" s="397"/>
      <c r="U1228" s="426"/>
      <c r="V1228" s="426"/>
      <c r="W1228" s="426"/>
      <c r="X1228" s="426"/>
      <c r="Y1228" s="426"/>
      <c r="Z1228" s="426"/>
      <c r="AA1228" s="426"/>
      <c r="AB1228" s="426"/>
      <c r="AC1228" s="426"/>
      <c r="AD1228" s="426"/>
      <c r="AE1228" s="426"/>
      <c r="AF1228" s="421" t="s">
        <v>964</v>
      </c>
      <c r="AG1228" s="274" t="s">
        <v>915</v>
      </c>
      <c r="AH1228" s="274" t="s">
        <v>1055</v>
      </c>
      <c r="AI1228" s="274" t="s">
        <v>1068</v>
      </c>
      <c r="AJ1228" s="274" t="s">
        <v>915</v>
      </c>
      <c r="AK1228" s="352" t="s">
        <v>915</v>
      </c>
    </row>
    <row r="1229" spans="1:40" ht="15.75" x14ac:dyDescent="0.25">
      <c r="A1229" s="505"/>
      <c r="B1229" s="505"/>
      <c r="C1229" s="510" t="s">
        <v>291</v>
      </c>
      <c r="D1229" s="508"/>
      <c r="E1229" s="508"/>
      <c r="F1229" s="508"/>
      <c r="G1229" s="570">
        <f>G1228-G1230</f>
        <v>6306.7000000000007</v>
      </c>
      <c r="H1229" s="570">
        <f>H1228-H1230</f>
        <v>6484.2</v>
      </c>
      <c r="I1229" s="334"/>
      <c r="J1229" s="321"/>
      <c r="K1229" s="321"/>
      <c r="L1229" s="321"/>
      <c r="M1229" s="321"/>
      <c r="N1229" s="321"/>
      <c r="O1229" s="321"/>
      <c r="P1229" s="321"/>
      <c r="Q1229" s="321"/>
      <c r="R1229" s="321"/>
      <c r="S1229" s="321"/>
      <c r="T1229" s="321"/>
      <c r="U1229" s="321"/>
      <c r="V1229" s="321"/>
      <c r="W1229" s="321"/>
      <c r="X1229" s="321"/>
      <c r="Y1229" s="321"/>
      <c r="Z1229" s="321"/>
      <c r="AA1229" s="321"/>
      <c r="AB1229" s="321"/>
      <c r="AC1229" s="321"/>
      <c r="AD1229" s="321"/>
      <c r="AE1229" s="321"/>
    </row>
    <row r="1230" spans="1:40" ht="15.75" x14ac:dyDescent="0.25">
      <c r="A1230" s="505"/>
      <c r="B1230" s="505"/>
      <c r="C1230" s="510" t="s">
        <v>292</v>
      </c>
      <c r="D1230" s="508"/>
      <c r="E1230" s="508"/>
      <c r="F1230" s="508"/>
      <c r="G1230" s="570">
        <f>G292+G222+G214+G205-U1225-W1225-Z1225</f>
        <v>712.66000000000008</v>
      </c>
      <c r="H1230" s="570">
        <f>H292+H222+H214+H205-V1225-X1225-AA1225</f>
        <v>980.96</v>
      </c>
    </row>
    <row r="1231" spans="1:40" ht="15.75" x14ac:dyDescent="0.25">
      <c r="A1231" s="505"/>
      <c r="B1231" s="505"/>
      <c r="C1231" s="510">
        <v>5</v>
      </c>
      <c r="D1231" s="508"/>
      <c r="E1231" s="508"/>
      <c r="F1231" s="508"/>
      <c r="G1231" s="570">
        <f>G995+G592</f>
        <v>62083.311999999998</v>
      </c>
      <c r="H1231" s="570">
        <f>H995+H592</f>
        <v>54832.87</v>
      </c>
      <c r="K1231" s="74"/>
      <c r="AA1231" s="154"/>
    </row>
    <row r="1232" spans="1:40" ht="15.75" x14ac:dyDescent="0.25">
      <c r="A1232" s="505"/>
      <c r="B1232" s="505"/>
      <c r="C1232" s="510" t="s">
        <v>291</v>
      </c>
      <c r="D1232" s="508"/>
      <c r="E1232" s="508"/>
      <c r="F1232" s="508"/>
      <c r="G1232" s="570">
        <f>G1231-G1233</f>
        <v>615448.75800000003</v>
      </c>
      <c r="H1232" s="570">
        <f>H1231-H1233</f>
        <v>48825.032000000007</v>
      </c>
      <c r="J1232" s="74"/>
      <c r="K1232" s="74"/>
      <c r="L1232" s="74"/>
      <c r="M1232" s="74"/>
      <c r="N1232" s="74"/>
      <c r="O1232" s="74"/>
      <c r="P1232" s="74"/>
      <c r="Q1232" s="74"/>
      <c r="T1232" s="74"/>
      <c r="U1232" s="74"/>
      <c r="V1232" s="74"/>
      <c r="W1232" s="74"/>
      <c r="X1232" s="74"/>
      <c r="Y1232" s="74"/>
      <c r="Z1232" s="74"/>
    </row>
    <row r="1233" spans="1:11" ht="15.75" x14ac:dyDescent="0.25">
      <c r="A1233" s="505"/>
      <c r="B1233" s="505"/>
      <c r="C1233" s="510" t="s">
        <v>292</v>
      </c>
      <c r="D1233" s="508"/>
      <c r="E1233" s="508"/>
      <c r="F1233" s="508"/>
      <c r="G1233" s="570">
        <f>G1027+G1116+G1133-J1215+G1088-P1215-AG1225-AC1225+G1126+G1012+G1130-AJ1225+G1139-AK1225</f>
        <v>-553365.446</v>
      </c>
      <c r="H1233" s="570">
        <f>H1027+H1116+H1133-K1215+H1088-Q1215-AH1225-AD1225+H1126+H1012+H1130-AK1225+H1139-AL1225</f>
        <v>6007.8379999999997</v>
      </c>
    </row>
    <row r="1234" spans="1:11" ht="15.75" x14ac:dyDescent="0.25">
      <c r="A1234" s="505"/>
      <c r="B1234" s="505"/>
      <c r="C1234" s="510">
        <v>7</v>
      </c>
      <c r="D1234" s="508"/>
      <c r="E1234" s="508"/>
      <c r="F1234" s="508"/>
      <c r="G1234" s="570">
        <f>G616+G303</f>
        <v>387335.6</v>
      </c>
      <c r="H1234" s="570">
        <f>H616+H303</f>
        <v>343390</v>
      </c>
      <c r="J1234" s="74"/>
    </row>
    <row r="1235" spans="1:11" ht="15.75" x14ac:dyDescent="0.25">
      <c r="A1235" s="505"/>
      <c r="B1235" s="505"/>
      <c r="C1235" s="510" t="s">
        <v>291</v>
      </c>
      <c r="D1235" s="508"/>
      <c r="E1235" s="508"/>
      <c r="F1235" s="508"/>
      <c r="G1235" s="570">
        <f>G1234-G1236</f>
        <v>147252.58000000002</v>
      </c>
      <c r="H1235" s="570">
        <f>H1234-H1236</f>
        <v>144966.78000000003</v>
      </c>
      <c r="J1235" s="154"/>
      <c r="K1235" s="154"/>
    </row>
    <row r="1236" spans="1:11" ht="15.75" x14ac:dyDescent="0.25">
      <c r="A1236" s="505"/>
      <c r="B1236" s="505"/>
      <c r="C1236" s="510" t="s">
        <v>292</v>
      </c>
      <c r="D1236" s="508"/>
      <c r="E1236" s="508"/>
      <c r="F1236" s="508"/>
      <c r="G1236" s="570">
        <f>G777+G685+G623+G330+G746+G658+G731-O1215+G750-Q1215-R1215+G804+G774+G735+G727+G723+G719+G655+G651+G314-K1225-L1225-M1225-N1225-O1225-P1225-Q1225-R1225-S1225-AB1225-AD1225-AE1225-AF1225+G664+G668+G738+G742+G368</f>
        <v>240083.01999999996</v>
      </c>
      <c r="H1236" s="570">
        <f>H777+H685+H623+H330+H746+H658+H731-P1215+H750-R1215-S1215+H804+H774+H735+H727+H723+H719+H655+H651+H314-L1225-M1225-N1225-O1225-P1225-Q1225-R1225-S1225-T1225-AC1225-AE1225-AF1225-AG1225+H664+H668+H738+H742+H368</f>
        <v>198423.21999999997</v>
      </c>
      <c r="J1236" s="154"/>
      <c r="K1236" s="154"/>
    </row>
    <row r="1237" spans="1:11" ht="15.75" x14ac:dyDescent="0.25">
      <c r="A1237" s="505"/>
      <c r="B1237" s="505"/>
      <c r="C1237" s="510">
        <v>8</v>
      </c>
      <c r="D1237" s="508"/>
      <c r="E1237" s="508"/>
      <c r="F1237" s="508"/>
      <c r="G1237" s="570">
        <f>G372</f>
        <v>82217.399999999994</v>
      </c>
      <c r="H1237" s="570">
        <f>H372</f>
        <v>82221.299999999988</v>
      </c>
      <c r="J1237" s="74"/>
    </row>
    <row r="1238" spans="1:11" ht="15.75" x14ac:dyDescent="0.25">
      <c r="A1238" s="505"/>
      <c r="B1238" s="505"/>
      <c r="C1238" s="510" t="s">
        <v>291</v>
      </c>
      <c r="D1238" s="508"/>
      <c r="E1238" s="508"/>
      <c r="F1238" s="508"/>
      <c r="G1238" s="570"/>
      <c r="H1238" s="570"/>
      <c r="J1238" s="74"/>
    </row>
    <row r="1239" spans="1:11" ht="15.75" x14ac:dyDescent="0.25">
      <c r="A1239" s="505"/>
      <c r="B1239" s="505"/>
      <c r="C1239" s="510" t="s">
        <v>292</v>
      </c>
      <c r="D1239" s="508"/>
      <c r="E1239" s="508"/>
      <c r="F1239" s="508"/>
      <c r="G1239" s="570"/>
      <c r="H1239" s="570"/>
      <c r="J1239" s="154"/>
    </row>
    <row r="1240" spans="1:11" ht="15.75" x14ac:dyDescent="0.25">
      <c r="A1240" s="505"/>
      <c r="B1240" s="505"/>
      <c r="C1240" s="510">
        <v>10</v>
      </c>
      <c r="D1240" s="508"/>
      <c r="E1240" s="508"/>
      <c r="F1240" s="508"/>
      <c r="G1240" s="570">
        <f>G1186+G496+G225+G602</f>
        <v>15259.300000000001</v>
      </c>
      <c r="H1240" s="570">
        <f>H1186+H496+H225+H602</f>
        <v>15374.45</v>
      </c>
    </row>
    <row r="1241" spans="1:11" ht="15.75" x14ac:dyDescent="0.25">
      <c r="A1241" s="505"/>
      <c r="B1241" s="505"/>
      <c r="C1241" s="510" t="s">
        <v>291</v>
      </c>
      <c r="D1241" s="508"/>
      <c r="E1241" s="508"/>
      <c r="F1241" s="508"/>
      <c r="G1241" s="570">
        <f>G1240-G1242</f>
        <v>11305.6</v>
      </c>
      <c r="H1241" s="570">
        <f>H1240-H1242</f>
        <v>11305.6</v>
      </c>
    </row>
    <row r="1242" spans="1:11" ht="15.75" x14ac:dyDescent="0.25">
      <c r="A1242" s="505"/>
      <c r="B1242" s="505"/>
      <c r="C1242" s="510" t="s">
        <v>292</v>
      </c>
      <c r="D1242" s="508"/>
      <c r="E1242" s="508"/>
      <c r="F1242" s="508"/>
      <c r="G1242" s="570">
        <f>G240+G501+G602-M1215+G235-V1225</f>
        <v>3953.7000000000003</v>
      </c>
      <c r="H1242" s="570">
        <f>H240+H501+H602-N1215+H235-W1225</f>
        <v>4068.85</v>
      </c>
      <c r="J1242" s="154"/>
    </row>
    <row r="1243" spans="1:11" ht="15.75" x14ac:dyDescent="0.25">
      <c r="A1243" s="505"/>
      <c r="B1243" s="505"/>
      <c r="C1243" s="510">
        <v>11</v>
      </c>
      <c r="D1243" s="508"/>
      <c r="E1243" s="508"/>
      <c r="F1243" s="508"/>
      <c r="G1243" s="570">
        <f>G851</f>
        <v>70328.3</v>
      </c>
      <c r="H1243" s="570">
        <f>H851</f>
        <v>70328.3</v>
      </c>
    </row>
    <row r="1244" spans="1:11" ht="15.75" x14ac:dyDescent="0.25">
      <c r="A1244" s="505"/>
      <c r="B1244" s="505"/>
      <c r="C1244" s="510" t="s">
        <v>291</v>
      </c>
      <c r="D1244" s="508"/>
      <c r="E1244" s="508"/>
      <c r="F1244" s="508"/>
      <c r="G1244" s="570">
        <f>G1243-G1245</f>
        <v>69650.3</v>
      </c>
      <c r="H1244" s="570">
        <f>H1243-H1245</f>
        <v>69908.100000000006</v>
      </c>
    </row>
    <row r="1245" spans="1:11" ht="15.75" x14ac:dyDescent="0.25">
      <c r="A1245" s="505"/>
      <c r="B1245" s="505"/>
      <c r="C1245" s="510" t="s">
        <v>292</v>
      </c>
      <c r="D1245" s="508"/>
      <c r="E1245" s="508"/>
      <c r="F1245" s="508"/>
      <c r="G1245" s="570">
        <f>G878+G890-S1215+G882-AI1225</f>
        <v>678</v>
      </c>
      <c r="H1245" s="570">
        <f>H878+H890-T1215+H882-AJ1225</f>
        <v>420.2</v>
      </c>
    </row>
    <row r="1246" spans="1:11" ht="15.75" x14ac:dyDescent="0.25">
      <c r="A1246" s="505"/>
      <c r="B1246" s="505"/>
      <c r="C1246" s="510">
        <v>12</v>
      </c>
      <c r="D1246" s="508"/>
      <c r="E1246" s="508"/>
      <c r="F1246" s="508"/>
      <c r="G1246" s="570">
        <f>G521</f>
        <v>6358.2</v>
      </c>
      <c r="H1246" s="570">
        <f>H521</f>
        <v>6358.2</v>
      </c>
    </row>
    <row r="1247" spans="1:11" ht="15.75" x14ac:dyDescent="0.25">
      <c r="A1247" s="505"/>
      <c r="B1247" s="505"/>
      <c r="C1247" s="511"/>
      <c r="D1247" s="508"/>
      <c r="E1247" s="508"/>
      <c r="F1247" s="508"/>
      <c r="G1247" s="571">
        <f>G1221+G1224+G1225+G1228+G1231+G1234+G1237+G1240+G1243+G1246</f>
        <v>791108.07200000004</v>
      </c>
      <c r="H1247" s="571">
        <f>H1221+H1224+H1225+H1228+H1231+H1234+H1237+H1240+H1243+H1246</f>
        <v>746326.67999999993</v>
      </c>
    </row>
    <row r="1248" spans="1:11" ht="15.75" x14ac:dyDescent="0.25">
      <c r="A1248" s="505"/>
      <c r="B1248" s="505"/>
      <c r="C1248" s="510" t="s">
        <v>291</v>
      </c>
      <c r="D1248" s="508"/>
      <c r="E1248" s="508"/>
      <c r="F1248" s="508"/>
      <c r="G1248" s="571">
        <f>G1222+G1224+G1226+G1229+G1232+G1235+G1238+G1241+G1244+G1246</f>
        <v>864714.33800000011</v>
      </c>
      <c r="H1248" s="571">
        <f>H1222+H1224+H1226+H1229+H1232+H1235+H1238+H1241+H1244+H1246</f>
        <v>296346.01200000005</v>
      </c>
    </row>
    <row r="1249" spans="1:8" ht="15.75" x14ac:dyDescent="0.25">
      <c r="A1249" s="505"/>
      <c r="B1249" s="505"/>
      <c r="C1249" s="510" t="s">
        <v>292</v>
      </c>
      <c r="D1249" s="508"/>
      <c r="E1249" s="508"/>
      <c r="F1249" s="508"/>
      <c r="G1249" s="571">
        <f>G1223+G1230+G1233+G1236+G1239+G1242+G1245+G1227</f>
        <v>-308038.06599999999</v>
      </c>
      <c r="H1249" s="571">
        <f>H1223+H1230+H1233+H1236+H1239+H1242+H1245+H1227</f>
        <v>209695.16800000001</v>
      </c>
    </row>
    <row r="1251" spans="1:8" ht="18.75" x14ac:dyDescent="0.3">
      <c r="D1251" s="405" t="s">
        <v>293</v>
      </c>
      <c r="E1251" s="405">
        <v>50</v>
      </c>
      <c r="G1251" s="572">
        <f>G982</f>
        <v>3048.7</v>
      </c>
      <c r="H1251" s="572">
        <f>H982</f>
        <v>3226.2</v>
      </c>
    </row>
    <row r="1252" spans="1:8" ht="18.75" x14ac:dyDescent="0.3">
      <c r="E1252" s="405">
        <v>51</v>
      </c>
      <c r="G1252" s="572">
        <f>G249+G286+G348+G485+G498</f>
        <v>3451.06</v>
      </c>
      <c r="H1252" s="572">
        <f>H249+H286+H348+H485+H498</f>
        <v>3415.41</v>
      </c>
    </row>
    <row r="1253" spans="1:8" ht="18.75" x14ac:dyDescent="0.3">
      <c r="E1253" s="405">
        <v>52</v>
      </c>
      <c r="G1253" s="572">
        <f>G618+G680+G769+G802</f>
        <v>341515.20999999996</v>
      </c>
      <c r="H1253" s="572">
        <f>H618+H680+H769+H802</f>
        <v>297462.90999999997</v>
      </c>
    </row>
    <row r="1254" spans="1:8" ht="18.75" x14ac:dyDescent="0.3">
      <c r="E1254" s="405">
        <v>53</v>
      </c>
      <c r="G1254" s="572">
        <f>G220</f>
        <v>150</v>
      </c>
      <c r="H1254" s="572">
        <f>H220</f>
        <v>150</v>
      </c>
    </row>
    <row r="1255" spans="1:8" ht="18.75" x14ac:dyDescent="0.3">
      <c r="E1255" s="405">
        <v>54</v>
      </c>
      <c r="G1255" s="572">
        <f>G44+G86</f>
        <v>604</v>
      </c>
      <c r="H1255" s="572">
        <f>H44+H86</f>
        <v>604</v>
      </c>
    </row>
    <row r="1256" spans="1:8" ht="18.75" x14ac:dyDescent="0.3">
      <c r="E1256" s="405">
        <v>55</v>
      </c>
      <c r="G1256" s="572">
        <f>G233</f>
        <v>10</v>
      </c>
      <c r="H1256" s="572">
        <f>H233</f>
        <v>10</v>
      </c>
    </row>
    <row r="1257" spans="1:8" ht="18.75" x14ac:dyDescent="0.3">
      <c r="E1257" s="405">
        <v>56</v>
      </c>
      <c r="G1257" s="572"/>
      <c r="H1257" s="572"/>
    </row>
    <row r="1258" spans="1:8" ht="18.75" x14ac:dyDescent="0.3">
      <c r="E1258" s="405">
        <v>57</v>
      </c>
      <c r="G1258" s="572">
        <f>G853+G927</f>
        <v>58776.1</v>
      </c>
      <c r="H1258" s="572">
        <f>H853+H927</f>
        <v>58776.1</v>
      </c>
    </row>
    <row r="1259" spans="1:8" ht="18.75" x14ac:dyDescent="0.3">
      <c r="E1259" s="405">
        <v>58</v>
      </c>
      <c r="G1259" s="572">
        <f>G305+G374+G523</f>
        <v>85949.400000000009</v>
      </c>
      <c r="H1259" s="572">
        <f>H305+H374+H523</f>
        <v>85949.400000000009</v>
      </c>
    </row>
    <row r="1260" spans="1:8" ht="18.75" x14ac:dyDescent="0.3">
      <c r="E1260" s="405">
        <v>59</v>
      </c>
      <c r="G1260" s="572">
        <f>G136+G337+G439+G491+G669+G758+G1181</f>
        <v>168</v>
      </c>
      <c r="H1260" s="572">
        <f>H136+H337+H439+H491+H669+H758+H1181</f>
        <v>117</v>
      </c>
    </row>
    <row r="1261" spans="1:8" ht="18.75" x14ac:dyDescent="0.3">
      <c r="E1261" s="405">
        <v>60</v>
      </c>
      <c r="G1261" s="572">
        <f>G1084</f>
        <v>8881.4399999999987</v>
      </c>
      <c r="H1261" s="572">
        <f>H1084</f>
        <v>8881.4399999999987</v>
      </c>
    </row>
    <row r="1262" spans="1:8" ht="18.75" x14ac:dyDescent="0.3">
      <c r="E1262" s="405">
        <v>61</v>
      </c>
      <c r="G1262" s="572">
        <f>G203</f>
        <v>19.199999999999989</v>
      </c>
      <c r="H1262" s="572">
        <f>H203</f>
        <v>274.2</v>
      </c>
    </row>
    <row r="1263" spans="1:8" ht="18.75" x14ac:dyDescent="0.3">
      <c r="E1263" s="405">
        <v>62</v>
      </c>
      <c r="G1263" s="572">
        <f>G1044</f>
        <v>700</v>
      </c>
      <c r="H1263" s="572">
        <f>H1044</f>
        <v>700</v>
      </c>
    </row>
    <row r="1264" spans="1:8" ht="18.75" x14ac:dyDescent="0.3">
      <c r="E1264" s="405">
        <v>63</v>
      </c>
      <c r="G1264" s="572">
        <f>G261+G611+G846</f>
        <v>120</v>
      </c>
      <c r="H1264" s="572">
        <f>H261+H611+H846</f>
        <v>120</v>
      </c>
    </row>
    <row r="1265" spans="1:45" ht="18.75" x14ac:dyDescent="0.3">
      <c r="E1265" s="405">
        <v>64</v>
      </c>
      <c r="G1265" s="572">
        <f>G140+G190+G278+G342+G447+G536+G674+G763+G796+G894</f>
        <v>3826.6400000000003</v>
      </c>
      <c r="H1265" s="572">
        <f>H140+H190+H278+H342+H447+H536+H674+H763+H796+H894</f>
        <v>3826.6400000000003</v>
      </c>
    </row>
    <row r="1266" spans="1:45" ht="18.75" x14ac:dyDescent="0.3">
      <c r="E1266" s="405">
        <v>65</v>
      </c>
      <c r="G1266" s="572">
        <f>G1131</f>
        <v>500</v>
      </c>
      <c r="H1266" s="572">
        <f>H1131</f>
        <v>500</v>
      </c>
    </row>
    <row r="1267" spans="1:45" ht="18.75" x14ac:dyDescent="0.3">
      <c r="E1267" s="405">
        <v>66</v>
      </c>
      <c r="G1267" s="572">
        <f>G587</f>
        <v>0</v>
      </c>
      <c r="H1267" s="572">
        <f>H587</f>
        <v>0</v>
      </c>
    </row>
    <row r="1268" spans="1:45" ht="18.75" x14ac:dyDescent="0.3">
      <c r="E1268" s="405">
        <v>67</v>
      </c>
      <c r="G1268" s="572">
        <f>G149</f>
        <v>45</v>
      </c>
      <c r="H1268" s="572">
        <f>H149</f>
        <v>45</v>
      </c>
    </row>
    <row r="1269" spans="1:45" ht="18.75" x14ac:dyDescent="0.3">
      <c r="E1269" s="405">
        <v>68</v>
      </c>
      <c r="G1269" s="572">
        <f>G158</f>
        <v>30</v>
      </c>
      <c r="H1269" s="572">
        <f>H158</f>
        <v>30</v>
      </c>
    </row>
    <row r="1270" spans="1:45" ht="18.75" x14ac:dyDescent="0.3">
      <c r="E1270" s="405">
        <v>69</v>
      </c>
      <c r="G1270" s="572">
        <f>G159</f>
        <v>80</v>
      </c>
      <c r="H1270" s="572">
        <f>H159</f>
        <v>80</v>
      </c>
    </row>
    <row r="1271" spans="1:45" ht="18.75" x14ac:dyDescent="0.3">
      <c r="E1271" s="405">
        <v>70</v>
      </c>
      <c r="G1271" s="572">
        <f>G1077</f>
        <v>204</v>
      </c>
      <c r="H1271" s="572">
        <f>H1077</f>
        <v>204</v>
      </c>
    </row>
    <row r="1272" spans="1:45" s="335" customFormat="1" ht="18.75" x14ac:dyDescent="0.3">
      <c r="A1272" s="405"/>
      <c r="B1272" s="405"/>
      <c r="C1272" s="405"/>
      <c r="D1272" s="405"/>
      <c r="E1272" s="405"/>
      <c r="F1272" s="405"/>
      <c r="G1272" s="572">
        <f>SUM(G1251:G1271)</f>
        <v>508078.75</v>
      </c>
      <c r="H1272" s="572">
        <f>SUM(H1251:H1271)</f>
        <v>464372.3</v>
      </c>
      <c r="J1272" s="363"/>
      <c r="K1272" s="363"/>
      <c r="L1272" s="363"/>
      <c r="M1272" s="363"/>
      <c r="N1272" s="363"/>
      <c r="O1272" s="363"/>
      <c r="P1272" s="363"/>
      <c r="Q1272" s="363"/>
      <c r="R1272" s="363"/>
      <c r="S1272" s="363"/>
      <c r="T1272" s="363"/>
      <c r="U1272" s="363"/>
      <c r="V1272" s="363"/>
      <c r="W1272" s="363"/>
      <c r="X1272" s="363"/>
      <c r="Y1272" s="363"/>
      <c r="Z1272" s="363"/>
      <c r="AA1272" s="363"/>
      <c r="AB1272" s="363"/>
      <c r="AC1272" s="363"/>
      <c r="AD1272" s="363"/>
      <c r="AE1272" s="363"/>
      <c r="AF1272" s="363"/>
      <c r="AG1272" s="363"/>
      <c r="AH1272" s="363"/>
      <c r="AI1272" s="363"/>
      <c r="AJ1272" s="363"/>
      <c r="AK1272" s="363"/>
      <c r="AL1272" s="363"/>
      <c r="AM1272" s="363"/>
      <c r="AN1272" s="363"/>
      <c r="AO1272" s="363"/>
      <c r="AP1272" s="363"/>
      <c r="AQ1272" s="363"/>
      <c r="AR1272" s="363"/>
      <c r="AS1272" s="363"/>
    </row>
    <row r="1273" spans="1:45" s="335" customFormat="1" x14ac:dyDescent="0.25">
      <c r="A1273" s="405"/>
      <c r="B1273" s="405"/>
      <c r="C1273" s="405"/>
      <c r="D1273" s="405"/>
      <c r="E1273" s="405"/>
      <c r="F1273" s="405"/>
      <c r="G1273" s="74"/>
      <c r="H1273" s="74"/>
      <c r="J1273" s="363"/>
      <c r="K1273" s="363"/>
      <c r="L1273" s="363"/>
      <c r="M1273" s="363"/>
      <c r="N1273" s="363"/>
      <c r="O1273" s="363"/>
      <c r="P1273" s="363"/>
      <c r="Q1273" s="363"/>
      <c r="R1273" s="363"/>
      <c r="S1273" s="363"/>
      <c r="T1273" s="363"/>
      <c r="U1273" s="363"/>
      <c r="V1273" s="363"/>
      <c r="W1273" s="363"/>
      <c r="X1273" s="363"/>
      <c r="Y1273" s="363"/>
      <c r="Z1273" s="363"/>
      <c r="AA1273" s="363"/>
      <c r="AB1273" s="363"/>
      <c r="AC1273" s="363"/>
      <c r="AD1273" s="363"/>
      <c r="AE1273" s="363"/>
      <c r="AF1273" s="363"/>
      <c r="AG1273" s="363"/>
      <c r="AH1273" s="363"/>
      <c r="AI1273" s="363"/>
      <c r="AJ1273" s="363"/>
      <c r="AK1273" s="363"/>
      <c r="AL1273" s="363"/>
      <c r="AM1273" s="363"/>
      <c r="AN1273" s="363"/>
      <c r="AO1273" s="363"/>
      <c r="AP1273" s="363"/>
      <c r="AQ1273" s="363"/>
      <c r="AR1273" s="363"/>
      <c r="AS1273" s="363"/>
    </row>
  </sheetData>
  <mergeCells count="7">
    <mergeCell ref="R1224:T1224"/>
    <mergeCell ref="A5:G5"/>
    <mergeCell ref="J1213:S1213"/>
    <mergeCell ref="J1223:AE1223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rowBreaks count="1" manualBreakCount="1">
    <brk id="1212" max="6" man="1"/>
  </rowBreaks>
  <colBreaks count="3" manualBreakCount="3">
    <brk id="8" max="1201" man="1"/>
    <brk id="15" max="1201" man="1"/>
    <brk id="22" max="11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3"/>
  <sheetViews>
    <sheetView zoomScaleNormal="100" zoomScaleSheetLayoutView="100" workbookViewId="0">
      <selection activeCell="F1" sqref="F1:G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74" customWidth="1"/>
    <col min="8" max="8" width="13.140625" style="132" hidden="1" customWidth="1"/>
    <col min="9" max="9" width="0" hidden="1" customWidth="1"/>
    <col min="10" max="10" width="10.7109375" hidden="1" customWidth="1"/>
    <col min="11" max="13" width="0" hidden="1" customWidth="1"/>
    <col min="14" max="14" width="11.5703125" customWidth="1"/>
  </cols>
  <sheetData>
    <row r="1" spans="1:8" ht="15.75" x14ac:dyDescent="0.25">
      <c r="A1" s="132"/>
      <c r="B1" s="132"/>
      <c r="C1" s="132"/>
      <c r="D1" s="132"/>
      <c r="E1" s="132"/>
      <c r="F1" s="609" t="s">
        <v>107</v>
      </c>
      <c r="G1" s="609"/>
    </row>
    <row r="2" spans="1:8" ht="15.75" x14ac:dyDescent="0.25">
      <c r="A2" s="132"/>
      <c r="B2" s="132"/>
      <c r="C2" s="132"/>
      <c r="D2" s="132"/>
      <c r="E2" s="132"/>
      <c r="F2" s="609" t="s">
        <v>294</v>
      </c>
      <c r="G2" s="609"/>
    </row>
    <row r="3" spans="1:8" ht="15.75" x14ac:dyDescent="0.25">
      <c r="A3" s="132"/>
      <c r="B3" s="132"/>
      <c r="C3" s="132"/>
      <c r="D3" s="132"/>
      <c r="E3" s="132"/>
      <c r="F3" s="605" t="s">
        <v>1347</v>
      </c>
      <c r="G3" s="605"/>
    </row>
    <row r="4" spans="1:8" s="131" customFormat="1" ht="15.75" x14ac:dyDescent="0.25">
      <c r="A4" s="132"/>
      <c r="B4" s="132"/>
      <c r="C4" s="132"/>
      <c r="D4" s="132"/>
      <c r="E4" s="132"/>
      <c r="F4" s="41"/>
      <c r="G4" s="184"/>
      <c r="H4" s="132"/>
    </row>
    <row r="5" spans="1:8" ht="38.25" customHeight="1" x14ac:dyDescent="0.25">
      <c r="A5" s="591" t="s">
        <v>1159</v>
      </c>
      <c r="B5" s="591"/>
      <c r="C5" s="591"/>
      <c r="D5" s="591"/>
      <c r="E5" s="591"/>
      <c r="F5" s="591"/>
      <c r="G5" s="591"/>
    </row>
    <row r="6" spans="1:8" ht="16.5" x14ac:dyDescent="0.25">
      <c r="A6" s="164"/>
      <c r="B6" s="164"/>
      <c r="C6" s="164"/>
      <c r="D6" s="164"/>
      <c r="E6" s="164"/>
      <c r="F6" s="164"/>
    </row>
    <row r="7" spans="1:8" ht="15.75" x14ac:dyDescent="0.25">
      <c r="A7" s="41"/>
      <c r="B7" s="41"/>
      <c r="C7" s="41"/>
      <c r="D7" s="41"/>
      <c r="E7" s="43"/>
      <c r="F7" s="43"/>
      <c r="G7" s="185" t="s">
        <v>1</v>
      </c>
    </row>
    <row r="8" spans="1:8" ht="31.5" x14ac:dyDescent="0.25">
      <c r="A8" s="44" t="s">
        <v>295</v>
      </c>
      <c r="B8" s="44" t="s">
        <v>297</v>
      </c>
      <c r="C8" s="44" t="s">
        <v>298</v>
      </c>
      <c r="D8" s="44" t="s">
        <v>299</v>
      </c>
      <c r="E8" s="44" t="s">
        <v>300</v>
      </c>
      <c r="F8" s="44" t="s">
        <v>301</v>
      </c>
      <c r="G8" s="260" t="s">
        <v>590</v>
      </c>
    </row>
    <row r="9" spans="1:8" ht="47.25" x14ac:dyDescent="0.25">
      <c r="A9" s="37" t="s">
        <v>888</v>
      </c>
      <c r="B9" s="7" t="s">
        <v>259</v>
      </c>
      <c r="C9" s="7"/>
      <c r="D9" s="7"/>
      <c r="E9" s="7"/>
      <c r="F9" s="7"/>
      <c r="G9" s="4">
        <f>G10+G17</f>
        <v>3071.6000000000004</v>
      </c>
      <c r="H9" s="132">
        <v>4766.6000000000004</v>
      </c>
    </row>
    <row r="10" spans="1:8" s="131" customFormat="1" ht="31.5" hidden="1" x14ac:dyDescent="0.25">
      <c r="A10" s="26" t="s">
        <v>562</v>
      </c>
      <c r="B10" s="7" t="s">
        <v>523</v>
      </c>
      <c r="C10" s="28"/>
      <c r="D10" s="28"/>
      <c r="E10" s="28"/>
      <c r="F10" s="28"/>
      <c r="G10" s="6">
        <f>G13</f>
        <v>0</v>
      </c>
      <c r="H10" s="132"/>
    </row>
    <row r="11" spans="1:8" ht="15.75" hidden="1" x14ac:dyDescent="0.25">
      <c r="A11" s="22" t="s">
        <v>166</v>
      </c>
      <c r="B11" s="28" t="s">
        <v>523</v>
      </c>
      <c r="C11" s="28" t="s">
        <v>139</v>
      </c>
      <c r="D11" s="28"/>
      <c r="E11" s="28"/>
      <c r="F11" s="28"/>
      <c r="G11" s="6">
        <f t="shared" ref="G11" si="0">G12</f>
        <v>0</v>
      </c>
    </row>
    <row r="12" spans="1:8" ht="15.75" hidden="1" x14ac:dyDescent="0.25">
      <c r="A12" s="22" t="s">
        <v>258</v>
      </c>
      <c r="B12" s="28" t="s">
        <v>523</v>
      </c>
      <c r="C12" s="28" t="s">
        <v>139</v>
      </c>
      <c r="D12" s="28" t="s">
        <v>161</v>
      </c>
      <c r="E12" s="28"/>
      <c r="F12" s="28"/>
      <c r="G12" s="6">
        <f>G13</f>
        <v>0</v>
      </c>
    </row>
    <row r="13" spans="1:8" s="131" customFormat="1" ht="15.75" hidden="1" x14ac:dyDescent="0.25">
      <c r="A13" s="22" t="s">
        <v>564</v>
      </c>
      <c r="B13" s="28" t="s">
        <v>563</v>
      </c>
      <c r="C13" s="28" t="s">
        <v>139</v>
      </c>
      <c r="D13" s="28" t="s">
        <v>161</v>
      </c>
      <c r="E13" s="28"/>
      <c r="F13" s="28"/>
      <c r="G13" s="6">
        <f>G14</f>
        <v>0</v>
      </c>
      <c r="H13" s="132"/>
    </row>
    <row r="14" spans="1:8" s="131" customFormat="1" ht="31.5" hidden="1" x14ac:dyDescent="0.25">
      <c r="A14" s="19" t="s">
        <v>123</v>
      </c>
      <c r="B14" s="28" t="s">
        <v>563</v>
      </c>
      <c r="C14" s="28" t="s">
        <v>139</v>
      </c>
      <c r="D14" s="28" t="s">
        <v>161</v>
      </c>
      <c r="E14" s="28" t="s">
        <v>124</v>
      </c>
      <c r="F14" s="28"/>
      <c r="G14" s="6">
        <f>G15</f>
        <v>0</v>
      </c>
      <c r="H14" s="132"/>
    </row>
    <row r="15" spans="1:8" s="131" customFormat="1" ht="31.5" hidden="1" x14ac:dyDescent="0.25">
      <c r="A15" s="19" t="s">
        <v>125</v>
      </c>
      <c r="B15" s="28" t="s">
        <v>563</v>
      </c>
      <c r="C15" s="28" t="s">
        <v>139</v>
      </c>
      <c r="D15" s="28" t="s">
        <v>161</v>
      </c>
      <c r="E15" s="28" t="s">
        <v>126</v>
      </c>
      <c r="F15" s="28"/>
      <c r="G15" s="6">
        <f>'Пр.4 ведом.22'!G986</f>
        <v>0</v>
      </c>
      <c r="H15" s="132"/>
    </row>
    <row r="16" spans="1:8" s="131" customFormat="1" ht="40.700000000000003" hidden="1" customHeight="1" x14ac:dyDescent="0.25">
      <c r="A16" s="31" t="s">
        <v>302</v>
      </c>
      <c r="B16" s="28" t="s">
        <v>563</v>
      </c>
      <c r="C16" s="28" t="s">
        <v>139</v>
      </c>
      <c r="D16" s="28" t="s">
        <v>161</v>
      </c>
      <c r="E16" s="28" t="s">
        <v>126</v>
      </c>
      <c r="F16" s="28" t="s">
        <v>303</v>
      </c>
      <c r="G16" s="6">
        <f>G15</f>
        <v>0</v>
      </c>
      <c r="H16" s="132"/>
    </row>
    <row r="17" spans="1:9" s="131" customFormat="1" ht="31.5" x14ac:dyDescent="0.25">
      <c r="A17" s="26" t="s">
        <v>618</v>
      </c>
      <c r="B17" s="18" t="s">
        <v>524</v>
      </c>
      <c r="C17" s="28"/>
      <c r="D17" s="28"/>
      <c r="E17" s="28"/>
      <c r="F17" s="28"/>
      <c r="G17" s="4">
        <f>G18</f>
        <v>3071.6000000000004</v>
      </c>
      <c r="H17" s="132"/>
    </row>
    <row r="18" spans="1:9" s="131" customFormat="1" ht="15.75" x14ac:dyDescent="0.25">
      <c r="A18" s="22" t="s">
        <v>166</v>
      </c>
      <c r="B18" s="28" t="s">
        <v>524</v>
      </c>
      <c r="C18" s="28" t="s">
        <v>139</v>
      </c>
      <c r="D18" s="28"/>
      <c r="E18" s="28"/>
      <c r="F18" s="28"/>
      <c r="G18" s="6">
        <f>G19</f>
        <v>3071.6000000000004</v>
      </c>
      <c r="H18" s="132"/>
    </row>
    <row r="19" spans="1:9" s="131" customFormat="1" ht="15.75" x14ac:dyDescent="0.25">
      <c r="A19" s="22" t="s">
        <v>258</v>
      </c>
      <c r="B19" s="28" t="s">
        <v>524</v>
      </c>
      <c r="C19" s="28" t="s">
        <v>139</v>
      </c>
      <c r="D19" s="28" t="s">
        <v>161</v>
      </c>
      <c r="E19" s="28"/>
      <c r="F19" s="28"/>
      <c r="G19" s="6">
        <f>G20</f>
        <v>3071.6000000000004</v>
      </c>
      <c r="H19" s="132"/>
    </row>
    <row r="20" spans="1:9" ht="15.75" x14ac:dyDescent="0.25">
      <c r="A20" s="22" t="s">
        <v>260</v>
      </c>
      <c r="B20" s="28" t="s">
        <v>565</v>
      </c>
      <c r="C20" s="28" t="s">
        <v>139</v>
      </c>
      <c r="D20" s="28" t="s">
        <v>161</v>
      </c>
      <c r="E20" s="28"/>
      <c r="F20" s="28"/>
      <c r="G20" s="6">
        <f>G24+G27+G22</f>
        <v>3071.6000000000004</v>
      </c>
    </row>
    <row r="21" spans="1:9" s="131" customFormat="1" ht="78.75" x14ac:dyDescent="0.25">
      <c r="A21" s="19" t="s">
        <v>119</v>
      </c>
      <c r="B21" s="28" t="s">
        <v>565</v>
      </c>
      <c r="C21" s="28" t="s">
        <v>139</v>
      </c>
      <c r="D21" s="28" t="s">
        <v>161</v>
      </c>
      <c r="E21" s="28" t="s">
        <v>120</v>
      </c>
      <c r="F21" s="28"/>
      <c r="G21" s="6">
        <f>G22</f>
        <v>1907.4</v>
      </c>
      <c r="H21" s="132"/>
    </row>
    <row r="22" spans="1:9" s="131" customFormat="1" ht="15.75" x14ac:dyDescent="0.25">
      <c r="A22" s="19" t="s">
        <v>212</v>
      </c>
      <c r="B22" s="28" t="s">
        <v>565</v>
      </c>
      <c r="C22" s="28" t="s">
        <v>139</v>
      </c>
      <c r="D22" s="28" t="s">
        <v>161</v>
      </c>
      <c r="E22" s="28" t="s">
        <v>156</v>
      </c>
      <c r="F22" s="28"/>
      <c r="G22" s="6">
        <f>'Пр.4 ведом.22'!G990</f>
        <v>1907.4</v>
      </c>
      <c r="H22" s="132"/>
    </row>
    <row r="23" spans="1:9" s="131" customFormat="1" ht="31.5" x14ac:dyDescent="0.25">
      <c r="A23" s="31" t="s">
        <v>302</v>
      </c>
      <c r="B23" s="28" t="s">
        <v>565</v>
      </c>
      <c r="C23" s="28" t="s">
        <v>139</v>
      </c>
      <c r="D23" s="28" t="s">
        <v>161</v>
      </c>
      <c r="E23" s="28" t="s">
        <v>156</v>
      </c>
      <c r="F23" s="28" t="s">
        <v>303</v>
      </c>
      <c r="G23" s="6">
        <f>G22</f>
        <v>1907.4</v>
      </c>
      <c r="H23" s="132"/>
    </row>
    <row r="24" spans="1:9" ht="31.5" x14ac:dyDescent="0.25">
      <c r="A24" s="22" t="s">
        <v>123</v>
      </c>
      <c r="B24" s="28" t="s">
        <v>565</v>
      </c>
      <c r="C24" s="28" t="s">
        <v>139</v>
      </c>
      <c r="D24" s="28" t="s">
        <v>161</v>
      </c>
      <c r="E24" s="28" t="s">
        <v>124</v>
      </c>
      <c r="F24" s="28"/>
      <c r="G24" s="6">
        <f t="shared" ref="G24" si="1">G25</f>
        <v>1164.2</v>
      </c>
    </row>
    <row r="25" spans="1:9" ht="31.5" x14ac:dyDescent="0.25">
      <c r="A25" s="22" t="s">
        <v>125</v>
      </c>
      <c r="B25" s="28" t="s">
        <v>565</v>
      </c>
      <c r="C25" s="28" t="s">
        <v>139</v>
      </c>
      <c r="D25" s="28" t="s">
        <v>161</v>
      </c>
      <c r="E25" s="28" t="s">
        <v>126</v>
      </c>
      <c r="F25" s="28"/>
      <c r="G25" s="6">
        <f>'Пр.4 ведом.22'!G992</f>
        <v>1164.2</v>
      </c>
    </row>
    <row r="26" spans="1:9" s="131" customFormat="1" ht="31.5" x14ac:dyDescent="0.25">
      <c r="A26" s="31" t="s">
        <v>302</v>
      </c>
      <c r="B26" s="28" t="s">
        <v>565</v>
      </c>
      <c r="C26" s="28" t="s">
        <v>139</v>
      </c>
      <c r="D26" s="28" t="s">
        <v>161</v>
      </c>
      <c r="E26" s="28" t="s">
        <v>126</v>
      </c>
      <c r="F26" s="28" t="s">
        <v>303</v>
      </c>
      <c r="G26" s="6">
        <f>G25</f>
        <v>1164.2</v>
      </c>
      <c r="H26" s="132"/>
    </row>
    <row r="27" spans="1:9" ht="15.75" hidden="1" x14ac:dyDescent="0.25">
      <c r="A27" s="19" t="s">
        <v>127</v>
      </c>
      <c r="B27" s="28" t="s">
        <v>565</v>
      </c>
      <c r="C27" s="28" t="s">
        <v>139</v>
      </c>
      <c r="D27" s="28" t="s">
        <v>161</v>
      </c>
      <c r="E27" s="28" t="s">
        <v>134</v>
      </c>
      <c r="F27" s="28"/>
      <c r="G27" s="6">
        <f t="shared" ref="G27" si="2">G28</f>
        <v>0</v>
      </c>
    </row>
    <row r="28" spans="1:9" ht="15.75" hidden="1" x14ac:dyDescent="0.25">
      <c r="A28" s="19" t="s">
        <v>129</v>
      </c>
      <c r="B28" s="28" t="s">
        <v>565</v>
      </c>
      <c r="C28" s="28" t="s">
        <v>139</v>
      </c>
      <c r="D28" s="28" t="s">
        <v>161</v>
      </c>
      <c r="E28" s="28" t="s">
        <v>130</v>
      </c>
      <c r="F28" s="28"/>
      <c r="G28" s="6">
        <f>'Пр.4 ведом.22'!G994</f>
        <v>0</v>
      </c>
    </row>
    <row r="29" spans="1:9" ht="31.5" hidden="1" x14ac:dyDescent="0.25">
      <c r="A29" s="31" t="s">
        <v>302</v>
      </c>
      <c r="B29" s="28" t="s">
        <v>565</v>
      </c>
      <c r="C29" s="28" t="s">
        <v>139</v>
      </c>
      <c r="D29" s="28" t="s">
        <v>161</v>
      </c>
      <c r="E29" s="28" t="s">
        <v>130</v>
      </c>
      <c r="F29" s="28" t="s">
        <v>303</v>
      </c>
      <c r="G29" s="6">
        <f>G28</f>
        <v>0</v>
      </c>
    </row>
    <row r="30" spans="1:9" ht="47.25" x14ac:dyDescent="0.25">
      <c r="A30" s="37" t="s">
        <v>889</v>
      </c>
      <c r="B30" s="7" t="s">
        <v>213</v>
      </c>
      <c r="C30" s="7"/>
      <c r="D30" s="7"/>
      <c r="E30" s="7"/>
      <c r="F30" s="7"/>
      <c r="G30" s="38">
        <f>G31+G60+G68+G97+G113</f>
        <v>3608.3199999999997</v>
      </c>
      <c r="H30" s="132">
        <v>4043</v>
      </c>
      <c r="I30" s="16">
        <f>H30-G30</f>
        <v>434.68000000000029</v>
      </c>
    </row>
    <row r="31" spans="1:9" ht="31.5" x14ac:dyDescent="0.25">
      <c r="A31" s="37" t="s">
        <v>304</v>
      </c>
      <c r="B31" s="7" t="s">
        <v>215</v>
      </c>
      <c r="C31" s="7"/>
      <c r="D31" s="7"/>
      <c r="E31" s="7"/>
      <c r="F31" s="7"/>
      <c r="G31" s="38">
        <f>G33+G43+G53</f>
        <v>760.1</v>
      </c>
    </row>
    <row r="32" spans="1:9" s="131" customFormat="1" ht="47.25" x14ac:dyDescent="0.25">
      <c r="A32" s="137" t="s">
        <v>591</v>
      </c>
      <c r="B32" s="18" t="s">
        <v>465</v>
      </c>
      <c r="C32" s="7"/>
      <c r="D32" s="7"/>
      <c r="E32" s="28"/>
      <c r="F32" s="28"/>
      <c r="G32" s="38">
        <f>G33</f>
        <v>280</v>
      </c>
      <c r="H32" s="132"/>
    </row>
    <row r="33" spans="1:8" ht="15.75" x14ac:dyDescent="0.25">
      <c r="A33" s="31" t="s">
        <v>186</v>
      </c>
      <c r="B33" s="28" t="s">
        <v>465</v>
      </c>
      <c r="C33" s="28" t="s">
        <v>187</v>
      </c>
      <c r="D33" s="28"/>
      <c r="E33" s="28"/>
      <c r="F33" s="28"/>
      <c r="G33" s="10">
        <f t="shared" ref="G33" si="3">G34</f>
        <v>280</v>
      </c>
    </row>
    <row r="34" spans="1:8" ht="15.75" x14ac:dyDescent="0.25">
      <c r="A34" s="31" t="s">
        <v>246</v>
      </c>
      <c r="B34" s="28" t="s">
        <v>465</v>
      </c>
      <c r="C34" s="28" t="s">
        <v>187</v>
      </c>
      <c r="D34" s="28" t="s">
        <v>187</v>
      </c>
      <c r="E34" s="28"/>
      <c r="F34" s="28"/>
      <c r="G34" s="10">
        <f>G35+G39</f>
        <v>280</v>
      </c>
    </row>
    <row r="35" spans="1:8" s="131" customFormat="1" ht="31.5" x14ac:dyDescent="0.25">
      <c r="A35" s="70" t="s">
        <v>597</v>
      </c>
      <c r="B35" s="15" t="s">
        <v>466</v>
      </c>
      <c r="C35" s="28" t="s">
        <v>187</v>
      </c>
      <c r="D35" s="28" t="s">
        <v>187</v>
      </c>
      <c r="E35" s="28"/>
      <c r="F35" s="28"/>
      <c r="G35" s="10">
        <f>G36</f>
        <v>280</v>
      </c>
      <c r="H35" s="132"/>
    </row>
    <row r="36" spans="1:8" s="131" customFormat="1" ht="78.75" x14ac:dyDescent="0.25">
      <c r="A36" s="19" t="s">
        <v>119</v>
      </c>
      <c r="B36" s="15" t="s">
        <v>466</v>
      </c>
      <c r="C36" s="28" t="s">
        <v>187</v>
      </c>
      <c r="D36" s="28" t="s">
        <v>187</v>
      </c>
      <c r="E36" s="28" t="s">
        <v>120</v>
      </c>
      <c r="F36" s="28"/>
      <c r="G36" s="10">
        <f>G37</f>
        <v>280</v>
      </c>
      <c r="H36" s="132"/>
    </row>
    <row r="37" spans="1:8" s="131" customFormat="1" ht="15.75" x14ac:dyDescent="0.25">
      <c r="A37" s="19" t="s">
        <v>212</v>
      </c>
      <c r="B37" s="15" t="s">
        <v>466</v>
      </c>
      <c r="C37" s="28" t="s">
        <v>187</v>
      </c>
      <c r="D37" s="28" t="s">
        <v>187</v>
      </c>
      <c r="E37" s="28" t="s">
        <v>156</v>
      </c>
      <c r="F37" s="28"/>
      <c r="G37" s="10">
        <f>'Пр.4 ведом.22'!G352</f>
        <v>280</v>
      </c>
      <c r="H37" s="132"/>
    </row>
    <row r="38" spans="1:8" s="131" customFormat="1" ht="47.25" x14ac:dyDescent="0.25">
      <c r="A38" s="31" t="s">
        <v>185</v>
      </c>
      <c r="B38" s="15" t="s">
        <v>466</v>
      </c>
      <c r="C38" s="28" t="s">
        <v>187</v>
      </c>
      <c r="D38" s="28" t="s">
        <v>187</v>
      </c>
      <c r="E38" s="28" t="s">
        <v>156</v>
      </c>
      <c r="F38" s="28" t="s">
        <v>305</v>
      </c>
      <c r="G38" s="6">
        <f>G37</f>
        <v>280</v>
      </c>
      <c r="H38" s="132"/>
    </row>
    <row r="39" spans="1:8" s="131" customFormat="1" ht="15.75" hidden="1" x14ac:dyDescent="0.25">
      <c r="A39" s="19" t="s">
        <v>592</v>
      </c>
      <c r="B39" s="15" t="s">
        <v>607</v>
      </c>
      <c r="C39" s="28" t="s">
        <v>187</v>
      </c>
      <c r="D39" s="28" t="s">
        <v>187</v>
      </c>
      <c r="E39" s="28"/>
      <c r="F39" s="28"/>
      <c r="G39" s="10">
        <f>G40</f>
        <v>0</v>
      </c>
      <c r="H39" s="132"/>
    </row>
    <row r="40" spans="1:8" s="131" customFormat="1" ht="31.5" hidden="1" x14ac:dyDescent="0.25">
      <c r="A40" s="19" t="s">
        <v>123</v>
      </c>
      <c r="B40" s="15" t="s">
        <v>607</v>
      </c>
      <c r="C40" s="28" t="s">
        <v>187</v>
      </c>
      <c r="D40" s="28" t="s">
        <v>187</v>
      </c>
      <c r="E40" s="28" t="s">
        <v>124</v>
      </c>
      <c r="F40" s="28"/>
      <c r="G40" s="10">
        <f>G41</f>
        <v>0</v>
      </c>
      <c r="H40" s="132"/>
    </row>
    <row r="41" spans="1:8" s="131" customFormat="1" ht="31.5" hidden="1" x14ac:dyDescent="0.25">
      <c r="A41" s="19" t="s">
        <v>125</v>
      </c>
      <c r="B41" s="15" t="s">
        <v>607</v>
      </c>
      <c r="C41" s="28" t="s">
        <v>187</v>
      </c>
      <c r="D41" s="28" t="s">
        <v>187</v>
      </c>
      <c r="E41" s="28" t="s">
        <v>126</v>
      </c>
      <c r="F41" s="28"/>
      <c r="G41" s="10">
        <f>'Пр.3 Рд,пр, ЦС,ВР 22'!F752</f>
        <v>0</v>
      </c>
      <c r="H41" s="132"/>
    </row>
    <row r="42" spans="1:8" s="131" customFormat="1" ht="47.25" hidden="1" x14ac:dyDescent="0.25">
      <c r="A42" s="31" t="s">
        <v>185</v>
      </c>
      <c r="B42" s="15" t="s">
        <v>607</v>
      </c>
      <c r="C42" s="28" t="s">
        <v>187</v>
      </c>
      <c r="D42" s="28" t="s">
        <v>187</v>
      </c>
      <c r="E42" s="28" t="s">
        <v>126</v>
      </c>
      <c r="F42" s="28" t="s">
        <v>305</v>
      </c>
      <c r="G42" s="6">
        <f>G41</f>
        <v>0</v>
      </c>
      <c r="H42" s="132"/>
    </row>
    <row r="43" spans="1:8" s="131" customFormat="1" ht="63" x14ac:dyDescent="0.25">
      <c r="A43" s="17" t="s">
        <v>593</v>
      </c>
      <c r="B43" s="18" t="s">
        <v>467</v>
      </c>
      <c r="C43" s="28"/>
      <c r="D43" s="28"/>
      <c r="E43" s="28"/>
      <c r="F43" s="28"/>
      <c r="G43" s="38">
        <f>G44</f>
        <v>455.1</v>
      </c>
      <c r="H43" s="132"/>
    </row>
    <row r="44" spans="1:8" s="131" customFormat="1" ht="15.75" x14ac:dyDescent="0.25">
      <c r="A44" s="31" t="s">
        <v>186</v>
      </c>
      <c r="B44" s="28" t="s">
        <v>467</v>
      </c>
      <c r="C44" s="28" t="s">
        <v>187</v>
      </c>
      <c r="D44" s="28"/>
      <c r="E44" s="28"/>
      <c r="F44" s="28"/>
      <c r="G44" s="10">
        <f>G45</f>
        <v>455.1</v>
      </c>
      <c r="H44" s="132"/>
    </row>
    <row r="45" spans="1:8" s="131" customFormat="1" ht="15.75" x14ac:dyDescent="0.25">
      <c r="A45" s="31" t="s">
        <v>246</v>
      </c>
      <c r="B45" s="28" t="s">
        <v>467</v>
      </c>
      <c r="C45" s="28" t="s">
        <v>187</v>
      </c>
      <c r="D45" s="28" t="s">
        <v>187</v>
      </c>
      <c r="E45" s="28"/>
      <c r="F45" s="28"/>
      <c r="G45" s="10">
        <f>G46+G50</f>
        <v>455.1</v>
      </c>
      <c r="H45" s="132"/>
    </row>
    <row r="46" spans="1:8" ht="15.75" x14ac:dyDescent="0.25">
      <c r="A46" s="19" t="s">
        <v>594</v>
      </c>
      <c r="B46" s="15" t="s">
        <v>472</v>
      </c>
      <c r="C46" s="28" t="s">
        <v>187</v>
      </c>
      <c r="D46" s="28" t="s">
        <v>187</v>
      </c>
      <c r="E46" s="28"/>
      <c r="F46" s="28"/>
      <c r="G46" s="10">
        <f>G47</f>
        <v>40.1</v>
      </c>
    </row>
    <row r="47" spans="1:8" ht="78.75" x14ac:dyDescent="0.25">
      <c r="A47" s="19" t="s">
        <v>119</v>
      </c>
      <c r="B47" s="15" t="s">
        <v>472</v>
      </c>
      <c r="C47" s="28" t="s">
        <v>187</v>
      </c>
      <c r="D47" s="28" t="s">
        <v>187</v>
      </c>
      <c r="E47" s="28" t="s">
        <v>120</v>
      </c>
      <c r="F47" s="28"/>
      <c r="G47" s="10">
        <f t="shared" ref="G47" si="4">G48</f>
        <v>40.1</v>
      </c>
    </row>
    <row r="48" spans="1:8" ht="15.75" x14ac:dyDescent="0.25">
      <c r="A48" s="19" t="s">
        <v>212</v>
      </c>
      <c r="B48" s="15" t="s">
        <v>472</v>
      </c>
      <c r="C48" s="28" t="s">
        <v>187</v>
      </c>
      <c r="D48" s="28" t="s">
        <v>187</v>
      </c>
      <c r="E48" s="28" t="s">
        <v>156</v>
      </c>
      <c r="F48" s="28"/>
      <c r="G48" s="10">
        <f>'Пр.4 ведом.22'!G359</f>
        <v>40.1</v>
      </c>
    </row>
    <row r="49" spans="1:8" s="131" customFormat="1" ht="47.25" x14ac:dyDescent="0.25">
      <c r="A49" s="31" t="s">
        <v>185</v>
      </c>
      <c r="B49" s="15" t="s">
        <v>472</v>
      </c>
      <c r="C49" s="28" t="s">
        <v>187</v>
      </c>
      <c r="D49" s="28" t="s">
        <v>187</v>
      </c>
      <c r="E49" s="28" t="s">
        <v>156</v>
      </c>
      <c r="F49" s="28" t="s">
        <v>305</v>
      </c>
      <c r="G49" s="6">
        <f>G48</f>
        <v>40.1</v>
      </c>
      <c r="H49" s="132"/>
    </row>
    <row r="50" spans="1:8" ht="31.5" x14ac:dyDescent="0.25">
      <c r="A50" s="19" t="s">
        <v>123</v>
      </c>
      <c r="B50" s="15" t="s">
        <v>472</v>
      </c>
      <c r="C50" s="28" t="s">
        <v>187</v>
      </c>
      <c r="D50" s="28" t="s">
        <v>187</v>
      </c>
      <c r="E50" s="28" t="s">
        <v>124</v>
      </c>
      <c r="F50" s="28"/>
      <c r="G50" s="10">
        <f t="shared" ref="G50" si="5">G51</f>
        <v>415</v>
      </c>
    </row>
    <row r="51" spans="1:8" ht="31.5" x14ac:dyDescent="0.25">
      <c r="A51" s="19" t="s">
        <v>125</v>
      </c>
      <c r="B51" s="15" t="s">
        <v>472</v>
      </c>
      <c r="C51" s="28" t="s">
        <v>187</v>
      </c>
      <c r="D51" s="28" t="s">
        <v>187</v>
      </c>
      <c r="E51" s="28" t="s">
        <v>126</v>
      </c>
      <c r="F51" s="28"/>
      <c r="G51" s="6">
        <f>'Пр.4 ведом.22'!G361</f>
        <v>415</v>
      </c>
    </row>
    <row r="52" spans="1:8" s="131" customFormat="1" ht="47.25" x14ac:dyDescent="0.25">
      <c r="A52" s="31" t="s">
        <v>185</v>
      </c>
      <c r="B52" s="15" t="s">
        <v>472</v>
      </c>
      <c r="C52" s="28" t="s">
        <v>187</v>
      </c>
      <c r="D52" s="28" t="s">
        <v>187</v>
      </c>
      <c r="E52" s="28" t="s">
        <v>126</v>
      </c>
      <c r="F52" s="28" t="s">
        <v>305</v>
      </c>
      <c r="G52" s="6">
        <f>G51</f>
        <v>415</v>
      </c>
      <c r="H52" s="132"/>
    </row>
    <row r="53" spans="1:8" ht="33" customHeight="1" x14ac:dyDescent="0.25">
      <c r="A53" s="17" t="s">
        <v>599</v>
      </c>
      <c r="B53" s="18" t="s">
        <v>595</v>
      </c>
      <c r="C53" s="28"/>
      <c r="D53" s="28"/>
      <c r="E53" s="28"/>
      <c r="F53" s="28"/>
      <c r="G53" s="4">
        <f>G56</f>
        <v>25</v>
      </c>
    </row>
    <row r="54" spans="1:8" s="131" customFormat="1" ht="16.5" customHeight="1" x14ac:dyDescent="0.25">
      <c r="A54" s="31" t="s">
        <v>186</v>
      </c>
      <c r="B54" s="28" t="s">
        <v>595</v>
      </c>
      <c r="C54" s="28" t="s">
        <v>187</v>
      </c>
      <c r="D54" s="28"/>
      <c r="E54" s="28"/>
      <c r="F54" s="28"/>
      <c r="G54" s="10">
        <f>G55</f>
        <v>25</v>
      </c>
      <c r="H54" s="132"/>
    </row>
    <row r="55" spans="1:8" s="131" customFormat="1" ht="18.75" customHeight="1" x14ac:dyDescent="0.25">
      <c r="A55" s="31" t="s">
        <v>246</v>
      </c>
      <c r="B55" s="28" t="s">
        <v>595</v>
      </c>
      <c r="C55" s="28" t="s">
        <v>187</v>
      </c>
      <c r="D55" s="28" t="s">
        <v>187</v>
      </c>
      <c r="E55" s="28"/>
      <c r="F55" s="28"/>
      <c r="G55" s="10">
        <f>G56</f>
        <v>25</v>
      </c>
      <c r="H55" s="132"/>
    </row>
    <row r="56" spans="1:8" ht="47.25" x14ac:dyDescent="0.25">
      <c r="A56" s="155" t="s">
        <v>596</v>
      </c>
      <c r="B56" s="15" t="s">
        <v>608</v>
      </c>
      <c r="C56" s="28" t="s">
        <v>187</v>
      </c>
      <c r="D56" s="28" t="s">
        <v>187</v>
      </c>
      <c r="E56" s="15"/>
      <c r="F56" s="28"/>
      <c r="G56" s="6">
        <f t="shared" ref="G56" si="6">G57</f>
        <v>25</v>
      </c>
    </row>
    <row r="57" spans="1:8" ht="15.75" x14ac:dyDescent="0.25">
      <c r="A57" s="19" t="s">
        <v>177</v>
      </c>
      <c r="B57" s="15" t="s">
        <v>608</v>
      </c>
      <c r="C57" s="28" t="s">
        <v>187</v>
      </c>
      <c r="D57" s="28" t="s">
        <v>187</v>
      </c>
      <c r="E57" s="15" t="s">
        <v>178</v>
      </c>
      <c r="F57" s="28"/>
      <c r="G57" s="6">
        <f>G58</f>
        <v>25</v>
      </c>
    </row>
    <row r="58" spans="1:8" ht="32.25" customHeight="1" x14ac:dyDescent="0.25">
      <c r="A58" s="19" t="s">
        <v>736</v>
      </c>
      <c r="B58" s="15" t="s">
        <v>608</v>
      </c>
      <c r="C58" s="28" t="s">
        <v>187</v>
      </c>
      <c r="D58" s="28" t="s">
        <v>187</v>
      </c>
      <c r="E58" s="15" t="s">
        <v>735</v>
      </c>
      <c r="F58" s="28"/>
      <c r="G58" s="10">
        <f>'Пр.4 ведом.22'!G365</f>
        <v>25</v>
      </c>
    </row>
    <row r="59" spans="1:8" s="131" customFormat="1" ht="47.25" x14ac:dyDescent="0.25">
      <c r="A59" s="31" t="s">
        <v>185</v>
      </c>
      <c r="B59" s="15" t="s">
        <v>608</v>
      </c>
      <c r="C59" s="28" t="s">
        <v>187</v>
      </c>
      <c r="D59" s="28" t="s">
        <v>187</v>
      </c>
      <c r="E59" s="28" t="s">
        <v>735</v>
      </c>
      <c r="F59" s="28" t="s">
        <v>305</v>
      </c>
      <c r="G59" s="6">
        <f>G58</f>
        <v>25</v>
      </c>
      <c r="H59" s="132"/>
    </row>
    <row r="60" spans="1:8" ht="31.5" x14ac:dyDescent="0.25">
      <c r="A60" s="37" t="s">
        <v>890</v>
      </c>
      <c r="B60" s="7" t="s">
        <v>219</v>
      </c>
      <c r="C60" s="7"/>
      <c r="D60" s="7"/>
      <c r="E60" s="7"/>
      <c r="F60" s="7"/>
      <c r="G60" s="38">
        <f>G61</f>
        <v>258.89999999999998</v>
      </c>
    </row>
    <row r="61" spans="1:8" s="131" customFormat="1" ht="31.5" x14ac:dyDescent="0.25">
      <c r="A61" s="17" t="s">
        <v>476</v>
      </c>
      <c r="B61" s="18" t="s">
        <v>475</v>
      </c>
      <c r="C61" s="7"/>
      <c r="D61" s="7"/>
      <c r="E61" s="7"/>
      <c r="F61" s="7"/>
      <c r="G61" s="38">
        <f>G62</f>
        <v>258.89999999999998</v>
      </c>
      <c r="H61" s="132"/>
    </row>
    <row r="62" spans="1:8" ht="15.75" x14ac:dyDescent="0.25">
      <c r="A62" s="31" t="s">
        <v>173</v>
      </c>
      <c r="B62" s="28" t="s">
        <v>475</v>
      </c>
      <c r="C62" s="28" t="s">
        <v>174</v>
      </c>
      <c r="D62" s="28"/>
      <c r="E62" s="28"/>
      <c r="F62" s="28"/>
      <c r="G62" s="10">
        <f t="shared" ref="G62:G65" si="7">G63</f>
        <v>258.89999999999998</v>
      </c>
    </row>
    <row r="63" spans="1:8" ht="15.75" x14ac:dyDescent="0.25">
      <c r="A63" s="31" t="s">
        <v>181</v>
      </c>
      <c r="B63" s="28" t="s">
        <v>475</v>
      </c>
      <c r="C63" s="28" t="s">
        <v>174</v>
      </c>
      <c r="D63" s="28" t="s">
        <v>159</v>
      </c>
      <c r="E63" s="28"/>
      <c r="F63" s="28"/>
      <c r="G63" s="10">
        <f>G64</f>
        <v>258.89999999999998</v>
      </c>
    </row>
    <row r="64" spans="1:8" ht="31.5" x14ac:dyDescent="0.25">
      <c r="A64" s="19" t="s">
        <v>401</v>
      </c>
      <c r="B64" s="15" t="s">
        <v>477</v>
      </c>
      <c r="C64" s="28" t="s">
        <v>174</v>
      </c>
      <c r="D64" s="28" t="s">
        <v>159</v>
      </c>
      <c r="E64" s="28"/>
      <c r="F64" s="28"/>
      <c r="G64" s="10">
        <f t="shared" si="7"/>
        <v>258.89999999999998</v>
      </c>
    </row>
    <row r="65" spans="1:8" ht="15.75" x14ac:dyDescent="0.25">
      <c r="A65" s="22" t="s">
        <v>177</v>
      </c>
      <c r="B65" s="15" t="s">
        <v>477</v>
      </c>
      <c r="C65" s="28" t="s">
        <v>174</v>
      </c>
      <c r="D65" s="28" t="s">
        <v>159</v>
      </c>
      <c r="E65" s="28" t="s">
        <v>178</v>
      </c>
      <c r="F65" s="28"/>
      <c r="G65" s="10">
        <f t="shared" si="7"/>
        <v>258.89999999999998</v>
      </c>
    </row>
    <row r="66" spans="1:8" ht="31.5" x14ac:dyDescent="0.25">
      <c r="A66" s="22" t="s">
        <v>179</v>
      </c>
      <c r="B66" s="15" t="s">
        <v>477</v>
      </c>
      <c r="C66" s="28" t="s">
        <v>174</v>
      </c>
      <c r="D66" s="28" t="s">
        <v>159</v>
      </c>
      <c r="E66" s="28" t="s">
        <v>180</v>
      </c>
      <c r="F66" s="28"/>
      <c r="G66" s="10">
        <f>'Пр.4 ведом.22'!G503</f>
        <v>258.89999999999998</v>
      </c>
    </row>
    <row r="67" spans="1:8" ht="47.25" x14ac:dyDescent="0.25">
      <c r="A67" s="31" t="s">
        <v>185</v>
      </c>
      <c r="B67" s="15" t="s">
        <v>477</v>
      </c>
      <c r="C67" s="28" t="s">
        <v>174</v>
      </c>
      <c r="D67" s="28" t="s">
        <v>159</v>
      </c>
      <c r="E67" s="28" t="s">
        <v>180</v>
      </c>
      <c r="F67" s="28" t="s">
        <v>305</v>
      </c>
      <c r="G67" s="10">
        <f t="shared" ref="G67" si="8">G60</f>
        <v>258.89999999999998</v>
      </c>
    </row>
    <row r="68" spans="1:8" s="131" customFormat="1" ht="54" customHeight="1" x14ac:dyDescent="0.25">
      <c r="A68" s="29" t="s">
        <v>891</v>
      </c>
      <c r="B68" s="7" t="s">
        <v>221</v>
      </c>
      <c r="C68" s="7"/>
      <c r="D68" s="7"/>
      <c r="E68" s="7"/>
      <c r="F68" s="7"/>
      <c r="G68" s="38">
        <f>G69+G76+G83+G90</f>
        <v>260</v>
      </c>
      <c r="H68" s="132"/>
    </row>
    <row r="69" spans="1:8" s="131" customFormat="1" ht="47.25" hidden="1" x14ac:dyDescent="0.25">
      <c r="A69" s="141" t="s">
        <v>604</v>
      </c>
      <c r="B69" s="18" t="s">
        <v>478</v>
      </c>
      <c r="C69" s="7"/>
      <c r="D69" s="7"/>
      <c r="E69" s="7"/>
      <c r="F69" s="7"/>
      <c r="G69" s="38">
        <f>G70</f>
        <v>0</v>
      </c>
      <c r="H69" s="132"/>
    </row>
    <row r="70" spans="1:8" s="131" customFormat="1" ht="15.75" hidden="1" x14ac:dyDescent="0.25">
      <c r="A70" s="31" t="s">
        <v>166</v>
      </c>
      <c r="B70" s="28" t="s">
        <v>478</v>
      </c>
      <c r="C70" s="28" t="s">
        <v>139</v>
      </c>
      <c r="D70" s="28"/>
      <c r="E70" s="28"/>
      <c r="F70" s="28"/>
      <c r="G70" s="10">
        <f>G71</f>
        <v>0</v>
      </c>
      <c r="H70" s="132"/>
    </row>
    <row r="71" spans="1:8" s="131" customFormat="1" ht="15.75" hidden="1" x14ac:dyDescent="0.25">
      <c r="A71" s="31" t="s">
        <v>170</v>
      </c>
      <c r="B71" s="28" t="s">
        <v>478</v>
      </c>
      <c r="C71" s="28" t="s">
        <v>139</v>
      </c>
      <c r="D71" s="28" t="s">
        <v>171</v>
      </c>
      <c r="E71" s="28"/>
      <c r="F71" s="28"/>
      <c r="G71" s="10">
        <f>G72</f>
        <v>0</v>
      </c>
      <c r="H71" s="132"/>
    </row>
    <row r="72" spans="1:8" s="131" customFormat="1" ht="47.25" hidden="1" x14ac:dyDescent="0.25">
      <c r="A72" s="19" t="s">
        <v>227</v>
      </c>
      <c r="B72" s="15" t="s">
        <v>824</v>
      </c>
      <c r="C72" s="28" t="s">
        <v>139</v>
      </c>
      <c r="D72" s="28" t="s">
        <v>171</v>
      </c>
      <c r="E72" s="28"/>
      <c r="F72" s="28"/>
      <c r="G72" s="10">
        <f>G73</f>
        <v>0</v>
      </c>
      <c r="H72" s="132"/>
    </row>
    <row r="73" spans="1:8" s="131" customFormat="1" ht="15.75" hidden="1" x14ac:dyDescent="0.25">
      <c r="A73" s="19" t="s">
        <v>177</v>
      </c>
      <c r="B73" s="15" t="s">
        <v>824</v>
      </c>
      <c r="C73" s="28" t="s">
        <v>139</v>
      </c>
      <c r="D73" s="28" t="s">
        <v>171</v>
      </c>
      <c r="E73" s="28" t="s">
        <v>178</v>
      </c>
      <c r="F73" s="28"/>
      <c r="G73" s="10">
        <f>G74</f>
        <v>0</v>
      </c>
      <c r="H73" s="132"/>
    </row>
    <row r="74" spans="1:8" s="131" customFormat="1" ht="31.5" hidden="1" x14ac:dyDescent="0.25">
      <c r="A74" s="19" t="s">
        <v>179</v>
      </c>
      <c r="B74" s="15" t="s">
        <v>824</v>
      </c>
      <c r="C74" s="28" t="s">
        <v>139</v>
      </c>
      <c r="D74" s="28" t="s">
        <v>171</v>
      </c>
      <c r="E74" s="28" t="s">
        <v>180</v>
      </c>
      <c r="F74" s="28"/>
      <c r="G74" s="10">
        <f>'Пр.4 ведом.22'!G289</f>
        <v>0</v>
      </c>
      <c r="H74" s="132"/>
    </row>
    <row r="75" spans="1:8" s="131" customFormat="1" ht="47.25" hidden="1" x14ac:dyDescent="0.25">
      <c r="A75" s="31" t="s">
        <v>185</v>
      </c>
      <c r="B75" s="15" t="s">
        <v>824</v>
      </c>
      <c r="C75" s="28" t="s">
        <v>139</v>
      </c>
      <c r="D75" s="28" t="s">
        <v>171</v>
      </c>
      <c r="E75" s="28" t="s">
        <v>180</v>
      </c>
      <c r="F75" s="28" t="s">
        <v>305</v>
      </c>
      <c r="G75" s="10">
        <f>G74</f>
        <v>0</v>
      </c>
      <c r="H75" s="132"/>
    </row>
    <row r="76" spans="1:8" s="131" customFormat="1" ht="31.5" x14ac:dyDescent="0.25">
      <c r="A76" s="17" t="s">
        <v>603</v>
      </c>
      <c r="B76" s="7" t="s">
        <v>739</v>
      </c>
      <c r="C76" s="7"/>
      <c r="D76" s="7"/>
      <c r="E76" s="7"/>
      <c r="F76" s="7"/>
      <c r="G76" s="38">
        <f>G77</f>
        <v>260</v>
      </c>
      <c r="H76" s="132"/>
    </row>
    <row r="77" spans="1:8" s="131" customFormat="1" ht="15.75" x14ac:dyDescent="0.25">
      <c r="A77" s="31" t="s">
        <v>166</v>
      </c>
      <c r="B77" s="28" t="s">
        <v>739</v>
      </c>
      <c r="C77" s="28" t="s">
        <v>139</v>
      </c>
      <c r="D77" s="28"/>
      <c r="E77" s="28"/>
      <c r="F77" s="28"/>
      <c r="G77" s="10">
        <f>G78</f>
        <v>260</v>
      </c>
      <c r="H77" s="132"/>
    </row>
    <row r="78" spans="1:8" s="131" customFormat="1" ht="15.75" x14ac:dyDescent="0.25">
      <c r="A78" s="31" t="s">
        <v>170</v>
      </c>
      <c r="B78" s="28" t="s">
        <v>739</v>
      </c>
      <c r="C78" s="28" t="s">
        <v>139</v>
      </c>
      <c r="D78" s="28" t="s">
        <v>171</v>
      </c>
      <c r="E78" s="28"/>
      <c r="F78" s="28"/>
      <c r="G78" s="10">
        <f>G79</f>
        <v>260</v>
      </c>
      <c r="H78" s="132"/>
    </row>
    <row r="79" spans="1:8" s="131" customFormat="1" ht="101.25" customHeight="1" x14ac:dyDescent="0.25">
      <c r="A79" s="19" t="s">
        <v>966</v>
      </c>
      <c r="B79" s="15" t="s">
        <v>740</v>
      </c>
      <c r="C79" s="28" t="s">
        <v>139</v>
      </c>
      <c r="D79" s="28" t="s">
        <v>171</v>
      </c>
      <c r="E79" s="28"/>
      <c r="F79" s="28"/>
      <c r="G79" s="10">
        <f>G80</f>
        <v>260</v>
      </c>
      <c r="H79" s="132"/>
    </row>
    <row r="80" spans="1:8" s="131" customFormat="1" ht="31.5" x14ac:dyDescent="0.25">
      <c r="A80" s="19" t="s">
        <v>191</v>
      </c>
      <c r="B80" s="15" t="s">
        <v>740</v>
      </c>
      <c r="C80" s="28" t="s">
        <v>139</v>
      </c>
      <c r="D80" s="28" t="s">
        <v>171</v>
      </c>
      <c r="E80" s="28" t="s">
        <v>192</v>
      </c>
      <c r="F80" s="28"/>
      <c r="G80" s="10">
        <f>G81</f>
        <v>260</v>
      </c>
      <c r="H80" s="132"/>
    </row>
    <row r="81" spans="1:8" s="131" customFormat="1" ht="63" x14ac:dyDescent="0.25">
      <c r="A81" s="19" t="s">
        <v>643</v>
      </c>
      <c r="B81" s="15" t="s">
        <v>740</v>
      </c>
      <c r="C81" s="28" t="s">
        <v>139</v>
      </c>
      <c r="D81" s="28" t="s">
        <v>171</v>
      </c>
      <c r="E81" s="28" t="s">
        <v>225</v>
      </c>
      <c r="F81" s="28"/>
      <c r="G81" s="10">
        <f>'Пр.4 ведом.22'!G293</f>
        <v>260</v>
      </c>
      <c r="H81" s="132"/>
    </row>
    <row r="82" spans="1:8" s="131" customFormat="1" ht="47.25" x14ac:dyDescent="0.25">
      <c r="A82" s="31" t="s">
        <v>185</v>
      </c>
      <c r="B82" s="15" t="s">
        <v>740</v>
      </c>
      <c r="C82" s="28" t="s">
        <v>139</v>
      </c>
      <c r="D82" s="28" t="s">
        <v>171</v>
      </c>
      <c r="E82" s="28" t="s">
        <v>225</v>
      </c>
      <c r="F82" s="28" t="s">
        <v>305</v>
      </c>
      <c r="G82" s="10">
        <f>G81</f>
        <v>260</v>
      </c>
      <c r="H82" s="132"/>
    </row>
    <row r="83" spans="1:8" s="131" customFormat="1" ht="31.5" hidden="1" x14ac:dyDescent="0.25">
      <c r="A83" s="17" t="s">
        <v>558</v>
      </c>
      <c r="B83" s="18" t="s">
        <v>821</v>
      </c>
      <c r="C83" s="7"/>
      <c r="D83" s="7"/>
      <c r="E83" s="7"/>
      <c r="F83" s="7"/>
      <c r="G83" s="38">
        <f>G84</f>
        <v>0</v>
      </c>
      <c r="H83" s="132"/>
    </row>
    <row r="84" spans="1:8" s="131" customFormat="1" ht="15.75" hidden="1" x14ac:dyDescent="0.25">
      <c r="A84" s="31" t="s">
        <v>166</v>
      </c>
      <c r="B84" s="28" t="s">
        <v>821</v>
      </c>
      <c r="C84" s="28" t="s">
        <v>139</v>
      </c>
      <c r="D84" s="28"/>
      <c r="E84" s="28"/>
      <c r="F84" s="28"/>
      <c r="G84" s="10">
        <f>G85</f>
        <v>0</v>
      </c>
      <c r="H84" s="132"/>
    </row>
    <row r="85" spans="1:8" s="131" customFormat="1" ht="15.75" hidden="1" x14ac:dyDescent="0.25">
      <c r="A85" s="31" t="s">
        <v>170</v>
      </c>
      <c r="B85" s="28" t="s">
        <v>821</v>
      </c>
      <c r="C85" s="28" t="s">
        <v>139</v>
      </c>
      <c r="D85" s="28" t="s">
        <v>171</v>
      </c>
      <c r="E85" s="28"/>
      <c r="F85" s="28"/>
      <c r="G85" s="10">
        <f>G86</f>
        <v>0</v>
      </c>
      <c r="H85" s="132"/>
    </row>
    <row r="86" spans="1:8" s="131" customFormat="1" ht="31.5" hidden="1" x14ac:dyDescent="0.25">
      <c r="A86" s="172" t="s">
        <v>605</v>
      </c>
      <c r="B86" s="15" t="s">
        <v>822</v>
      </c>
      <c r="C86" s="28" t="s">
        <v>139</v>
      </c>
      <c r="D86" s="28" t="s">
        <v>171</v>
      </c>
      <c r="E86" s="28"/>
      <c r="F86" s="28"/>
      <c r="G86" s="10">
        <f>G87</f>
        <v>0</v>
      </c>
      <c r="H86" s="132"/>
    </row>
    <row r="87" spans="1:8" s="131" customFormat="1" ht="31.5" hidden="1" x14ac:dyDescent="0.25">
      <c r="A87" s="19" t="s">
        <v>123</v>
      </c>
      <c r="B87" s="15" t="s">
        <v>822</v>
      </c>
      <c r="C87" s="28" t="s">
        <v>139</v>
      </c>
      <c r="D87" s="28" t="s">
        <v>171</v>
      </c>
      <c r="E87" s="28" t="s">
        <v>124</v>
      </c>
      <c r="F87" s="28"/>
      <c r="G87" s="10">
        <f>G88</f>
        <v>0</v>
      </c>
      <c r="H87" s="132"/>
    </row>
    <row r="88" spans="1:8" s="131" customFormat="1" ht="31.5" hidden="1" x14ac:dyDescent="0.25">
      <c r="A88" s="19" t="s">
        <v>125</v>
      </c>
      <c r="B88" s="15" t="s">
        <v>822</v>
      </c>
      <c r="C88" s="28" t="s">
        <v>139</v>
      </c>
      <c r="D88" s="28" t="s">
        <v>171</v>
      </c>
      <c r="E88" s="28" t="s">
        <v>126</v>
      </c>
      <c r="F88" s="28"/>
      <c r="G88" s="10">
        <f>'Пр.4 ведом.22'!G297</f>
        <v>0</v>
      </c>
      <c r="H88" s="132"/>
    </row>
    <row r="89" spans="1:8" s="131" customFormat="1" ht="47.25" hidden="1" x14ac:dyDescent="0.25">
      <c r="A89" s="31" t="s">
        <v>185</v>
      </c>
      <c r="B89" s="15" t="s">
        <v>822</v>
      </c>
      <c r="C89" s="28" t="s">
        <v>139</v>
      </c>
      <c r="D89" s="28" t="s">
        <v>171</v>
      </c>
      <c r="E89" s="28" t="s">
        <v>126</v>
      </c>
      <c r="F89" s="9" t="s">
        <v>305</v>
      </c>
      <c r="G89" s="10">
        <f>G88</f>
        <v>0</v>
      </c>
      <c r="H89" s="132"/>
    </row>
    <row r="90" spans="1:8" s="131" customFormat="1" ht="31.5" hidden="1" x14ac:dyDescent="0.25">
      <c r="A90" s="138" t="s">
        <v>656</v>
      </c>
      <c r="B90" s="18" t="s">
        <v>741</v>
      </c>
      <c r="C90" s="7"/>
      <c r="D90" s="7"/>
      <c r="E90" s="7"/>
      <c r="F90" s="7"/>
      <c r="G90" s="38">
        <f>G91</f>
        <v>0</v>
      </c>
      <c r="H90" s="132"/>
    </row>
    <row r="91" spans="1:8" s="131" customFormat="1" ht="15.75" hidden="1" x14ac:dyDescent="0.25">
      <c r="A91" s="31" t="s">
        <v>166</v>
      </c>
      <c r="B91" s="28" t="s">
        <v>741</v>
      </c>
      <c r="C91" s="28" t="s">
        <v>139</v>
      </c>
      <c r="D91" s="28"/>
      <c r="E91" s="28"/>
      <c r="F91" s="28"/>
      <c r="G91" s="10">
        <f>G92</f>
        <v>0</v>
      </c>
      <c r="H91" s="132"/>
    </row>
    <row r="92" spans="1:8" s="131" customFormat="1" ht="15.75" hidden="1" x14ac:dyDescent="0.25">
      <c r="A92" s="31" t="s">
        <v>170</v>
      </c>
      <c r="B92" s="28" t="s">
        <v>741</v>
      </c>
      <c r="C92" s="28" t="s">
        <v>139</v>
      </c>
      <c r="D92" s="28" t="s">
        <v>171</v>
      </c>
      <c r="E92" s="28"/>
      <c r="F92" s="28"/>
      <c r="G92" s="10">
        <f>G93</f>
        <v>0</v>
      </c>
      <c r="H92" s="132"/>
    </row>
    <row r="93" spans="1:8" s="131" customFormat="1" ht="31.5" hidden="1" x14ac:dyDescent="0.25">
      <c r="A93" s="155" t="s">
        <v>892</v>
      </c>
      <c r="B93" s="15" t="s">
        <v>742</v>
      </c>
      <c r="C93" s="28" t="s">
        <v>139</v>
      </c>
      <c r="D93" s="28" t="s">
        <v>171</v>
      </c>
      <c r="E93" s="28"/>
      <c r="F93" s="28"/>
      <c r="G93" s="10">
        <f>G94</f>
        <v>0</v>
      </c>
      <c r="H93" s="132"/>
    </row>
    <row r="94" spans="1:8" s="131" customFormat="1" ht="31.5" hidden="1" x14ac:dyDescent="0.25">
      <c r="A94" s="19" t="s">
        <v>123</v>
      </c>
      <c r="B94" s="15" t="s">
        <v>742</v>
      </c>
      <c r="C94" s="28" t="s">
        <v>139</v>
      </c>
      <c r="D94" s="28" t="s">
        <v>171</v>
      </c>
      <c r="E94" s="28" t="s">
        <v>124</v>
      </c>
      <c r="F94" s="28"/>
      <c r="G94" s="10">
        <f>G95</f>
        <v>0</v>
      </c>
      <c r="H94" s="132"/>
    </row>
    <row r="95" spans="1:8" s="131" customFormat="1" ht="31.5" hidden="1" x14ac:dyDescent="0.25">
      <c r="A95" s="19" t="s">
        <v>125</v>
      </c>
      <c r="B95" s="15" t="s">
        <v>742</v>
      </c>
      <c r="C95" s="28" t="s">
        <v>139</v>
      </c>
      <c r="D95" s="28" t="s">
        <v>171</v>
      </c>
      <c r="E95" s="28" t="s">
        <v>126</v>
      </c>
      <c r="F95" s="28"/>
      <c r="G95" s="10">
        <f>'Пр.4 ведом.22'!G301</f>
        <v>0</v>
      </c>
      <c r="H95" s="132"/>
    </row>
    <row r="96" spans="1:8" s="131" customFormat="1" ht="47.25" hidden="1" x14ac:dyDescent="0.25">
      <c r="A96" s="31" t="s">
        <v>185</v>
      </c>
      <c r="B96" s="15" t="s">
        <v>742</v>
      </c>
      <c r="C96" s="28" t="s">
        <v>139</v>
      </c>
      <c r="D96" s="28" t="s">
        <v>171</v>
      </c>
      <c r="E96" s="28" t="s">
        <v>126</v>
      </c>
      <c r="F96" s="9" t="s">
        <v>305</v>
      </c>
      <c r="G96" s="10">
        <f>G95</f>
        <v>0</v>
      </c>
      <c r="H96" s="132"/>
    </row>
    <row r="97" spans="1:8" s="131" customFormat="1" ht="78.75" x14ac:dyDescent="0.25">
      <c r="A97" s="29" t="s">
        <v>851</v>
      </c>
      <c r="B97" s="7" t="s">
        <v>222</v>
      </c>
      <c r="C97" s="7"/>
      <c r="D97" s="7"/>
      <c r="E97" s="7"/>
      <c r="F97" s="8"/>
      <c r="G97" s="38">
        <f>G98</f>
        <v>762.31999999999994</v>
      </c>
      <c r="H97" s="132"/>
    </row>
    <row r="98" spans="1:8" s="131" customFormat="1" ht="47.25" x14ac:dyDescent="0.25">
      <c r="A98" s="170" t="s">
        <v>606</v>
      </c>
      <c r="B98" s="7" t="s">
        <v>480</v>
      </c>
      <c r="C98" s="7"/>
      <c r="D98" s="7"/>
      <c r="E98" s="7"/>
      <c r="F98" s="8"/>
      <c r="G98" s="38">
        <f>G99</f>
        <v>762.31999999999994</v>
      </c>
      <c r="H98" s="132"/>
    </row>
    <row r="99" spans="1:8" s="131" customFormat="1" ht="15.75" x14ac:dyDescent="0.25">
      <c r="A99" s="31" t="s">
        <v>115</v>
      </c>
      <c r="B99" s="28" t="s">
        <v>480</v>
      </c>
      <c r="C99" s="28" t="s">
        <v>116</v>
      </c>
      <c r="D99" s="28"/>
      <c r="E99" s="28"/>
      <c r="F99" s="9"/>
      <c r="G99" s="10">
        <f t="shared" ref="G99:G102" si="9">G100</f>
        <v>762.31999999999994</v>
      </c>
      <c r="H99" s="132"/>
    </row>
    <row r="100" spans="1:8" s="131" customFormat="1" ht="15.75" x14ac:dyDescent="0.25">
      <c r="A100" s="31" t="s">
        <v>131</v>
      </c>
      <c r="B100" s="28" t="s">
        <v>480</v>
      </c>
      <c r="C100" s="28" t="s">
        <v>116</v>
      </c>
      <c r="D100" s="28" t="s">
        <v>132</v>
      </c>
      <c r="E100" s="28"/>
      <c r="F100" s="9"/>
      <c r="G100" s="10">
        <f>G101+G105+G109</f>
        <v>762.31999999999994</v>
      </c>
      <c r="H100" s="132"/>
    </row>
    <row r="101" spans="1:8" s="131" customFormat="1" ht="31.5" x14ac:dyDescent="0.25">
      <c r="A101" s="70" t="s">
        <v>649</v>
      </c>
      <c r="B101" s="28" t="s">
        <v>738</v>
      </c>
      <c r="C101" s="28" t="s">
        <v>116</v>
      </c>
      <c r="D101" s="28" t="s">
        <v>132</v>
      </c>
      <c r="E101" s="28"/>
      <c r="F101" s="9"/>
      <c r="G101" s="10">
        <f t="shared" si="9"/>
        <v>440.8</v>
      </c>
      <c r="H101" s="132"/>
    </row>
    <row r="102" spans="1:8" s="131" customFormat="1" ht="31.5" x14ac:dyDescent="0.25">
      <c r="A102" s="22" t="s">
        <v>123</v>
      </c>
      <c r="B102" s="28" t="s">
        <v>738</v>
      </c>
      <c r="C102" s="28" t="s">
        <v>116</v>
      </c>
      <c r="D102" s="28" t="s">
        <v>132</v>
      </c>
      <c r="E102" s="28" t="s">
        <v>124</v>
      </c>
      <c r="F102" s="9"/>
      <c r="G102" s="10">
        <f t="shared" si="9"/>
        <v>440.8</v>
      </c>
      <c r="H102" s="132"/>
    </row>
    <row r="103" spans="1:8" s="131" customFormat="1" ht="31.5" x14ac:dyDescent="0.25">
      <c r="A103" s="22" t="s">
        <v>125</v>
      </c>
      <c r="B103" s="28" t="s">
        <v>738</v>
      </c>
      <c r="C103" s="28" t="s">
        <v>116</v>
      </c>
      <c r="D103" s="28" t="s">
        <v>132</v>
      </c>
      <c r="E103" s="28" t="s">
        <v>126</v>
      </c>
      <c r="F103" s="9"/>
      <c r="G103" s="10">
        <f>'Пр.4 ведом.22'!G253</f>
        <v>440.8</v>
      </c>
      <c r="H103" s="132"/>
    </row>
    <row r="104" spans="1:8" s="131" customFormat="1" ht="47.25" x14ac:dyDescent="0.25">
      <c r="A104" s="31" t="s">
        <v>185</v>
      </c>
      <c r="B104" s="28" t="s">
        <v>738</v>
      </c>
      <c r="C104" s="28" t="s">
        <v>116</v>
      </c>
      <c r="D104" s="28" t="s">
        <v>132</v>
      </c>
      <c r="E104" s="28" t="s">
        <v>126</v>
      </c>
      <c r="F104" s="9" t="s">
        <v>305</v>
      </c>
      <c r="G104" s="10">
        <f>G103</f>
        <v>440.8</v>
      </c>
      <c r="H104" s="132"/>
    </row>
    <row r="105" spans="1:8" s="291" customFormat="1" ht="31.5" x14ac:dyDescent="0.25">
      <c r="A105" s="31" t="s">
        <v>1016</v>
      </c>
      <c r="B105" s="28" t="s">
        <v>1049</v>
      </c>
      <c r="C105" s="28" t="s">
        <v>116</v>
      </c>
      <c r="D105" s="28" t="s">
        <v>132</v>
      </c>
      <c r="E105" s="28"/>
      <c r="F105" s="9"/>
      <c r="G105" s="10">
        <f>G106</f>
        <v>215.1</v>
      </c>
      <c r="H105" s="132"/>
    </row>
    <row r="106" spans="1:8" s="291" customFormat="1" ht="31.5" x14ac:dyDescent="0.25">
      <c r="A106" s="22" t="s">
        <v>123</v>
      </c>
      <c r="B106" s="320" t="s">
        <v>1049</v>
      </c>
      <c r="C106" s="28" t="s">
        <v>116</v>
      </c>
      <c r="D106" s="28" t="s">
        <v>132</v>
      </c>
      <c r="E106" s="28" t="s">
        <v>124</v>
      </c>
      <c r="F106" s="9"/>
      <c r="G106" s="10">
        <f>G107</f>
        <v>215.1</v>
      </c>
      <c r="H106" s="132"/>
    </row>
    <row r="107" spans="1:8" s="291" customFormat="1" ht="31.5" x14ac:dyDescent="0.25">
      <c r="A107" s="22" t="s">
        <v>125</v>
      </c>
      <c r="B107" s="320" t="s">
        <v>1049</v>
      </c>
      <c r="C107" s="28" t="s">
        <v>116</v>
      </c>
      <c r="D107" s="28" t="s">
        <v>132</v>
      </c>
      <c r="E107" s="28" t="s">
        <v>126</v>
      </c>
      <c r="F107" s="9"/>
      <c r="G107" s="10">
        <f>'Пр.4 ведом.22'!G256</f>
        <v>215.1</v>
      </c>
      <c r="H107" s="132"/>
    </row>
    <row r="108" spans="1:8" s="291" customFormat="1" ht="47.25" x14ac:dyDescent="0.25">
      <c r="A108" s="31" t="s">
        <v>185</v>
      </c>
      <c r="B108" s="320" t="s">
        <v>1049</v>
      </c>
      <c r="C108" s="28" t="s">
        <v>116</v>
      </c>
      <c r="D108" s="28" t="s">
        <v>132</v>
      </c>
      <c r="E108" s="28" t="s">
        <v>126</v>
      </c>
      <c r="F108" s="9" t="s">
        <v>305</v>
      </c>
      <c r="G108" s="10">
        <f>G107</f>
        <v>215.1</v>
      </c>
      <c r="H108" s="132"/>
    </row>
    <row r="109" spans="1:8" s="362" customFormat="1" ht="31.5" x14ac:dyDescent="0.25">
      <c r="A109" s="22" t="s">
        <v>1131</v>
      </c>
      <c r="B109" s="9" t="s">
        <v>1132</v>
      </c>
      <c r="C109" s="360" t="s">
        <v>116</v>
      </c>
      <c r="D109" s="360" t="s">
        <v>132</v>
      </c>
      <c r="E109" s="360"/>
      <c r="F109" s="9"/>
      <c r="G109" s="10">
        <f>G110</f>
        <v>106.42</v>
      </c>
      <c r="H109" s="363"/>
    </row>
    <row r="110" spans="1:8" s="362" customFormat="1" ht="31.5" x14ac:dyDescent="0.25">
      <c r="A110" s="22" t="s">
        <v>123</v>
      </c>
      <c r="B110" s="9" t="s">
        <v>1132</v>
      </c>
      <c r="C110" s="360" t="s">
        <v>116</v>
      </c>
      <c r="D110" s="360" t="s">
        <v>132</v>
      </c>
      <c r="E110" s="360" t="s">
        <v>124</v>
      </c>
      <c r="F110" s="9"/>
      <c r="G110" s="10">
        <f>G111</f>
        <v>106.42</v>
      </c>
      <c r="H110" s="363"/>
    </row>
    <row r="111" spans="1:8" s="362" customFormat="1" ht="31.5" x14ac:dyDescent="0.25">
      <c r="A111" s="22" t="s">
        <v>125</v>
      </c>
      <c r="B111" s="9" t="s">
        <v>1132</v>
      </c>
      <c r="C111" s="360" t="s">
        <v>116</v>
      </c>
      <c r="D111" s="360" t="s">
        <v>132</v>
      </c>
      <c r="E111" s="360" t="s">
        <v>126</v>
      </c>
      <c r="F111" s="9"/>
      <c r="G111" s="10">
        <f>'Пр.4 ведом.22'!G259</f>
        <v>106.42</v>
      </c>
      <c r="H111" s="363"/>
    </row>
    <row r="112" spans="1:8" s="362" customFormat="1" ht="47.25" x14ac:dyDescent="0.25">
      <c r="A112" s="31" t="s">
        <v>185</v>
      </c>
      <c r="B112" s="9" t="s">
        <v>1132</v>
      </c>
      <c r="C112" s="360" t="s">
        <v>116</v>
      </c>
      <c r="D112" s="360" t="s">
        <v>132</v>
      </c>
      <c r="E112" s="360" t="s">
        <v>126</v>
      </c>
      <c r="F112" s="9" t="s">
        <v>305</v>
      </c>
      <c r="G112" s="10">
        <f>G111</f>
        <v>106.42</v>
      </c>
      <c r="H112" s="363"/>
    </row>
    <row r="113" spans="1:8" ht="39.200000000000003" customHeight="1" x14ac:dyDescent="0.25">
      <c r="A113" s="37" t="s">
        <v>306</v>
      </c>
      <c r="B113" s="7" t="s">
        <v>223</v>
      </c>
      <c r="C113" s="7"/>
      <c r="D113" s="7"/>
      <c r="E113" s="7"/>
      <c r="F113" s="7"/>
      <c r="G113" s="38">
        <f>G114+G124+G134</f>
        <v>1567</v>
      </c>
    </row>
    <row r="114" spans="1:8" s="131" customFormat="1" ht="31.5" x14ac:dyDescent="0.25">
      <c r="A114" s="17" t="s">
        <v>600</v>
      </c>
      <c r="B114" s="18" t="s">
        <v>484</v>
      </c>
      <c r="C114" s="28"/>
      <c r="D114" s="28"/>
      <c r="E114" s="28"/>
      <c r="F114" s="28"/>
      <c r="G114" s="38">
        <f>G115</f>
        <v>630</v>
      </c>
      <c r="H114" s="132"/>
    </row>
    <row r="115" spans="1:8" ht="15.75" x14ac:dyDescent="0.25">
      <c r="A115" s="31" t="s">
        <v>173</v>
      </c>
      <c r="B115" s="28" t="s">
        <v>484</v>
      </c>
      <c r="C115" s="28" t="s">
        <v>174</v>
      </c>
      <c r="D115" s="28"/>
      <c r="E115" s="28"/>
      <c r="F115" s="28"/>
      <c r="G115" s="10">
        <f t="shared" ref="G115:G121" si="10">G116</f>
        <v>630</v>
      </c>
    </row>
    <row r="116" spans="1:8" ht="15.75" x14ac:dyDescent="0.25">
      <c r="A116" s="31" t="s">
        <v>181</v>
      </c>
      <c r="B116" s="28" t="s">
        <v>484</v>
      </c>
      <c r="C116" s="28" t="s">
        <v>174</v>
      </c>
      <c r="D116" s="28" t="s">
        <v>159</v>
      </c>
      <c r="E116" s="28"/>
      <c r="F116" s="28"/>
      <c r="G116" s="10">
        <f>G117</f>
        <v>630</v>
      </c>
    </row>
    <row r="117" spans="1:8" ht="47.25" x14ac:dyDescent="0.25">
      <c r="A117" s="70" t="s">
        <v>601</v>
      </c>
      <c r="B117" s="15" t="s">
        <v>760</v>
      </c>
      <c r="C117" s="28" t="s">
        <v>174</v>
      </c>
      <c r="D117" s="28" t="s">
        <v>159</v>
      </c>
      <c r="E117" s="28"/>
      <c r="F117" s="28"/>
      <c r="G117" s="10">
        <f>G121+G118</f>
        <v>630</v>
      </c>
    </row>
    <row r="118" spans="1:8" s="131" customFormat="1" ht="31.5" hidden="1" x14ac:dyDescent="0.25">
      <c r="A118" s="22" t="s">
        <v>123</v>
      </c>
      <c r="B118" s="15" t="s">
        <v>760</v>
      </c>
      <c r="C118" s="28" t="s">
        <v>174</v>
      </c>
      <c r="D118" s="28" t="s">
        <v>159</v>
      </c>
      <c r="E118" s="28" t="s">
        <v>124</v>
      </c>
      <c r="F118" s="28"/>
      <c r="G118" s="10">
        <f>G119</f>
        <v>0</v>
      </c>
      <c r="H118" s="132"/>
    </row>
    <row r="119" spans="1:8" s="131" customFormat="1" ht="31.5" hidden="1" x14ac:dyDescent="0.25">
      <c r="A119" s="22" t="s">
        <v>125</v>
      </c>
      <c r="B119" s="15" t="s">
        <v>760</v>
      </c>
      <c r="C119" s="28" t="s">
        <v>174</v>
      </c>
      <c r="D119" s="28" t="s">
        <v>159</v>
      </c>
      <c r="E119" s="28" t="s">
        <v>126</v>
      </c>
      <c r="F119" s="28"/>
      <c r="G119" s="10">
        <f>'Пр.4 ведом.22'!G508</f>
        <v>0</v>
      </c>
      <c r="H119" s="132"/>
    </row>
    <row r="120" spans="1:8" s="131" customFormat="1" ht="47.25" hidden="1" x14ac:dyDescent="0.25">
      <c r="A120" s="31" t="s">
        <v>185</v>
      </c>
      <c r="B120" s="15" t="s">
        <v>760</v>
      </c>
      <c r="C120" s="28" t="s">
        <v>174</v>
      </c>
      <c r="D120" s="28" t="s">
        <v>159</v>
      </c>
      <c r="E120" s="28" t="s">
        <v>126</v>
      </c>
      <c r="F120" s="28" t="s">
        <v>305</v>
      </c>
      <c r="G120" s="10">
        <f>G119</f>
        <v>0</v>
      </c>
      <c r="H120" s="132"/>
    </row>
    <row r="121" spans="1:8" ht="15.75" x14ac:dyDescent="0.25">
      <c r="A121" s="19" t="s">
        <v>177</v>
      </c>
      <c r="B121" s="15" t="s">
        <v>760</v>
      </c>
      <c r="C121" s="28" t="s">
        <v>174</v>
      </c>
      <c r="D121" s="28" t="s">
        <v>159</v>
      </c>
      <c r="E121" s="28" t="s">
        <v>178</v>
      </c>
      <c r="F121" s="28"/>
      <c r="G121" s="10">
        <f t="shared" si="10"/>
        <v>630</v>
      </c>
    </row>
    <row r="122" spans="1:8" ht="31.5" x14ac:dyDescent="0.25">
      <c r="A122" s="19" t="s">
        <v>216</v>
      </c>
      <c r="B122" s="15" t="s">
        <v>760</v>
      </c>
      <c r="C122" s="28" t="s">
        <v>174</v>
      </c>
      <c r="D122" s="28" t="s">
        <v>159</v>
      </c>
      <c r="E122" s="28" t="s">
        <v>217</v>
      </c>
      <c r="F122" s="28"/>
      <c r="G122" s="10">
        <f>'Пр.4 ведом.22'!G510</f>
        <v>630</v>
      </c>
    </row>
    <row r="123" spans="1:8" ht="47.25" x14ac:dyDescent="0.25">
      <c r="A123" s="31" t="s">
        <v>185</v>
      </c>
      <c r="B123" s="15" t="s">
        <v>760</v>
      </c>
      <c r="C123" s="28" t="s">
        <v>174</v>
      </c>
      <c r="D123" s="28" t="s">
        <v>159</v>
      </c>
      <c r="E123" s="28" t="s">
        <v>217</v>
      </c>
      <c r="F123" s="28" t="s">
        <v>305</v>
      </c>
      <c r="G123" s="10">
        <f>G122</f>
        <v>630</v>
      </c>
    </row>
    <row r="124" spans="1:8" s="131" customFormat="1" ht="31.5" x14ac:dyDescent="0.25">
      <c r="A124" s="17" t="s">
        <v>893</v>
      </c>
      <c r="B124" s="18" t="s">
        <v>762</v>
      </c>
      <c r="C124" s="7"/>
      <c r="D124" s="7"/>
      <c r="E124" s="7"/>
      <c r="F124" s="7"/>
      <c r="G124" s="38">
        <f>G125</f>
        <v>257</v>
      </c>
      <c r="H124" s="132"/>
    </row>
    <row r="125" spans="1:8" s="131" customFormat="1" ht="15.75" x14ac:dyDescent="0.25">
      <c r="A125" s="31" t="s">
        <v>173</v>
      </c>
      <c r="B125" s="28" t="s">
        <v>762</v>
      </c>
      <c r="C125" s="28" t="s">
        <v>174</v>
      </c>
      <c r="D125" s="28"/>
      <c r="E125" s="28"/>
      <c r="F125" s="28"/>
      <c r="G125" s="10">
        <f t="shared" ref="G125" si="11">G126</f>
        <v>257</v>
      </c>
      <c r="H125" s="132"/>
    </row>
    <row r="126" spans="1:8" s="131" customFormat="1" ht="15.75" x14ac:dyDescent="0.25">
      <c r="A126" s="31" t="s">
        <v>181</v>
      </c>
      <c r="B126" s="28" t="s">
        <v>762</v>
      </c>
      <c r="C126" s="28" t="s">
        <v>174</v>
      </c>
      <c r="D126" s="28" t="s">
        <v>159</v>
      </c>
      <c r="E126" s="28"/>
      <c r="F126" s="28"/>
      <c r="G126" s="10">
        <f>G127</f>
        <v>257</v>
      </c>
      <c r="H126" s="132"/>
    </row>
    <row r="127" spans="1:8" s="131" customFormat="1" ht="31.5" x14ac:dyDescent="0.25">
      <c r="A127" s="19" t="s">
        <v>761</v>
      </c>
      <c r="B127" s="15" t="s">
        <v>763</v>
      </c>
      <c r="C127" s="28" t="s">
        <v>174</v>
      </c>
      <c r="D127" s="28" t="s">
        <v>159</v>
      </c>
      <c r="E127" s="28"/>
      <c r="F127" s="28"/>
      <c r="G127" s="10">
        <f>G128+G131</f>
        <v>257</v>
      </c>
      <c r="H127" s="132"/>
    </row>
    <row r="128" spans="1:8" s="131" customFormat="1" ht="31.5" hidden="1" x14ac:dyDescent="0.25">
      <c r="A128" s="19" t="s">
        <v>123</v>
      </c>
      <c r="B128" s="15" t="s">
        <v>763</v>
      </c>
      <c r="C128" s="28" t="s">
        <v>174</v>
      </c>
      <c r="D128" s="28" t="s">
        <v>159</v>
      </c>
      <c r="E128" s="28" t="s">
        <v>124</v>
      </c>
      <c r="F128" s="28"/>
      <c r="G128" s="10">
        <f>G129</f>
        <v>0</v>
      </c>
      <c r="H128" s="132"/>
    </row>
    <row r="129" spans="1:8" s="131" customFormat="1" ht="31.5" hidden="1" x14ac:dyDescent="0.25">
      <c r="A129" s="19" t="s">
        <v>125</v>
      </c>
      <c r="B129" s="15" t="s">
        <v>763</v>
      </c>
      <c r="C129" s="28" t="s">
        <v>174</v>
      </c>
      <c r="D129" s="28" t="s">
        <v>159</v>
      </c>
      <c r="E129" s="28" t="s">
        <v>126</v>
      </c>
      <c r="F129" s="28"/>
      <c r="G129" s="10">
        <f>'Пр.4 ведом.22'!G514</f>
        <v>0</v>
      </c>
      <c r="H129" s="132"/>
    </row>
    <row r="130" spans="1:8" s="131" customFormat="1" ht="47.25" hidden="1" x14ac:dyDescent="0.25">
      <c r="A130" s="31" t="s">
        <v>185</v>
      </c>
      <c r="B130" s="15" t="s">
        <v>763</v>
      </c>
      <c r="C130" s="28" t="s">
        <v>174</v>
      </c>
      <c r="D130" s="28" t="s">
        <v>159</v>
      </c>
      <c r="E130" s="28" t="s">
        <v>126</v>
      </c>
      <c r="F130" s="28" t="s">
        <v>305</v>
      </c>
      <c r="G130" s="10">
        <f>G129</f>
        <v>0</v>
      </c>
      <c r="H130" s="132"/>
    </row>
    <row r="131" spans="1:8" s="131" customFormat="1" ht="15.75" x14ac:dyDescent="0.25">
      <c r="A131" s="19" t="s">
        <v>177</v>
      </c>
      <c r="B131" s="15" t="s">
        <v>763</v>
      </c>
      <c r="C131" s="28" t="s">
        <v>174</v>
      </c>
      <c r="D131" s="28" t="s">
        <v>159</v>
      </c>
      <c r="E131" s="28" t="s">
        <v>178</v>
      </c>
      <c r="F131" s="28"/>
      <c r="G131" s="10">
        <f>G132</f>
        <v>257</v>
      </c>
      <c r="H131" s="132"/>
    </row>
    <row r="132" spans="1:8" s="131" customFormat="1" ht="31.5" x14ac:dyDescent="0.25">
      <c r="A132" s="19" t="s">
        <v>216</v>
      </c>
      <c r="B132" s="15" t="s">
        <v>763</v>
      </c>
      <c r="C132" s="28" t="s">
        <v>174</v>
      </c>
      <c r="D132" s="28" t="s">
        <v>159</v>
      </c>
      <c r="E132" s="28" t="s">
        <v>217</v>
      </c>
      <c r="F132" s="28"/>
      <c r="G132" s="10">
        <f>'Пр.4 ведом.22'!G516</f>
        <v>257</v>
      </c>
      <c r="H132" s="132"/>
    </row>
    <row r="133" spans="1:8" s="131" customFormat="1" ht="47.25" x14ac:dyDescent="0.25">
      <c r="A133" s="31" t="s">
        <v>185</v>
      </c>
      <c r="B133" s="15" t="s">
        <v>763</v>
      </c>
      <c r="C133" s="28" t="s">
        <v>174</v>
      </c>
      <c r="D133" s="28" t="s">
        <v>159</v>
      </c>
      <c r="E133" s="28" t="s">
        <v>217</v>
      </c>
      <c r="F133" s="28" t="s">
        <v>305</v>
      </c>
      <c r="G133" s="10">
        <f>G132</f>
        <v>257</v>
      </c>
      <c r="H133" s="132"/>
    </row>
    <row r="134" spans="1:8" s="131" customFormat="1" ht="31.5" x14ac:dyDescent="0.25">
      <c r="A134" s="17" t="s">
        <v>560</v>
      </c>
      <c r="B134" s="18" t="s">
        <v>757</v>
      </c>
      <c r="C134" s="7"/>
      <c r="D134" s="7"/>
      <c r="E134" s="7"/>
      <c r="F134" s="7"/>
      <c r="G134" s="38">
        <f>G141+G135</f>
        <v>680</v>
      </c>
      <c r="H134" s="132"/>
    </row>
    <row r="135" spans="1:8" s="131" customFormat="1" ht="15.75" x14ac:dyDescent="0.25">
      <c r="A135" s="19" t="s">
        <v>202</v>
      </c>
      <c r="B135" s="15" t="s">
        <v>757</v>
      </c>
      <c r="C135" s="28" t="s">
        <v>203</v>
      </c>
      <c r="D135" s="28"/>
      <c r="E135" s="7"/>
      <c r="F135" s="7"/>
      <c r="G135" s="10">
        <f>G136</f>
        <v>260</v>
      </c>
      <c r="H135" s="132"/>
    </row>
    <row r="136" spans="1:8" s="131" customFormat="1" ht="15.75" x14ac:dyDescent="0.25">
      <c r="A136" s="364" t="s">
        <v>208</v>
      </c>
      <c r="B136" s="15" t="s">
        <v>757</v>
      </c>
      <c r="C136" s="28" t="s">
        <v>203</v>
      </c>
      <c r="D136" s="28" t="s">
        <v>139</v>
      </c>
      <c r="E136" s="7"/>
      <c r="F136" s="7"/>
      <c r="G136" s="10">
        <f>G137</f>
        <v>260</v>
      </c>
      <c r="H136" s="132"/>
    </row>
    <row r="137" spans="1:8" s="131" customFormat="1" ht="31.5" x14ac:dyDescent="0.25">
      <c r="A137" s="19" t="s">
        <v>559</v>
      </c>
      <c r="B137" s="15" t="s">
        <v>758</v>
      </c>
      <c r="C137" s="28" t="s">
        <v>203</v>
      </c>
      <c r="D137" s="28" t="s">
        <v>139</v>
      </c>
      <c r="E137" s="7"/>
      <c r="F137" s="7"/>
      <c r="G137" s="10">
        <f>G138</f>
        <v>260</v>
      </c>
      <c r="H137" s="132"/>
    </row>
    <row r="138" spans="1:8" s="131" customFormat="1" ht="31.5" x14ac:dyDescent="0.25">
      <c r="A138" s="19" t="s">
        <v>123</v>
      </c>
      <c r="B138" s="15" t="s">
        <v>758</v>
      </c>
      <c r="C138" s="28" t="s">
        <v>203</v>
      </c>
      <c r="D138" s="28" t="s">
        <v>139</v>
      </c>
      <c r="E138" s="28" t="s">
        <v>124</v>
      </c>
      <c r="F138" s="28"/>
      <c r="G138" s="10">
        <f>G139</f>
        <v>260</v>
      </c>
      <c r="H138" s="132"/>
    </row>
    <row r="139" spans="1:8" s="131" customFormat="1" ht="31.5" x14ac:dyDescent="0.25">
      <c r="A139" s="19" t="s">
        <v>125</v>
      </c>
      <c r="B139" s="15" t="s">
        <v>758</v>
      </c>
      <c r="C139" s="28" t="s">
        <v>203</v>
      </c>
      <c r="D139" s="28" t="s">
        <v>139</v>
      </c>
      <c r="E139" s="28" t="s">
        <v>126</v>
      </c>
      <c r="F139" s="28"/>
      <c r="G139" s="10">
        <f>'Пр.4 ведом.22'!G490</f>
        <v>260</v>
      </c>
      <c r="H139" s="132"/>
    </row>
    <row r="140" spans="1:8" s="131" customFormat="1" ht="47.25" x14ac:dyDescent="0.25">
      <c r="A140" s="31" t="s">
        <v>185</v>
      </c>
      <c r="B140" s="15" t="s">
        <v>758</v>
      </c>
      <c r="C140" s="28" t="s">
        <v>203</v>
      </c>
      <c r="D140" s="28" t="s">
        <v>139</v>
      </c>
      <c r="E140" s="28" t="s">
        <v>126</v>
      </c>
      <c r="F140" s="28" t="s">
        <v>305</v>
      </c>
      <c r="G140" s="10">
        <f>G139</f>
        <v>260</v>
      </c>
      <c r="H140" s="132"/>
    </row>
    <row r="141" spans="1:8" s="131" customFormat="1" ht="15.75" x14ac:dyDescent="0.25">
      <c r="A141" s="31" t="s">
        <v>173</v>
      </c>
      <c r="B141" s="15" t="s">
        <v>757</v>
      </c>
      <c r="C141" s="28" t="s">
        <v>174</v>
      </c>
      <c r="D141" s="28"/>
      <c r="E141" s="28"/>
      <c r="F141" s="28"/>
      <c r="G141" s="10">
        <f>G142</f>
        <v>420</v>
      </c>
      <c r="H141" s="132"/>
    </row>
    <row r="142" spans="1:8" s="131" customFormat="1" ht="15.75" x14ac:dyDescent="0.25">
      <c r="A142" s="31" t="s">
        <v>181</v>
      </c>
      <c r="B142" s="15" t="s">
        <v>757</v>
      </c>
      <c r="C142" s="28" t="s">
        <v>174</v>
      </c>
      <c r="D142" s="28" t="s">
        <v>159</v>
      </c>
      <c r="E142" s="28"/>
      <c r="F142" s="28"/>
      <c r="G142" s="10">
        <f>G143</f>
        <v>420</v>
      </c>
      <c r="H142" s="132"/>
    </row>
    <row r="143" spans="1:8" s="131" customFormat="1" ht="15.75" x14ac:dyDescent="0.25">
      <c r="A143" s="19" t="s">
        <v>598</v>
      </c>
      <c r="B143" s="15" t="s">
        <v>759</v>
      </c>
      <c r="C143" s="28" t="s">
        <v>174</v>
      </c>
      <c r="D143" s="28" t="s">
        <v>159</v>
      </c>
      <c r="E143" s="28"/>
      <c r="F143" s="28"/>
      <c r="G143" s="10">
        <f>G144</f>
        <v>420</v>
      </c>
      <c r="H143" s="132"/>
    </row>
    <row r="144" spans="1:8" s="131" customFormat="1" ht="15.75" x14ac:dyDescent="0.25">
      <c r="A144" s="19" t="s">
        <v>177</v>
      </c>
      <c r="B144" s="15" t="s">
        <v>759</v>
      </c>
      <c r="C144" s="28" t="s">
        <v>174</v>
      </c>
      <c r="D144" s="28" t="s">
        <v>159</v>
      </c>
      <c r="E144" s="28" t="s">
        <v>178</v>
      </c>
      <c r="F144" s="28"/>
      <c r="G144" s="10">
        <f>G145</f>
        <v>420</v>
      </c>
      <c r="H144" s="132"/>
    </row>
    <row r="145" spans="1:11" s="131" customFormat="1" ht="31.5" x14ac:dyDescent="0.25">
      <c r="A145" s="19" t="s">
        <v>216</v>
      </c>
      <c r="B145" s="15" t="s">
        <v>759</v>
      </c>
      <c r="C145" s="28" t="s">
        <v>174</v>
      </c>
      <c r="D145" s="28" t="s">
        <v>159</v>
      </c>
      <c r="E145" s="28" t="s">
        <v>217</v>
      </c>
      <c r="F145" s="28"/>
      <c r="G145" s="10">
        <f>'Пр.4 ведом.22'!G520</f>
        <v>420</v>
      </c>
      <c r="H145" s="132"/>
    </row>
    <row r="146" spans="1:11" s="131" customFormat="1" ht="47.25" x14ac:dyDescent="0.25">
      <c r="A146" s="31" t="s">
        <v>185</v>
      </c>
      <c r="B146" s="15" t="s">
        <v>759</v>
      </c>
      <c r="C146" s="28" t="s">
        <v>174</v>
      </c>
      <c r="D146" s="28" t="s">
        <v>159</v>
      </c>
      <c r="E146" s="28" t="s">
        <v>217</v>
      </c>
      <c r="F146" s="28" t="s">
        <v>305</v>
      </c>
      <c r="G146" s="10">
        <f>G145</f>
        <v>420</v>
      </c>
      <c r="H146" s="132"/>
    </row>
    <row r="147" spans="1:11" ht="31.5" x14ac:dyDescent="0.25">
      <c r="A147" s="37" t="s">
        <v>860</v>
      </c>
      <c r="B147" s="7" t="s">
        <v>237</v>
      </c>
      <c r="C147" s="7"/>
      <c r="D147" s="7"/>
      <c r="E147" s="7"/>
      <c r="F147" s="7"/>
      <c r="G147" s="38">
        <f>G148+G169+G206+G239+G246+G275+G287+G294+G355+G301+G308+G315+G327+G341+G348+G334</f>
        <v>341282.19000000006</v>
      </c>
      <c r="H147" s="132">
        <v>269740.2</v>
      </c>
      <c r="I147" s="16">
        <f>H147-G147</f>
        <v>-71541.990000000049</v>
      </c>
      <c r="K147" s="156"/>
    </row>
    <row r="148" spans="1:11" s="131" customFormat="1" ht="31.5" x14ac:dyDescent="0.25">
      <c r="A148" s="17" t="s">
        <v>507</v>
      </c>
      <c r="B148" s="18" t="s">
        <v>766</v>
      </c>
      <c r="C148" s="7"/>
      <c r="D148" s="7"/>
      <c r="E148" s="7"/>
      <c r="F148" s="7"/>
      <c r="G148" s="38">
        <f>G149+G156+G161+G165</f>
        <v>85114.08</v>
      </c>
      <c r="H148" s="132"/>
    </row>
    <row r="149" spans="1:11" ht="15.75" x14ac:dyDescent="0.25">
      <c r="A149" s="22" t="s">
        <v>186</v>
      </c>
      <c r="B149" s="28" t="s">
        <v>766</v>
      </c>
      <c r="C149" s="28" t="s">
        <v>187</v>
      </c>
      <c r="D149" s="28"/>
      <c r="E149" s="28"/>
      <c r="F149" s="28"/>
      <c r="G149" s="10">
        <f>G150</f>
        <v>16977.59</v>
      </c>
    </row>
    <row r="150" spans="1:11" ht="15.75" x14ac:dyDescent="0.25">
      <c r="A150" s="31" t="s">
        <v>236</v>
      </c>
      <c r="B150" s="28" t="s">
        <v>766</v>
      </c>
      <c r="C150" s="28" t="s">
        <v>187</v>
      </c>
      <c r="D150" s="28" t="s">
        <v>116</v>
      </c>
      <c r="E150" s="28"/>
      <c r="F150" s="28"/>
      <c r="G150" s="10">
        <f>G151</f>
        <v>16977.59</v>
      </c>
    </row>
    <row r="151" spans="1:11" ht="31.5" x14ac:dyDescent="0.25">
      <c r="A151" s="19" t="s">
        <v>765</v>
      </c>
      <c r="B151" s="15" t="s">
        <v>767</v>
      </c>
      <c r="C151" s="28" t="s">
        <v>187</v>
      </c>
      <c r="D151" s="28" t="s">
        <v>116</v>
      </c>
      <c r="E151" s="28"/>
      <c r="F151" s="28"/>
      <c r="G151" s="10">
        <f t="shared" ref="G151:G152" si="12">G152</f>
        <v>16977.59</v>
      </c>
    </row>
    <row r="152" spans="1:11" ht="31.5" x14ac:dyDescent="0.25">
      <c r="A152" s="19" t="s">
        <v>191</v>
      </c>
      <c r="B152" s="15" t="s">
        <v>767</v>
      </c>
      <c r="C152" s="28" t="s">
        <v>187</v>
      </c>
      <c r="D152" s="28" t="s">
        <v>116</v>
      </c>
      <c r="E152" s="28" t="s">
        <v>192</v>
      </c>
      <c r="F152" s="28"/>
      <c r="G152" s="10">
        <f t="shared" si="12"/>
        <v>16977.59</v>
      </c>
    </row>
    <row r="153" spans="1:11" ht="15.75" x14ac:dyDescent="0.25">
      <c r="A153" s="19" t="s">
        <v>193</v>
      </c>
      <c r="B153" s="15" t="s">
        <v>767</v>
      </c>
      <c r="C153" s="28" t="s">
        <v>187</v>
      </c>
      <c r="D153" s="28" t="s">
        <v>116</v>
      </c>
      <c r="E153" s="28" t="s">
        <v>194</v>
      </c>
      <c r="F153" s="28"/>
      <c r="G153" s="6">
        <f>'Пр.4 ведом.22'!G622</f>
        <v>16977.59</v>
      </c>
    </row>
    <row r="154" spans="1:11" s="131" customFormat="1" ht="31.5" x14ac:dyDescent="0.25">
      <c r="A154" s="22" t="s">
        <v>235</v>
      </c>
      <c r="B154" s="15" t="s">
        <v>767</v>
      </c>
      <c r="C154" s="28" t="s">
        <v>187</v>
      </c>
      <c r="D154" s="28" t="s">
        <v>116</v>
      </c>
      <c r="E154" s="28" t="s">
        <v>194</v>
      </c>
      <c r="F154" s="28" t="s">
        <v>307</v>
      </c>
      <c r="G154" s="10">
        <f>G153</f>
        <v>16977.59</v>
      </c>
      <c r="H154" s="132"/>
    </row>
    <row r="155" spans="1:11" s="131" customFormat="1" ht="15.75" x14ac:dyDescent="0.25">
      <c r="A155" s="22" t="s">
        <v>239</v>
      </c>
      <c r="B155" s="28" t="s">
        <v>766</v>
      </c>
      <c r="C155" s="28" t="s">
        <v>187</v>
      </c>
      <c r="D155" s="28" t="s">
        <v>158</v>
      </c>
      <c r="E155" s="28"/>
      <c r="F155" s="28"/>
      <c r="G155" s="10">
        <f>G156</f>
        <v>31108.41</v>
      </c>
      <c r="H155" s="132"/>
    </row>
    <row r="156" spans="1:11" s="131" customFormat="1" ht="31.5" x14ac:dyDescent="0.25">
      <c r="A156" s="19" t="s">
        <v>240</v>
      </c>
      <c r="B156" s="15" t="s">
        <v>780</v>
      </c>
      <c r="C156" s="28" t="s">
        <v>187</v>
      </c>
      <c r="D156" s="28" t="s">
        <v>158</v>
      </c>
      <c r="E156" s="28"/>
      <c r="F156" s="28"/>
      <c r="G156" s="6">
        <f>G157</f>
        <v>31108.41</v>
      </c>
      <c r="H156" s="132"/>
    </row>
    <row r="157" spans="1:11" s="131" customFormat="1" ht="31.5" x14ac:dyDescent="0.25">
      <c r="A157" s="19" t="s">
        <v>191</v>
      </c>
      <c r="B157" s="15" t="s">
        <v>780</v>
      </c>
      <c r="C157" s="28" t="s">
        <v>187</v>
      </c>
      <c r="D157" s="28" t="s">
        <v>158</v>
      </c>
      <c r="E157" s="28" t="s">
        <v>192</v>
      </c>
      <c r="F157" s="28"/>
      <c r="G157" s="6">
        <f>G158</f>
        <v>31108.41</v>
      </c>
      <c r="H157" s="132"/>
    </row>
    <row r="158" spans="1:11" s="131" customFormat="1" ht="15.75" x14ac:dyDescent="0.25">
      <c r="A158" s="19" t="s">
        <v>193</v>
      </c>
      <c r="B158" s="15" t="s">
        <v>780</v>
      </c>
      <c r="C158" s="28" t="s">
        <v>187</v>
      </c>
      <c r="D158" s="28" t="s">
        <v>158</v>
      </c>
      <c r="E158" s="28" t="s">
        <v>194</v>
      </c>
      <c r="F158" s="28"/>
      <c r="G158" s="6">
        <f>'Пр.4 ведом.22'!G684</f>
        <v>31108.41</v>
      </c>
      <c r="H158" s="132"/>
    </row>
    <row r="159" spans="1:11" s="131" customFormat="1" ht="31.5" x14ac:dyDescent="0.25">
      <c r="A159" s="22" t="s">
        <v>235</v>
      </c>
      <c r="B159" s="15" t="s">
        <v>780</v>
      </c>
      <c r="C159" s="28" t="s">
        <v>187</v>
      </c>
      <c r="D159" s="28" t="s">
        <v>158</v>
      </c>
      <c r="E159" s="28" t="s">
        <v>194</v>
      </c>
      <c r="F159" s="28" t="s">
        <v>307</v>
      </c>
      <c r="G159" s="10">
        <f>G158</f>
        <v>31108.41</v>
      </c>
      <c r="H159" s="132"/>
    </row>
    <row r="160" spans="1:11" s="131" customFormat="1" ht="15.75" x14ac:dyDescent="0.25">
      <c r="A160" s="22" t="s">
        <v>188</v>
      </c>
      <c r="B160" s="28" t="s">
        <v>766</v>
      </c>
      <c r="C160" s="28" t="s">
        <v>187</v>
      </c>
      <c r="D160" s="28" t="s">
        <v>159</v>
      </c>
      <c r="E160" s="28"/>
      <c r="F160" s="28"/>
      <c r="G160" s="6">
        <f>G161+G165</f>
        <v>37028.080000000002</v>
      </c>
      <c r="H160" s="132"/>
    </row>
    <row r="161" spans="1:10" s="131" customFormat="1" ht="47.25" x14ac:dyDescent="0.25">
      <c r="A161" s="22" t="s">
        <v>190</v>
      </c>
      <c r="B161" s="15" t="s">
        <v>788</v>
      </c>
      <c r="C161" s="28" t="s">
        <v>187</v>
      </c>
      <c r="D161" s="28" t="s">
        <v>159</v>
      </c>
      <c r="E161" s="7"/>
      <c r="F161" s="7"/>
      <c r="G161" s="10">
        <f t="shared" ref="G161:G162" si="13">G162</f>
        <v>37028.080000000002</v>
      </c>
      <c r="H161" s="132"/>
    </row>
    <row r="162" spans="1:10" s="131" customFormat="1" ht="31.5" x14ac:dyDescent="0.25">
      <c r="A162" s="22" t="s">
        <v>191</v>
      </c>
      <c r="B162" s="15" t="s">
        <v>788</v>
      </c>
      <c r="C162" s="28" t="s">
        <v>187</v>
      </c>
      <c r="D162" s="28" t="s">
        <v>159</v>
      </c>
      <c r="E162" s="28" t="s">
        <v>192</v>
      </c>
      <c r="F162" s="28"/>
      <c r="G162" s="10">
        <f t="shared" si="13"/>
        <v>37028.080000000002</v>
      </c>
      <c r="H162" s="132"/>
    </row>
    <row r="163" spans="1:10" s="131" customFormat="1" ht="15.75" x14ac:dyDescent="0.25">
      <c r="A163" s="22" t="s">
        <v>193</v>
      </c>
      <c r="B163" s="15" t="s">
        <v>788</v>
      </c>
      <c r="C163" s="28" t="s">
        <v>187</v>
      </c>
      <c r="D163" s="28" t="s">
        <v>159</v>
      </c>
      <c r="E163" s="28" t="s">
        <v>194</v>
      </c>
      <c r="F163" s="28"/>
      <c r="G163" s="6">
        <f>'Пр.4 ведом.22'!G773</f>
        <v>37028.080000000002</v>
      </c>
      <c r="H163" s="132"/>
    </row>
    <row r="164" spans="1:10" s="131" customFormat="1" ht="31.5" x14ac:dyDescent="0.25">
      <c r="A164" s="22" t="s">
        <v>235</v>
      </c>
      <c r="B164" s="15" t="s">
        <v>788</v>
      </c>
      <c r="C164" s="28" t="s">
        <v>187</v>
      </c>
      <c r="D164" s="28" t="s">
        <v>159</v>
      </c>
      <c r="E164" s="28" t="s">
        <v>194</v>
      </c>
      <c r="F164" s="28" t="s">
        <v>307</v>
      </c>
      <c r="G164" s="10">
        <f>G163</f>
        <v>37028.080000000002</v>
      </c>
      <c r="H164" s="132"/>
    </row>
    <row r="165" spans="1:10" s="131" customFormat="1" ht="31.5" hidden="1" x14ac:dyDescent="0.25">
      <c r="A165" s="24" t="s">
        <v>968</v>
      </c>
      <c r="B165" s="15" t="s">
        <v>967</v>
      </c>
      <c r="C165" s="15" t="s">
        <v>187</v>
      </c>
      <c r="D165" s="15" t="s">
        <v>159</v>
      </c>
      <c r="E165" s="15"/>
      <c r="F165" s="28"/>
      <c r="G165" s="10">
        <f>G166</f>
        <v>0</v>
      </c>
      <c r="H165" s="132"/>
    </row>
    <row r="166" spans="1:10" s="131" customFormat="1" ht="31.5" hidden="1" x14ac:dyDescent="0.25">
      <c r="A166" s="19" t="s">
        <v>191</v>
      </c>
      <c r="B166" s="15" t="s">
        <v>967</v>
      </c>
      <c r="C166" s="15" t="s">
        <v>187</v>
      </c>
      <c r="D166" s="15" t="s">
        <v>159</v>
      </c>
      <c r="E166" s="15" t="s">
        <v>192</v>
      </c>
      <c r="F166" s="28"/>
      <c r="G166" s="10">
        <f>G167</f>
        <v>0</v>
      </c>
      <c r="H166" s="132"/>
    </row>
    <row r="167" spans="1:10" s="131" customFormat="1" ht="15.75" hidden="1" x14ac:dyDescent="0.25">
      <c r="A167" s="24" t="s">
        <v>193</v>
      </c>
      <c r="B167" s="15" t="s">
        <v>967</v>
      </c>
      <c r="C167" s="15" t="s">
        <v>187</v>
      </c>
      <c r="D167" s="15" t="s">
        <v>159</v>
      </c>
      <c r="E167" s="15" t="s">
        <v>194</v>
      </c>
      <c r="F167" s="28"/>
      <c r="G167" s="10">
        <f>'Пр.4 ведом.22'!G776</f>
        <v>0</v>
      </c>
      <c r="H167" s="132"/>
    </row>
    <row r="168" spans="1:10" s="131" customFormat="1" ht="31.5" hidden="1" x14ac:dyDescent="0.25">
      <c r="A168" s="111" t="s">
        <v>235</v>
      </c>
      <c r="B168" s="15" t="s">
        <v>967</v>
      </c>
      <c r="C168" s="15" t="s">
        <v>187</v>
      </c>
      <c r="D168" s="15" t="s">
        <v>159</v>
      </c>
      <c r="E168" s="15" t="s">
        <v>194</v>
      </c>
      <c r="F168" s="28" t="s">
        <v>307</v>
      </c>
      <c r="G168" s="10">
        <f>G165</f>
        <v>0</v>
      </c>
      <c r="H168" s="132"/>
    </row>
    <row r="169" spans="1:10" s="131" customFormat="1" ht="47.25" x14ac:dyDescent="0.25">
      <c r="A169" s="17" t="s">
        <v>471</v>
      </c>
      <c r="B169" s="18" t="s">
        <v>768</v>
      </c>
      <c r="C169" s="7"/>
      <c r="D169" s="7"/>
      <c r="E169" s="7"/>
      <c r="F169" s="7"/>
      <c r="G169" s="4">
        <f>G170</f>
        <v>220650.82</v>
      </c>
      <c r="H169" s="132"/>
    </row>
    <row r="170" spans="1:10" s="131" customFormat="1" ht="15.75" x14ac:dyDescent="0.25">
      <c r="A170" s="22" t="s">
        <v>186</v>
      </c>
      <c r="B170" s="28" t="s">
        <v>768</v>
      </c>
      <c r="C170" s="28" t="s">
        <v>187</v>
      </c>
      <c r="D170" s="28"/>
      <c r="E170" s="28"/>
      <c r="F170" s="28"/>
      <c r="G170" s="10">
        <f>G171+G180+G197</f>
        <v>220650.82</v>
      </c>
      <c r="H170" s="132"/>
    </row>
    <row r="171" spans="1:10" s="131" customFormat="1" ht="15.75" x14ac:dyDescent="0.25">
      <c r="A171" s="31" t="s">
        <v>236</v>
      </c>
      <c r="B171" s="28" t="s">
        <v>768</v>
      </c>
      <c r="C171" s="28" t="s">
        <v>187</v>
      </c>
      <c r="D171" s="28" t="s">
        <v>116</v>
      </c>
      <c r="E171" s="28"/>
      <c r="F171" s="28"/>
      <c r="G171" s="10">
        <f>G172+G176</f>
        <v>63608.71</v>
      </c>
      <c r="H171" s="132"/>
    </row>
    <row r="172" spans="1:10" s="131" customFormat="1" ht="94.5" x14ac:dyDescent="0.25">
      <c r="A172" s="24" t="s">
        <v>200</v>
      </c>
      <c r="B172" s="15" t="s">
        <v>884</v>
      </c>
      <c r="C172" s="28" t="s">
        <v>187</v>
      </c>
      <c r="D172" s="28" t="s">
        <v>116</v>
      </c>
      <c r="E172" s="28"/>
      <c r="F172" s="28"/>
      <c r="G172" s="6">
        <f>G173</f>
        <v>3430</v>
      </c>
      <c r="H172" s="132"/>
      <c r="J172" s="156"/>
    </row>
    <row r="173" spans="1:10" s="131" customFormat="1" ht="31.5" x14ac:dyDescent="0.25">
      <c r="A173" s="19" t="s">
        <v>191</v>
      </c>
      <c r="B173" s="15" t="s">
        <v>884</v>
      </c>
      <c r="C173" s="28" t="s">
        <v>187</v>
      </c>
      <c r="D173" s="28" t="s">
        <v>116</v>
      </c>
      <c r="E173" s="28" t="s">
        <v>192</v>
      </c>
      <c r="F173" s="28"/>
      <c r="G173" s="6">
        <f>G174</f>
        <v>3430</v>
      </c>
      <c r="H173" s="132"/>
    </row>
    <row r="174" spans="1:10" s="131" customFormat="1" ht="15.75" x14ac:dyDescent="0.25">
      <c r="A174" s="19" t="s">
        <v>193</v>
      </c>
      <c r="B174" s="15" t="s">
        <v>884</v>
      </c>
      <c r="C174" s="28" t="s">
        <v>187</v>
      </c>
      <c r="D174" s="28" t="s">
        <v>116</v>
      </c>
      <c r="E174" s="28" t="s">
        <v>194</v>
      </c>
      <c r="F174" s="28"/>
      <c r="G174" s="6">
        <f>'Пр.3 Рд,пр, ЦС,ВР 22'!F531</f>
        <v>3430</v>
      </c>
      <c r="H174" s="132"/>
    </row>
    <row r="175" spans="1:10" s="131" customFormat="1" ht="31.5" x14ac:dyDescent="0.25">
      <c r="A175" s="22" t="s">
        <v>235</v>
      </c>
      <c r="B175" s="15" t="s">
        <v>884</v>
      </c>
      <c r="C175" s="28" t="s">
        <v>187</v>
      </c>
      <c r="D175" s="28" t="s">
        <v>116</v>
      </c>
      <c r="E175" s="28" t="s">
        <v>194</v>
      </c>
      <c r="F175" s="28" t="s">
        <v>307</v>
      </c>
      <c r="G175" s="10">
        <f>G174</f>
        <v>3430</v>
      </c>
      <c r="H175" s="132"/>
    </row>
    <row r="176" spans="1:10" s="131" customFormat="1" ht="47.25" x14ac:dyDescent="0.25">
      <c r="A176" s="399" t="s">
        <v>1147</v>
      </c>
      <c r="B176" s="15" t="s">
        <v>1148</v>
      </c>
      <c r="C176" s="28" t="s">
        <v>187</v>
      </c>
      <c r="D176" s="28" t="s">
        <v>116</v>
      </c>
      <c r="E176" s="28"/>
      <c r="F176" s="28"/>
      <c r="G176" s="6">
        <f>G177</f>
        <v>60178.71</v>
      </c>
      <c r="H176" s="132"/>
      <c r="J176" s="156"/>
    </row>
    <row r="177" spans="1:10" s="131" customFormat="1" ht="31.5" x14ac:dyDescent="0.25">
      <c r="A177" s="19" t="s">
        <v>191</v>
      </c>
      <c r="B177" s="365" t="s">
        <v>1148</v>
      </c>
      <c r="C177" s="28" t="s">
        <v>187</v>
      </c>
      <c r="D177" s="28" t="s">
        <v>116</v>
      </c>
      <c r="E177" s="28" t="s">
        <v>192</v>
      </c>
      <c r="F177" s="28"/>
      <c r="G177" s="6">
        <f>G178</f>
        <v>60178.71</v>
      </c>
      <c r="H177" s="132"/>
      <c r="J177" s="156"/>
    </row>
    <row r="178" spans="1:10" s="131" customFormat="1" ht="15.75" x14ac:dyDescent="0.25">
      <c r="A178" s="19" t="s">
        <v>193</v>
      </c>
      <c r="B178" s="365" t="s">
        <v>1148</v>
      </c>
      <c r="C178" s="28" t="s">
        <v>187</v>
      </c>
      <c r="D178" s="28" t="s">
        <v>116</v>
      </c>
      <c r="E178" s="28" t="s">
        <v>194</v>
      </c>
      <c r="F178" s="28"/>
      <c r="G178" s="6">
        <f>'Пр.3 Рд,пр, ЦС,ВР 22'!F534</f>
        <v>60178.71</v>
      </c>
      <c r="H178" s="132"/>
    </row>
    <row r="179" spans="1:10" s="131" customFormat="1" ht="31.5" x14ac:dyDescent="0.25">
      <c r="A179" s="22" t="s">
        <v>235</v>
      </c>
      <c r="B179" s="365" t="s">
        <v>1148</v>
      </c>
      <c r="C179" s="28" t="s">
        <v>187</v>
      </c>
      <c r="D179" s="28" t="s">
        <v>116</v>
      </c>
      <c r="E179" s="28" t="s">
        <v>194</v>
      </c>
      <c r="F179" s="28" t="s">
        <v>307</v>
      </c>
      <c r="G179" s="10">
        <f>G178</f>
        <v>60178.71</v>
      </c>
      <c r="H179" s="132"/>
    </row>
    <row r="180" spans="1:10" ht="15.75" x14ac:dyDescent="0.25">
      <c r="A180" s="22" t="s">
        <v>239</v>
      </c>
      <c r="B180" s="28" t="s">
        <v>768</v>
      </c>
      <c r="C180" s="28" t="s">
        <v>187</v>
      </c>
      <c r="D180" s="28" t="s">
        <v>158</v>
      </c>
      <c r="E180" s="28"/>
      <c r="F180" s="28"/>
      <c r="G180" s="10">
        <f>G181+G185+G189+G193</f>
        <v>154802.51</v>
      </c>
    </row>
    <row r="181" spans="1:10" s="131" customFormat="1" ht="63" x14ac:dyDescent="0.25">
      <c r="A181" s="19" t="s">
        <v>886</v>
      </c>
      <c r="B181" s="15" t="s">
        <v>887</v>
      </c>
      <c r="C181" s="28" t="s">
        <v>187</v>
      </c>
      <c r="D181" s="28" t="s">
        <v>158</v>
      </c>
      <c r="E181" s="28"/>
      <c r="F181" s="28"/>
      <c r="G181" s="10">
        <f>G182</f>
        <v>7421.4</v>
      </c>
      <c r="H181" s="132"/>
    </row>
    <row r="182" spans="1:10" s="131" customFormat="1" ht="31.5" x14ac:dyDescent="0.25">
      <c r="A182" s="19" t="s">
        <v>191</v>
      </c>
      <c r="B182" s="15" t="s">
        <v>887</v>
      </c>
      <c r="C182" s="28" t="s">
        <v>187</v>
      </c>
      <c r="D182" s="28" t="s">
        <v>158</v>
      </c>
      <c r="E182" s="28" t="s">
        <v>192</v>
      </c>
      <c r="F182" s="28"/>
      <c r="G182" s="10">
        <f>G183</f>
        <v>7421.4</v>
      </c>
      <c r="H182" s="132"/>
    </row>
    <row r="183" spans="1:10" s="131" customFormat="1" ht="15.75" x14ac:dyDescent="0.25">
      <c r="A183" s="19" t="s">
        <v>193</v>
      </c>
      <c r="B183" s="15" t="s">
        <v>887</v>
      </c>
      <c r="C183" s="28" t="s">
        <v>187</v>
      </c>
      <c r="D183" s="28" t="s">
        <v>158</v>
      </c>
      <c r="E183" s="28" t="s">
        <v>194</v>
      </c>
      <c r="F183" s="28"/>
      <c r="G183" s="10">
        <f>'Пр.4 ведом.22'!G688</f>
        <v>7421.4</v>
      </c>
      <c r="H183" s="132"/>
    </row>
    <row r="184" spans="1:10" s="131" customFormat="1" ht="31.5" x14ac:dyDescent="0.25">
      <c r="A184" s="31" t="s">
        <v>235</v>
      </c>
      <c r="B184" s="15" t="s">
        <v>887</v>
      </c>
      <c r="C184" s="28" t="s">
        <v>187</v>
      </c>
      <c r="D184" s="28" t="s">
        <v>158</v>
      </c>
      <c r="E184" s="28" t="s">
        <v>194</v>
      </c>
      <c r="F184" s="28" t="s">
        <v>307</v>
      </c>
      <c r="G184" s="10">
        <f>G181</f>
        <v>7421.4</v>
      </c>
      <c r="H184" s="132"/>
    </row>
    <row r="185" spans="1:10" s="131" customFormat="1" ht="94.5" x14ac:dyDescent="0.25">
      <c r="A185" s="24" t="s">
        <v>245</v>
      </c>
      <c r="B185" s="15" t="s">
        <v>884</v>
      </c>
      <c r="C185" s="28" t="s">
        <v>187</v>
      </c>
      <c r="D185" s="28" t="s">
        <v>158</v>
      </c>
      <c r="E185" s="28"/>
      <c r="F185" s="28"/>
      <c r="G185" s="6">
        <f>G186</f>
        <v>5001</v>
      </c>
      <c r="H185" s="132"/>
    </row>
    <row r="186" spans="1:10" s="131" customFormat="1" ht="31.5" x14ac:dyDescent="0.25">
      <c r="A186" s="19" t="s">
        <v>191</v>
      </c>
      <c r="B186" s="15" t="s">
        <v>884</v>
      </c>
      <c r="C186" s="28" t="s">
        <v>187</v>
      </c>
      <c r="D186" s="28" t="s">
        <v>158</v>
      </c>
      <c r="E186" s="28" t="s">
        <v>192</v>
      </c>
      <c r="F186" s="28"/>
      <c r="G186" s="6">
        <f>G187</f>
        <v>5001</v>
      </c>
      <c r="H186" s="132"/>
    </row>
    <row r="187" spans="1:10" s="131" customFormat="1" ht="15.75" x14ac:dyDescent="0.25">
      <c r="A187" s="19" t="s">
        <v>193</v>
      </c>
      <c r="B187" s="15" t="s">
        <v>884</v>
      </c>
      <c r="C187" s="28" t="s">
        <v>187</v>
      </c>
      <c r="D187" s="28" t="s">
        <v>158</v>
      </c>
      <c r="E187" s="28" t="s">
        <v>194</v>
      </c>
      <c r="F187" s="28"/>
      <c r="G187" s="6">
        <f>'Пр.3 Рд,пр, ЦС,ВР 22'!F593</f>
        <v>5001</v>
      </c>
      <c r="H187" s="132"/>
    </row>
    <row r="188" spans="1:10" s="131" customFormat="1" ht="31.5" x14ac:dyDescent="0.25">
      <c r="A188" s="22" t="s">
        <v>235</v>
      </c>
      <c r="B188" s="15" t="s">
        <v>884</v>
      </c>
      <c r="C188" s="28" t="s">
        <v>187</v>
      </c>
      <c r="D188" s="28" t="s">
        <v>158</v>
      </c>
      <c r="E188" s="28" t="s">
        <v>194</v>
      </c>
      <c r="F188" s="28" t="s">
        <v>307</v>
      </c>
      <c r="G188" s="10">
        <f>G187</f>
        <v>5001</v>
      </c>
      <c r="H188" s="132"/>
    </row>
    <row r="189" spans="1:10" s="131" customFormat="1" ht="47.25" x14ac:dyDescent="0.25">
      <c r="A189" s="24" t="s">
        <v>244</v>
      </c>
      <c r="B189" s="15" t="s">
        <v>781</v>
      </c>
      <c r="C189" s="28" t="s">
        <v>187</v>
      </c>
      <c r="D189" s="28" t="s">
        <v>158</v>
      </c>
      <c r="E189" s="28"/>
      <c r="F189" s="28"/>
      <c r="G189" s="6">
        <f>G190</f>
        <v>909.3</v>
      </c>
      <c r="H189" s="132"/>
    </row>
    <row r="190" spans="1:10" s="131" customFormat="1" ht="31.5" x14ac:dyDescent="0.25">
      <c r="A190" s="19" t="s">
        <v>191</v>
      </c>
      <c r="B190" s="15" t="s">
        <v>781</v>
      </c>
      <c r="C190" s="28" t="s">
        <v>187</v>
      </c>
      <c r="D190" s="28" t="s">
        <v>158</v>
      </c>
      <c r="E190" s="28" t="s">
        <v>192</v>
      </c>
      <c r="F190" s="28"/>
      <c r="G190" s="6">
        <f>G191</f>
        <v>909.3</v>
      </c>
      <c r="H190" s="132"/>
    </row>
    <row r="191" spans="1:10" s="131" customFormat="1" ht="15.75" x14ac:dyDescent="0.25">
      <c r="A191" s="19" t="s">
        <v>193</v>
      </c>
      <c r="B191" s="15" t="s">
        <v>781</v>
      </c>
      <c r="C191" s="28" t="s">
        <v>187</v>
      </c>
      <c r="D191" s="28" t="s">
        <v>158</v>
      </c>
      <c r="E191" s="28" t="s">
        <v>194</v>
      </c>
      <c r="F191" s="28"/>
      <c r="G191" s="6">
        <f>'Пр.3 Рд,пр, ЦС,ВР 22'!F596</f>
        <v>909.3</v>
      </c>
      <c r="H191" s="132"/>
    </row>
    <row r="192" spans="1:10" s="131" customFormat="1" ht="31.5" x14ac:dyDescent="0.25">
      <c r="A192" s="22" t="s">
        <v>235</v>
      </c>
      <c r="B192" s="15" t="s">
        <v>781</v>
      </c>
      <c r="C192" s="28" t="s">
        <v>187</v>
      </c>
      <c r="D192" s="28" t="s">
        <v>158</v>
      </c>
      <c r="E192" s="28" t="s">
        <v>194</v>
      </c>
      <c r="F192" s="28" t="s">
        <v>307</v>
      </c>
      <c r="G192" s="10">
        <f>G191</f>
        <v>909.3</v>
      </c>
      <c r="H192" s="132"/>
    </row>
    <row r="193" spans="1:8" s="362" customFormat="1" ht="47.25" x14ac:dyDescent="0.25">
      <c r="A193" s="399" t="s">
        <v>1147</v>
      </c>
      <c r="B193" s="365" t="s">
        <v>1148</v>
      </c>
      <c r="C193" s="360" t="s">
        <v>187</v>
      </c>
      <c r="D193" s="360" t="s">
        <v>158</v>
      </c>
      <c r="E193" s="360"/>
      <c r="F193" s="360"/>
      <c r="G193" s="311">
        <f>G194</f>
        <v>141470.81</v>
      </c>
      <c r="H193" s="363"/>
    </row>
    <row r="194" spans="1:8" s="362" customFormat="1" ht="31.5" x14ac:dyDescent="0.25">
      <c r="A194" s="364" t="s">
        <v>191</v>
      </c>
      <c r="B194" s="365" t="s">
        <v>1148</v>
      </c>
      <c r="C194" s="360" t="s">
        <v>187</v>
      </c>
      <c r="D194" s="360" t="s">
        <v>158</v>
      </c>
      <c r="E194" s="360" t="s">
        <v>192</v>
      </c>
      <c r="F194" s="360"/>
      <c r="G194" s="311">
        <f>G195</f>
        <v>141470.81</v>
      </c>
      <c r="H194" s="363"/>
    </row>
    <row r="195" spans="1:8" s="362" customFormat="1" ht="15.75" x14ac:dyDescent="0.25">
      <c r="A195" s="364" t="s">
        <v>193</v>
      </c>
      <c r="B195" s="365" t="s">
        <v>1148</v>
      </c>
      <c r="C195" s="360" t="s">
        <v>187</v>
      </c>
      <c r="D195" s="360" t="s">
        <v>158</v>
      </c>
      <c r="E195" s="360" t="s">
        <v>194</v>
      </c>
      <c r="F195" s="360"/>
      <c r="G195" s="311">
        <f>'Пр.4 ведом.22'!G697</f>
        <v>141470.81</v>
      </c>
      <c r="H195" s="363"/>
    </row>
    <row r="196" spans="1:8" s="362" customFormat="1" ht="31.5" x14ac:dyDescent="0.25">
      <c r="A196" s="22" t="s">
        <v>235</v>
      </c>
      <c r="B196" s="365" t="s">
        <v>1148</v>
      </c>
      <c r="C196" s="360" t="s">
        <v>187</v>
      </c>
      <c r="D196" s="360" t="s">
        <v>158</v>
      </c>
      <c r="E196" s="360" t="s">
        <v>194</v>
      </c>
      <c r="F196" s="360" t="s">
        <v>307</v>
      </c>
      <c r="G196" s="10">
        <f>G195</f>
        <v>141470.81</v>
      </c>
      <c r="H196" s="363"/>
    </row>
    <row r="197" spans="1:8" ht="15.75" x14ac:dyDescent="0.25">
      <c r="A197" s="22" t="s">
        <v>188</v>
      </c>
      <c r="B197" s="28" t="s">
        <v>768</v>
      </c>
      <c r="C197" s="28" t="s">
        <v>187</v>
      </c>
      <c r="D197" s="28" t="s">
        <v>159</v>
      </c>
      <c r="E197" s="28"/>
      <c r="F197" s="28"/>
      <c r="G197" s="6">
        <f>G198+G202</f>
        <v>2239.6</v>
      </c>
    </row>
    <row r="198" spans="1:8" s="131" customFormat="1" ht="94.5" x14ac:dyDescent="0.25">
      <c r="A198" s="24" t="s">
        <v>200</v>
      </c>
      <c r="B198" s="15" t="s">
        <v>884</v>
      </c>
      <c r="C198" s="28" t="s">
        <v>187</v>
      </c>
      <c r="D198" s="28" t="s">
        <v>159</v>
      </c>
      <c r="E198" s="28"/>
      <c r="F198" s="28"/>
      <c r="G198" s="6">
        <f>G199</f>
        <v>1480</v>
      </c>
      <c r="H198" s="132"/>
    </row>
    <row r="199" spans="1:8" s="131" customFormat="1" ht="31.5" x14ac:dyDescent="0.25">
      <c r="A199" s="19" t="s">
        <v>191</v>
      </c>
      <c r="B199" s="15" t="s">
        <v>884</v>
      </c>
      <c r="C199" s="28" t="s">
        <v>187</v>
      </c>
      <c r="D199" s="28" t="s">
        <v>159</v>
      </c>
      <c r="E199" s="28" t="s">
        <v>192</v>
      </c>
      <c r="F199" s="28"/>
      <c r="G199" s="6">
        <f>G200</f>
        <v>1480</v>
      </c>
      <c r="H199" s="132"/>
    </row>
    <row r="200" spans="1:8" s="131" customFormat="1" ht="15.75" x14ac:dyDescent="0.25">
      <c r="A200" s="19" t="s">
        <v>193</v>
      </c>
      <c r="B200" s="15" t="s">
        <v>884</v>
      </c>
      <c r="C200" s="28" t="s">
        <v>187</v>
      </c>
      <c r="D200" s="28" t="s">
        <v>159</v>
      </c>
      <c r="E200" s="28" t="s">
        <v>194</v>
      </c>
      <c r="F200" s="28"/>
      <c r="G200" s="6">
        <f>'Пр.4 ведом.22'!G779</f>
        <v>1480</v>
      </c>
      <c r="H200" s="132"/>
    </row>
    <row r="201" spans="1:8" s="131" customFormat="1" ht="31.5" x14ac:dyDescent="0.25">
      <c r="A201" s="22" t="s">
        <v>235</v>
      </c>
      <c r="B201" s="15" t="s">
        <v>884</v>
      </c>
      <c r="C201" s="28" t="s">
        <v>187</v>
      </c>
      <c r="D201" s="28" t="s">
        <v>159</v>
      </c>
      <c r="E201" s="28" t="s">
        <v>194</v>
      </c>
      <c r="F201" s="28" t="s">
        <v>307</v>
      </c>
      <c r="G201" s="10">
        <f>G200</f>
        <v>1480</v>
      </c>
      <c r="H201" s="132"/>
    </row>
    <row r="202" spans="1:8" s="131" customFormat="1" ht="47.25" x14ac:dyDescent="0.25">
      <c r="A202" s="399" t="s">
        <v>1147</v>
      </c>
      <c r="B202" s="15" t="s">
        <v>1148</v>
      </c>
      <c r="C202" s="28" t="s">
        <v>187</v>
      </c>
      <c r="D202" s="28" t="s">
        <v>159</v>
      </c>
      <c r="E202" s="28"/>
      <c r="F202" s="28"/>
      <c r="G202" s="6">
        <f>G203</f>
        <v>759.59999999999991</v>
      </c>
      <c r="H202" s="132"/>
    </row>
    <row r="203" spans="1:8" s="131" customFormat="1" ht="31.5" x14ac:dyDescent="0.25">
      <c r="A203" s="19" t="s">
        <v>191</v>
      </c>
      <c r="B203" s="365" t="s">
        <v>1148</v>
      </c>
      <c r="C203" s="28" t="s">
        <v>187</v>
      </c>
      <c r="D203" s="28" t="s">
        <v>159</v>
      </c>
      <c r="E203" s="28" t="s">
        <v>192</v>
      </c>
      <c r="F203" s="28"/>
      <c r="G203" s="6">
        <f>G204</f>
        <v>759.59999999999991</v>
      </c>
      <c r="H203" s="132"/>
    </row>
    <row r="204" spans="1:8" s="131" customFormat="1" ht="15.75" x14ac:dyDescent="0.25">
      <c r="A204" s="19" t="s">
        <v>193</v>
      </c>
      <c r="B204" s="365" t="s">
        <v>1148</v>
      </c>
      <c r="C204" s="28" t="s">
        <v>187</v>
      </c>
      <c r="D204" s="28" t="s">
        <v>159</v>
      </c>
      <c r="E204" s="28" t="s">
        <v>194</v>
      </c>
      <c r="F204" s="28"/>
      <c r="G204" s="6">
        <f>'Пр.4 ведом.22'!G783</f>
        <v>759.59999999999991</v>
      </c>
      <c r="H204" s="132"/>
    </row>
    <row r="205" spans="1:8" s="131" customFormat="1" ht="31.5" x14ac:dyDescent="0.25">
      <c r="A205" s="22" t="s">
        <v>235</v>
      </c>
      <c r="B205" s="365" t="s">
        <v>1148</v>
      </c>
      <c r="C205" s="28" t="s">
        <v>187</v>
      </c>
      <c r="D205" s="28" t="s">
        <v>159</v>
      </c>
      <c r="E205" s="28" t="s">
        <v>194</v>
      </c>
      <c r="F205" s="28" t="s">
        <v>307</v>
      </c>
      <c r="G205" s="10">
        <f>G204</f>
        <v>759.59999999999991</v>
      </c>
      <c r="H205" s="132"/>
    </row>
    <row r="206" spans="1:8" s="131" customFormat="1" ht="31.5" x14ac:dyDescent="0.25">
      <c r="A206" s="17" t="s">
        <v>809</v>
      </c>
      <c r="B206" s="18" t="s">
        <v>770</v>
      </c>
      <c r="C206" s="7"/>
      <c r="D206" s="7"/>
      <c r="E206" s="7"/>
      <c r="F206" s="7"/>
      <c r="G206" s="38">
        <f>G207+G221</f>
        <v>5062.0000000000009</v>
      </c>
      <c r="H206" s="132"/>
    </row>
    <row r="207" spans="1:8" ht="15.75" x14ac:dyDescent="0.25">
      <c r="A207" s="22" t="s">
        <v>186</v>
      </c>
      <c r="B207" s="15" t="s">
        <v>770</v>
      </c>
      <c r="C207" s="28" t="s">
        <v>187</v>
      </c>
      <c r="D207" s="28"/>
      <c r="E207" s="28"/>
      <c r="F207" s="28"/>
      <c r="G207" s="10">
        <f t="shared" ref="G207" si="14">G208</f>
        <v>4553.4000000000005</v>
      </c>
    </row>
    <row r="208" spans="1:8" ht="15.75" x14ac:dyDescent="0.25">
      <c r="A208" s="31" t="s">
        <v>236</v>
      </c>
      <c r="B208" s="15" t="s">
        <v>770</v>
      </c>
      <c r="C208" s="28" t="s">
        <v>187</v>
      </c>
      <c r="D208" s="28" t="s">
        <v>116</v>
      </c>
      <c r="E208" s="28"/>
      <c r="F208" s="28"/>
      <c r="G208" s="10">
        <f>G209+G213+G217</f>
        <v>4553.4000000000005</v>
      </c>
    </row>
    <row r="209" spans="1:8" ht="31.5" hidden="1" x14ac:dyDescent="0.25">
      <c r="A209" s="22" t="s">
        <v>195</v>
      </c>
      <c r="B209" s="15" t="s">
        <v>826</v>
      </c>
      <c r="C209" s="28" t="s">
        <v>187</v>
      </c>
      <c r="D209" s="28" t="s">
        <v>116</v>
      </c>
      <c r="E209" s="28"/>
      <c r="F209" s="28"/>
      <c r="G209" s="10">
        <f t="shared" ref="G209:G210" si="15">G210</f>
        <v>0</v>
      </c>
    </row>
    <row r="210" spans="1:8" ht="31.5" hidden="1" x14ac:dyDescent="0.25">
      <c r="A210" s="22" t="s">
        <v>191</v>
      </c>
      <c r="B210" s="15" t="s">
        <v>826</v>
      </c>
      <c r="C210" s="28" t="s">
        <v>187</v>
      </c>
      <c r="D210" s="28" t="s">
        <v>116</v>
      </c>
      <c r="E210" s="28" t="s">
        <v>192</v>
      </c>
      <c r="F210" s="28"/>
      <c r="G210" s="10">
        <f t="shared" si="15"/>
        <v>0</v>
      </c>
    </row>
    <row r="211" spans="1:8" ht="15.75" hidden="1" x14ac:dyDescent="0.25">
      <c r="A211" s="22" t="s">
        <v>193</v>
      </c>
      <c r="B211" s="15" t="s">
        <v>826</v>
      </c>
      <c r="C211" s="28" t="s">
        <v>187</v>
      </c>
      <c r="D211" s="28" t="s">
        <v>116</v>
      </c>
      <c r="E211" s="28" t="s">
        <v>194</v>
      </c>
      <c r="F211" s="28"/>
      <c r="G211" s="10">
        <f>'Пр.4 ведом.22'!G633</f>
        <v>0</v>
      </c>
    </row>
    <row r="212" spans="1:8" s="131" customFormat="1" ht="31.5" hidden="1" x14ac:dyDescent="0.25">
      <c r="A212" s="22" t="s">
        <v>235</v>
      </c>
      <c r="B212" s="15" t="s">
        <v>826</v>
      </c>
      <c r="C212" s="28" t="s">
        <v>187</v>
      </c>
      <c r="D212" s="28" t="s">
        <v>116</v>
      </c>
      <c r="E212" s="28" t="s">
        <v>194</v>
      </c>
      <c r="F212" s="28" t="s">
        <v>307</v>
      </c>
      <c r="G212" s="10">
        <f>G211</f>
        <v>0</v>
      </c>
      <c r="H212" s="132"/>
    </row>
    <row r="213" spans="1:8" ht="31.7" hidden="1" customHeight="1" x14ac:dyDescent="0.25">
      <c r="A213" s="22" t="s">
        <v>196</v>
      </c>
      <c r="B213" s="15" t="s">
        <v>827</v>
      </c>
      <c r="C213" s="28" t="s">
        <v>187</v>
      </c>
      <c r="D213" s="28" t="s">
        <v>116</v>
      </c>
      <c r="E213" s="28"/>
      <c r="F213" s="28"/>
      <c r="G213" s="10">
        <f t="shared" ref="G213:G214" si="16">G214</f>
        <v>0</v>
      </c>
    </row>
    <row r="214" spans="1:8" ht="31.7" hidden="1" customHeight="1" x14ac:dyDescent="0.25">
      <c r="A214" s="22" t="s">
        <v>191</v>
      </c>
      <c r="B214" s="15" t="s">
        <v>827</v>
      </c>
      <c r="C214" s="28" t="s">
        <v>187</v>
      </c>
      <c r="D214" s="28" t="s">
        <v>116</v>
      </c>
      <c r="E214" s="28" t="s">
        <v>192</v>
      </c>
      <c r="F214" s="28"/>
      <c r="G214" s="10">
        <f t="shared" si="16"/>
        <v>0</v>
      </c>
    </row>
    <row r="215" spans="1:8" ht="15.75" hidden="1" customHeight="1" x14ac:dyDescent="0.25">
      <c r="A215" s="22" t="s">
        <v>193</v>
      </c>
      <c r="B215" s="15" t="s">
        <v>827</v>
      </c>
      <c r="C215" s="28" t="s">
        <v>187</v>
      </c>
      <c r="D215" s="28" t="s">
        <v>116</v>
      </c>
      <c r="E215" s="28" t="s">
        <v>194</v>
      </c>
      <c r="F215" s="28"/>
      <c r="G215" s="10">
        <f>'Пр.4 ведом.22'!G636</f>
        <v>0</v>
      </c>
    </row>
    <row r="216" spans="1:8" s="131" customFormat="1" ht="35.450000000000003" hidden="1" customHeight="1" x14ac:dyDescent="0.25">
      <c r="A216" s="22" t="s">
        <v>235</v>
      </c>
      <c r="B216" s="15" t="s">
        <v>827</v>
      </c>
      <c r="C216" s="28" t="s">
        <v>187</v>
      </c>
      <c r="D216" s="28" t="s">
        <v>116</v>
      </c>
      <c r="E216" s="28" t="s">
        <v>194</v>
      </c>
      <c r="F216" s="28" t="s">
        <v>307</v>
      </c>
      <c r="G216" s="10">
        <f>G215</f>
        <v>0</v>
      </c>
      <c r="H216" s="132"/>
    </row>
    <row r="217" spans="1:8" ht="31.5" x14ac:dyDescent="0.25">
      <c r="A217" s="22" t="s">
        <v>238</v>
      </c>
      <c r="B217" s="15" t="s">
        <v>771</v>
      </c>
      <c r="C217" s="28" t="s">
        <v>187</v>
      </c>
      <c r="D217" s="28" t="s">
        <v>116</v>
      </c>
      <c r="E217" s="28"/>
      <c r="F217" s="28"/>
      <c r="G217" s="10">
        <f t="shared" ref="G217:G218" si="17">G218</f>
        <v>4553.4000000000005</v>
      </c>
    </row>
    <row r="218" spans="1:8" ht="33.75" customHeight="1" x14ac:dyDescent="0.25">
      <c r="A218" s="22" t="s">
        <v>191</v>
      </c>
      <c r="B218" s="15" t="s">
        <v>771</v>
      </c>
      <c r="C218" s="28" t="s">
        <v>187</v>
      </c>
      <c r="D218" s="28" t="s">
        <v>116</v>
      </c>
      <c r="E218" s="28" t="s">
        <v>192</v>
      </c>
      <c r="F218" s="28"/>
      <c r="G218" s="10">
        <f t="shared" si="17"/>
        <v>4553.4000000000005</v>
      </c>
    </row>
    <row r="219" spans="1:8" ht="15.75" x14ac:dyDescent="0.25">
      <c r="A219" s="22" t="s">
        <v>193</v>
      </c>
      <c r="B219" s="15" t="s">
        <v>771</v>
      </c>
      <c r="C219" s="28" t="s">
        <v>187</v>
      </c>
      <c r="D219" s="28" t="s">
        <v>116</v>
      </c>
      <c r="E219" s="28" t="s">
        <v>194</v>
      </c>
      <c r="F219" s="28"/>
      <c r="G219" s="6">
        <f>'Пр.4 ведом.22'!G639</f>
        <v>4553.4000000000005</v>
      </c>
    </row>
    <row r="220" spans="1:8" s="131" customFormat="1" ht="31.5" x14ac:dyDescent="0.25">
      <c r="A220" s="22" t="s">
        <v>235</v>
      </c>
      <c r="B220" s="15" t="s">
        <v>771</v>
      </c>
      <c r="C220" s="28" t="s">
        <v>187</v>
      </c>
      <c r="D220" s="28" t="s">
        <v>116</v>
      </c>
      <c r="E220" s="28" t="s">
        <v>194</v>
      </c>
      <c r="F220" s="28" t="s">
        <v>307</v>
      </c>
      <c r="G220" s="10">
        <f>G219</f>
        <v>4553.4000000000005</v>
      </c>
      <c r="H220" s="132"/>
    </row>
    <row r="221" spans="1:8" s="131" customFormat="1" ht="15.75" x14ac:dyDescent="0.25">
      <c r="A221" s="22" t="s">
        <v>186</v>
      </c>
      <c r="B221" s="28" t="s">
        <v>770</v>
      </c>
      <c r="C221" s="28" t="s">
        <v>187</v>
      </c>
      <c r="D221" s="28"/>
      <c r="E221" s="28"/>
      <c r="F221" s="28"/>
      <c r="G221" s="10">
        <f t="shared" ref="G221" si="18">G222</f>
        <v>508.6</v>
      </c>
      <c r="H221" s="132"/>
    </row>
    <row r="222" spans="1:8" s="131" customFormat="1" ht="15.75" x14ac:dyDescent="0.25">
      <c r="A222" s="22" t="s">
        <v>239</v>
      </c>
      <c r="B222" s="28" t="s">
        <v>770</v>
      </c>
      <c r="C222" s="28" t="s">
        <v>187</v>
      </c>
      <c r="D222" s="28" t="s">
        <v>158</v>
      </c>
      <c r="E222" s="28"/>
      <c r="F222" s="28"/>
      <c r="G222" s="10">
        <f>G223+G227+G231+G235</f>
        <v>508.6</v>
      </c>
      <c r="H222" s="132"/>
    </row>
    <row r="223" spans="1:8" s="131" customFormat="1" ht="47.25" hidden="1" x14ac:dyDescent="0.25">
      <c r="A223" s="19" t="s">
        <v>367</v>
      </c>
      <c r="B223" s="15" t="s">
        <v>825</v>
      </c>
      <c r="C223" s="28" t="s">
        <v>187</v>
      </c>
      <c r="D223" s="28" t="s">
        <v>158</v>
      </c>
      <c r="E223" s="28"/>
      <c r="F223" s="28"/>
      <c r="G223" s="6">
        <f>G224</f>
        <v>0</v>
      </c>
      <c r="H223" s="132"/>
    </row>
    <row r="224" spans="1:8" s="131" customFormat="1" ht="31.5" hidden="1" x14ac:dyDescent="0.25">
      <c r="A224" s="19" t="s">
        <v>191</v>
      </c>
      <c r="B224" s="15" t="s">
        <v>825</v>
      </c>
      <c r="C224" s="28" t="s">
        <v>187</v>
      </c>
      <c r="D224" s="28" t="s">
        <v>158</v>
      </c>
      <c r="E224" s="28" t="s">
        <v>192</v>
      </c>
      <c r="F224" s="28"/>
      <c r="G224" s="6">
        <f>G225</f>
        <v>0</v>
      </c>
      <c r="H224" s="132"/>
    </row>
    <row r="225" spans="1:8" s="131" customFormat="1" ht="15.75" hidden="1" x14ac:dyDescent="0.25">
      <c r="A225" s="19" t="s">
        <v>193</v>
      </c>
      <c r="B225" s="15" t="s">
        <v>825</v>
      </c>
      <c r="C225" s="28" t="s">
        <v>187</v>
      </c>
      <c r="D225" s="28" t="s">
        <v>158</v>
      </c>
      <c r="E225" s="28" t="s">
        <v>194</v>
      </c>
      <c r="F225" s="28"/>
      <c r="G225" s="6">
        <f>'Пр.4 ведом.22'!G701</f>
        <v>0</v>
      </c>
      <c r="H225" s="132"/>
    </row>
    <row r="226" spans="1:8" s="131" customFormat="1" ht="31.5" hidden="1" x14ac:dyDescent="0.25">
      <c r="A226" s="22" t="s">
        <v>235</v>
      </c>
      <c r="B226" s="15" t="s">
        <v>825</v>
      </c>
      <c r="C226" s="28" t="s">
        <v>187</v>
      </c>
      <c r="D226" s="28" t="s">
        <v>158</v>
      </c>
      <c r="E226" s="28" t="s">
        <v>194</v>
      </c>
      <c r="F226" s="28" t="s">
        <v>307</v>
      </c>
      <c r="G226" s="10">
        <f>G225</f>
        <v>0</v>
      </c>
      <c r="H226" s="132"/>
    </row>
    <row r="227" spans="1:8" s="131" customFormat="1" ht="31.5" x14ac:dyDescent="0.25">
      <c r="A227" s="19" t="s">
        <v>195</v>
      </c>
      <c r="B227" s="15" t="s">
        <v>826</v>
      </c>
      <c r="C227" s="28" t="s">
        <v>187</v>
      </c>
      <c r="D227" s="28" t="s">
        <v>158</v>
      </c>
      <c r="E227" s="28"/>
      <c r="F227" s="28"/>
      <c r="G227" s="6">
        <f t="shared" ref="G227:G228" si="19">G228</f>
        <v>300</v>
      </c>
      <c r="H227" s="132"/>
    </row>
    <row r="228" spans="1:8" s="131" customFormat="1" ht="31.5" x14ac:dyDescent="0.25">
      <c r="A228" s="19" t="s">
        <v>191</v>
      </c>
      <c r="B228" s="15" t="s">
        <v>826</v>
      </c>
      <c r="C228" s="28" t="s">
        <v>187</v>
      </c>
      <c r="D228" s="28" t="s">
        <v>158</v>
      </c>
      <c r="E228" s="28" t="s">
        <v>192</v>
      </c>
      <c r="F228" s="28"/>
      <c r="G228" s="6">
        <f t="shared" si="19"/>
        <v>300</v>
      </c>
      <c r="H228" s="132"/>
    </row>
    <row r="229" spans="1:8" s="131" customFormat="1" ht="15.75" x14ac:dyDescent="0.25">
      <c r="A229" s="19" t="s">
        <v>193</v>
      </c>
      <c r="B229" s="15" t="s">
        <v>826</v>
      </c>
      <c r="C229" s="28" t="s">
        <v>187</v>
      </c>
      <c r="D229" s="28" t="s">
        <v>158</v>
      </c>
      <c r="E229" s="28" t="s">
        <v>194</v>
      </c>
      <c r="F229" s="28"/>
      <c r="G229" s="6">
        <f>'Пр.4 ведом.22'!G704</f>
        <v>300</v>
      </c>
      <c r="H229" s="132"/>
    </row>
    <row r="230" spans="1:8" s="131" customFormat="1" ht="31.5" x14ac:dyDescent="0.25">
      <c r="A230" s="22" t="s">
        <v>235</v>
      </c>
      <c r="B230" s="15" t="s">
        <v>826</v>
      </c>
      <c r="C230" s="28" t="s">
        <v>187</v>
      </c>
      <c r="D230" s="28" t="s">
        <v>158</v>
      </c>
      <c r="E230" s="28" t="s">
        <v>194</v>
      </c>
      <c r="F230" s="28" t="s">
        <v>307</v>
      </c>
      <c r="G230" s="10">
        <f>G229</f>
        <v>300</v>
      </c>
      <c r="H230" s="132"/>
    </row>
    <row r="231" spans="1:8" s="131" customFormat="1" ht="31.5" hidden="1" x14ac:dyDescent="0.25">
      <c r="A231" s="19" t="s">
        <v>196</v>
      </c>
      <c r="B231" s="15" t="s">
        <v>827</v>
      </c>
      <c r="C231" s="28" t="s">
        <v>187</v>
      </c>
      <c r="D231" s="28" t="s">
        <v>158</v>
      </c>
      <c r="E231" s="28"/>
      <c r="F231" s="28"/>
      <c r="G231" s="6">
        <f t="shared" ref="G231:G232" si="20">G232</f>
        <v>0</v>
      </c>
      <c r="H231" s="132"/>
    </row>
    <row r="232" spans="1:8" s="131" customFormat="1" ht="31.5" hidden="1" x14ac:dyDescent="0.25">
      <c r="A232" s="19" t="s">
        <v>191</v>
      </c>
      <c r="B232" s="15" t="s">
        <v>827</v>
      </c>
      <c r="C232" s="28" t="s">
        <v>187</v>
      </c>
      <c r="D232" s="28" t="s">
        <v>158</v>
      </c>
      <c r="E232" s="28" t="s">
        <v>192</v>
      </c>
      <c r="F232" s="28"/>
      <c r="G232" s="6">
        <f t="shared" si="20"/>
        <v>0</v>
      </c>
      <c r="H232" s="132"/>
    </row>
    <row r="233" spans="1:8" s="131" customFormat="1" ht="15.75" hidden="1" x14ac:dyDescent="0.25">
      <c r="A233" s="19" t="s">
        <v>193</v>
      </c>
      <c r="B233" s="15" t="s">
        <v>827</v>
      </c>
      <c r="C233" s="28" t="s">
        <v>187</v>
      </c>
      <c r="D233" s="28" t="s">
        <v>158</v>
      </c>
      <c r="E233" s="28" t="s">
        <v>194</v>
      </c>
      <c r="F233" s="28"/>
      <c r="G233" s="6">
        <f>'Пр.4 ведом.22'!G707</f>
        <v>0</v>
      </c>
      <c r="H233" s="132"/>
    </row>
    <row r="234" spans="1:8" s="131" customFormat="1" ht="31.5" hidden="1" x14ac:dyDescent="0.25">
      <c r="A234" s="22" t="s">
        <v>235</v>
      </c>
      <c r="B234" s="15" t="s">
        <v>827</v>
      </c>
      <c r="C234" s="28" t="s">
        <v>187</v>
      </c>
      <c r="D234" s="28" t="s">
        <v>158</v>
      </c>
      <c r="E234" s="28" t="s">
        <v>194</v>
      </c>
      <c r="F234" s="28" t="s">
        <v>307</v>
      </c>
      <c r="G234" s="10">
        <f>G233</f>
        <v>0</v>
      </c>
      <c r="H234" s="132"/>
    </row>
    <row r="235" spans="1:8" s="131" customFormat="1" ht="31.5" x14ac:dyDescent="0.25">
      <c r="A235" s="22" t="s">
        <v>197</v>
      </c>
      <c r="B235" s="15" t="s">
        <v>783</v>
      </c>
      <c r="C235" s="28" t="s">
        <v>187</v>
      </c>
      <c r="D235" s="28" t="s">
        <v>158</v>
      </c>
      <c r="E235" s="28"/>
      <c r="F235" s="28"/>
      <c r="G235" s="10">
        <f t="shared" ref="G235:G236" si="21">G236</f>
        <v>208.6</v>
      </c>
      <c r="H235" s="132"/>
    </row>
    <row r="236" spans="1:8" s="131" customFormat="1" ht="31.5" x14ac:dyDescent="0.25">
      <c r="A236" s="22" t="s">
        <v>191</v>
      </c>
      <c r="B236" s="15" t="s">
        <v>783</v>
      </c>
      <c r="C236" s="28" t="s">
        <v>187</v>
      </c>
      <c r="D236" s="28" t="s">
        <v>158</v>
      </c>
      <c r="E236" s="28" t="s">
        <v>192</v>
      </c>
      <c r="F236" s="28"/>
      <c r="G236" s="10">
        <f t="shared" si="21"/>
        <v>208.6</v>
      </c>
      <c r="H236" s="132"/>
    </row>
    <row r="237" spans="1:8" s="131" customFormat="1" ht="15.75" x14ac:dyDescent="0.25">
      <c r="A237" s="22" t="s">
        <v>193</v>
      </c>
      <c r="B237" s="15" t="s">
        <v>783</v>
      </c>
      <c r="C237" s="28" t="s">
        <v>187</v>
      </c>
      <c r="D237" s="28" t="s">
        <v>158</v>
      </c>
      <c r="E237" s="28" t="s">
        <v>194</v>
      </c>
      <c r="F237" s="28"/>
      <c r="G237" s="10">
        <f>'Пр.4 ведом.22'!G710</f>
        <v>208.6</v>
      </c>
      <c r="H237" s="132"/>
    </row>
    <row r="238" spans="1:8" s="131" customFormat="1" ht="31.5" x14ac:dyDescent="0.25">
      <c r="A238" s="22" t="s">
        <v>235</v>
      </c>
      <c r="B238" s="15" t="s">
        <v>783</v>
      </c>
      <c r="C238" s="28" t="s">
        <v>187</v>
      </c>
      <c r="D238" s="28" t="s">
        <v>158</v>
      </c>
      <c r="E238" s="28" t="s">
        <v>194</v>
      </c>
      <c r="F238" s="28" t="s">
        <v>307</v>
      </c>
      <c r="G238" s="10">
        <f>G237</f>
        <v>208.6</v>
      </c>
      <c r="H238" s="132"/>
    </row>
    <row r="239" spans="1:8" s="131" customFormat="1" ht="31.5" x14ac:dyDescent="0.25">
      <c r="A239" s="17" t="s">
        <v>511</v>
      </c>
      <c r="B239" s="18" t="s">
        <v>772</v>
      </c>
      <c r="C239" s="7"/>
      <c r="D239" s="7"/>
      <c r="E239" s="7"/>
      <c r="F239" s="7"/>
      <c r="G239" s="38">
        <f>G240</f>
        <v>7513.9</v>
      </c>
      <c r="H239" s="132"/>
    </row>
    <row r="240" spans="1:8" s="131" customFormat="1" ht="15.75" x14ac:dyDescent="0.25">
      <c r="A240" s="22" t="s">
        <v>186</v>
      </c>
      <c r="B240" s="15" t="s">
        <v>772</v>
      </c>
      <c r="C240" s="28" t="s">
        <v>187</v>
      </c>
      <c r="D240" s="28"/>
      <c r="E240" s="28"/>
      <c r="F240" s="28"/>
      <c r="G240" s="10">
        <f t="shared" ref="G240:G243" si="22">G241</f>
        <v>7513.9</v>
      </c>
      <c r="H240" s="132"/>
    </row>
    <row r="241" spans="1:8" s="131" customFormat="1" ht="15.75" x14ac:dyDescent="0.25">
      <c r="A241" s="22" t="s">
        <v>246</v>
      </c>
      <c r="B241" s="15" t="s">
        <v>772</v>
      </c>
      <c r="C241" s="28" t="s">
        <v>187</v>
      </c>
      <c r="D241" s="28" t="s">
        <v>187</v>
      </c>
      <c r="E241" s="28"/>
      <c r="F241" s="28"/>
      <c r="G241" s="10">
        <f>G242</f>
        <v>7513.9</v>
      </c>
      <c r="H241" s="132"/>
    </row>
    <row r="242" spans="1:8" s="131" customFormat="1" ht="31.5" x14ac:dyDescent="0.25">
      <c r="A242" s="24" t="s">
        <v>617</v>
      </c>
      <c r="B242" s="15" t="s">
        <v>789</v>
      </c>
      <c r="C242" s="28" t="s">
        <v>187</v>
      </c>
      <c r="D242" s="28" t="s">
        <v>187</v>
      </c>
      <c r="E242" s="28"/>
      <c r="F242" s="28"/>
      <c r="G242" s="10">
        <f t="shared" si="22"/>
        <v>7513.9</v>
      </c>
      <c r="H242" s="132"/>
    </row>
    <row r="243" spans="1:8" s="131" customFormat="1" ht="31.5" x14ac:dyDescent="0.25">
      <c r="A243" s="19" t="s">
        <v>191</v>
      </c>
      <c r="B243" s="15" t="s">
        <v>789</v>
      </c>
      <c r="C243" s="28" t="s">
        <v>187</v>
      </c>
      <c r="D243" s="28" t="s">
        <v>187</v>
      </c>
      <c r="E243" s="28" t="s">
        <v>192</v>
      </c>
      <c r="F243" s="28"/>
      <c r="G243" s="10">
        <f t="shared" si="22"/>
        <v>7513.9</v>
      </c>
      <c r="H243" s="132"/>
    </row>
    <row r="244" spans="1:8" s="131" customFormat="1" ht="15.75" x14ac:dyDescent="0.25">
      <c r="A244" s="19" t="s">
        <v>193</v>
      </c>
      <c r="B244" s="15" t="s">
        <v>789</v>
      </c>
      <c r="C244" s="28" t="s">
        <v>187</v>
      </c>
      <c r="D244" s="28" t="s">
        <v>187</v>
      </c>
      <c r="E244" s="28" t="s">
        <v>194</v>
      </c>
      <c r="F244" s="28"/>
      <c r="G244" s="10">
        <f>'Пр.4 ведом.22'!G806</f>
        <v>7513.9</v>
      </c>
      <c r="H244" s="132"/>
    </row>
    <row r="245" spans="1:8" s="131" customFormat="1" ht="31.5" x14ac:dyDescent="0.25">
      <c r="A245" s="22" t="s">
        <v>235</v>
      </c>
      <c r="B245" s="15" t="s">
        <v>789</v>
      </c>
      <c r="C245" s="28" t="s">
        <v>187</v>
      </c>
      <c r="D245" s="28" t="s">
        <v>187</v>
      </c>
      <c r="E245" s="28" t="s">
        <v>194</v>
      </c>
      <c r="F245" s="28" t="s">
        <v>307</v>
      </c>
      <c r="G245" s="400">
        <f>G244</f>
        <v>7513.9</v>
      </c>
      <c r="H245" s="132"/>
    </row>
    <row r="246" spans="1:8" s="131" customFormat="1" ht="31.5" x14ac:dyDescent="0.25">
      <c r="A246" s="145" t="s">
        <v>515</v>
      </c>
      <c r="B246" s="18" t="s">
        <v>773</v>
      </c>
      <c r="C246" s="7"/>
      <c r="D246" s="7"/>
      <c r="E246" s="7"/>
      <c r="F246" s="7"/>
      <c r="G246" s="4">
        <f>G247</f>
        <v>8313</v>
      </c>
      <c r="H246" s="132"/>
    </row>
    <row r="247" spans="1:8" s="131" customFormat="1" ht="15.75" x14ac:dyDescent="0.25">
      <c r="A247" s="22" t="s">
        <v>186</v>
      </c>
      <c r="B247" s="15" t="s">
        <v>773</v>
      </c>
      <c r="C247" s="28" t="s">
        <v>187</v>
      </c>
      <c r="D247" s="28"/>
      <c r="E247" s="28"/>
      <c r="F247" s="28"/>
      <c r="G247" s="10">
        <f>G248+G261+G270</f>
        <v>8313</v>
      </c>
      <c r="H247" s="132"/>
    </row>
    <row r="248" spans="1:8" s="131" customFormat="1" ht="15.75" x14ac:dyDescent="0.25">
      <c r="A248" s="31" t="s">
        <v>236</v>
      </c>
      <c r="B248" s="15" t="s">
        <v>773</v>
      </c>
      <c r="C248" s="28" t="s">
        <v>187</v>
      </c>
      <c r="D248" s="28" t="s">
        <v>116</v>
      </c>
      <c r="E248" s="28"/>
      <c r="F248" s="28"/>
      <c r="G248" s="10">
        <f>G249+G253+G257</f>
        <v>4142</v>
      </c>
      <c r="H248" s="132"/>
    </row>
    <row r="249" spans="1:8" ht="31.7" hidden="1" customHeight="1" x14ac:dyDescent="0.25">
      <c r="A249" s="22" t="s">
        <v>198</v>
      </c>
      <c r="B249" s="15" t="s">
        <v>786</v>
      </c>
      <c r="C249" s="28" t="s">
        <v>187</v>
      </c>
      <c r="D249" s="28" t="s">
        <v>116</v>
      </c>
      <c r="E249" s="28"/>
      <c r="F249" s="28"/>
      <c r="G249" s="10">
        <f t="shared" ref="G249:G250" si="23">G250</f>
        <v>0</v>
      </c>
    </row>
    <row r="250" spans="1:8" ht="31.7" hidden="1" customHeight="1" x14ac:dyDescent="0.25">
      <c r="A250" s="22" t="s">
        <v>191</v>
      </c>
      <c r="B250" s="15" t="s">
        <v>786</v>
      </c>
      <c r="C250" s="28" t="s">
        <v>187</v>
      </c>
      <c r="D250" s="28" t="s">
        <v>116</v>
      </c>
      <c r="E250" s="28" t="s">
        <v>192</v>
      </c>
      <c r="F250" s="28"/>
      <c r="G250" s="10">
        <f t="shared" si="23"/>
        <v>0</v>
      </c>
    </row>
    <row r="251" spans="1:8" ht="15.75" hidden="1" customHeight="1" x14ac:dyDescent="0.25">
      <c r="A251" s="22" t="s">
        <v>193</v>
      </c>
      <c r="B251" s="15" t="s">
        <v>786</v>
      </c>
      <c r="C251" s="28" t="s">
        <v>187</v>
      </c>
      <c r="D251" s="28" t="s">
        <v>116</v>
      </c>
      <c r="E251" s="28" t="s">
        <v>194</v>
      </c>
      <c r="F251" s="28"/>
      <c r="G251" s="10">
        <f>'Пр.4 ведом.22'!G643</f>
        <v>0</v>
      </c>
    </row>
    <row r="252" spans="1:8" s="131" customFormat="1" ht="30.6" hidden="1" customHeight="1" x14ac:dyDescent="0.25">
      <c r="A252" s="22" t="s">
        <v>235</v>
      </c>
      <c r="B252" s="15" t="s">
        <v>786</v>
      </c>
      <c r="C252" s="28" t="s">
        <v>187</v>
      </c>
      <c r="D252" s="28" t="s">
        <v>116</v>
      </c>
      <c r="E252" s="28" t="s">
        <v>194</v>
      </c>
      <c r="F252" s="28" t="s">
        <v>307</v>
      </c>
      <c r="G252" s="10">
        <f>G251</f>
        <v>0</v>
      </c>
      <c r="H252" s="132"/>
    </row>
    <row r="253" spans="1:8" ht="31.5" x14ac:dyDescent="0.25">
      <c r="A253" s="39" t="s">
        <v>344</v>
      </c>
      <c r="B253" s="15" t="s">
        <v>774</v>
      </c>
      <c r="C253" s="15" t="s">
        <v>187</v>
      </c>
      <c r="D253" s="15" t="s">
        <v>116</v>
      </c>
      <c r="E253" s="15"/>
      <c r="F253" s="15"/>
      <c r="G253" s="10">
        <f t="shared" ref="G253:G254" si="24">G254</f>
        <v>2882</v>
      </c>
    </row>
    <row r="254" spans="1:8" ht="31.5" x14ac:dyDescent="0.25">
      <c r="A254" s="22" t="s">
        <v>191</v>
      </c>
      <c r="B254" s="15" t="s">
        <v>774</v>
      </c>
      <c r="C254" s="15" t="s">
        <v>187</v>
      </c>
      <c r="D254" s="15" t="s">
        <v>116</v>
      </c>
      <c r="E254" s="15" t="s">
        <v>192</v>
      </c>
      <c r="F254" s="15"/>
      <c r="G254" s="10">
        <f t="shared" si="24"/>
        <v>2882</v>
      </c>
    </row>
    <row r="255" spans="1:8" ht="15.75" x14ac:dyDescent="0.25">
      <c r="A255" s="111" t="s">
        <v>193</v>
      </c>
      <c r="B255" s="15" t="s">
        <v>774</v>
      </c>
      <c r="C255" s="15" t="s">
        <v>187</v>
      </c>
      <c r="D255" s="15" t="s">
        <v>116</v>
      </c>
      <c r="E255" s="15" t="s">
        <v>194</v>
      </c>
      <c r="F255" s="15"/>
      <c r="G255" s="10">
        <f>'Пр.4 ведом.22'!G646</f>
        <v>2882</v>
      </c>
    </row>
    <row r="256" spans="1:8" s="131" customFormat="1" ht="31.5" x14ac:dyDescent="0.25">
      <c r="A256" s="22" t="s">
        <v>235</v>
      </c>
      <c r="B256" s="15" t="s">
        <v>774</v>
      </c>
      <c r="C256" s="28" t="s">
        <v>187</v>
      </c>
      <c r="D256" s="28" t="s">
        <v>116</v>
      </c>
      <c r="E256" s="28" t="s">
        <v>194</v>
      </c>
      <c r="F256" s="28" t="s">
        <v>307</v>
      </c>
      <c r="G256" s="10">
        <f>G255</f>
        <v>2882</v>
      </c>
      <c r="H256" s="132"/>
    </row>
    <row r="257" spans="1:8" ht="47.25" x14ac:dyDescent="0.25">
      <c r="A257" s="39" t="s">
        <v>345</v>
      </c>
      <c r="B257" s="15" t="s">
        <v>775</v>
      </c>
      <c r="C257" s="15" t="s">
        <v>187</v>
      </c>
      <c r="D257" s="15" t="s">
        <v>116</v>
      </c>
      <c r="E257" s="15"/>
      <c r="F257" s="15"/>
      <c r="G257" s="10">
        <f t="shared" ref="G257:G258" si="25">G258</f>
        <v>1260</v>
      </c>
    </row>
    <row r="258" spans="1:8" ht="31.5" x14ac:dyDescent="0.25">
      <c r="A258" s="22" t="s">
        <v>191</v>
      </c>
      <c r="B258" s="15" t="s">
        <v>775</v>
      </c>
      <c r="C258" s="15" t="s">
        <v>187</v>
      </c>
      <c r="D258" s="15" t="s">
        <v>116</v>
      </c>
      <c r="E258" s="15" t="s">
        <v>192</v>
      </c>
      <c r="F258" s="15"/>
      <c r="G258" s="10">
        <f t="shared" si="25"/>
        <v>1260</v>
      </c>
    </row>
    <row r="259" spans="1:8" ht="15.75" x14ac:dyDescent="0.25">
      <c r="A259" s="111" t="s">
        <v>193</v>
      </c>
      <c r="B259" s="15" t="s">
        <v>775</v>
      </c>
      <c r="C259" s="15" t="s">
        <v>187</v>
      </c>
      <c r="D259" s="15" t="s">
        <v>116</v>
      </c>
      <c r="E259" s="15" t="s">
        <v>194</v>
      </c>
      <c r="F259" s="15"/>
      <c r="G259" s="10">
        <f>'Пр.4 ведом.22'!G649</f>
        <v>1260</v>
      </c>
    </row>
    <row r="260" spans="1:8" s="131" customFormat="1" ht="31.5" x14ac:dyDescent="0.25">
      <c r="A260" s="22" t="s">
        <v>235</v>
      </c>
      <c r="B260" s="15" t="s">
        <v>775</v>
      </c>
      <c r="C260" s="28" t="s">
        <v>187</v>
      </c>
      <c r="D260" s="28" t="s">
        <v>116</v>
      </c>
      <c r="E260" s="28" t="s">
        <v>194</v>
      </c>
      <c r="F260" s="28" t="s">
        <v>307</v>
      </c>
      <c r="G260" s="10">
        <f>G259</f>
        <v>1260</v>
      </c>
      <c r="H260" s="132"/>
    </row>
    <row r="261" spans="1:8" s="131" customFormat="1" ht="15.75" x14ac:dyDescent="0.25">
      <c r="A261" s="22" t="s">
        <v>239</v>
      </c>
      <c r="B261" s="28" t="s">
        <v>773</v>
      </c>
      <c r="C261" s="28" t="s">
        <v>187</v>
      </c>
      <c r="D261" s="28" t="s">
        <v>158</v>
      </c>
      <c r="E261" s="28"/>
      <c r="F261" s="28"/>
      <c r="G261" s="10">
        <f>G262+G266</f>
        <v>2967</v>
      </c>
      <c r="H261" s="132"/>
    </row>
    <row r="262" spans="1:8" s="131" customFormat="1" ht="31.5" hidden="1" x14ac:dyDescent="0.25">
      <c r="A262" s="22" t="s">
        <v>198</v>
      </c>
      <c r="B262" s="15" t="s">
        <v>786</v>
      </c>
      <c r="C262" s="28" t="s">
        <v>187</v>
      </c>
      <c r="D262" s="28" t="s">
        <v>158</v>
      </c>
      <c r="E262" s="28"/>
      <c r="F262" s="28"/>
      <c r="G262" s="10">
        <f t="shared" ref="G262:G263" si="26">G263</f>
        <v>0</v>
      </c>
      <c r="H262" s="132"/>
    </row>
    <row r="263" spans="1:8" s="131" customFormat="1" ht="31.5" hidden="1" x14ac:dyDescent="0.25">
      <c r="A263" s="22" t="s">
        <v>191</v>
      </c>
      <c r="B263" s="15" t="s">
        <v>786</v>
      </c>
      <c r="C263" s="28" t="s">
        <v>187</v>
      </c>
      <c r="D263" s="28" t="s">
        <v>158</v>
      </c>
      <c r="E263" s="28" t="s">
        <v>192</v>
      </c>
      <c r="F263" s="28"/>
      <c r="G263" s="10">
        <f t="shared" si="26"/>
        <v>0</v>
      </c>
      <c r="H263" s="132"/>
    </row>
    <row r="264" spans="1:8" s="131" customFormat="1" ht="15.75" hidden="1" x14ac:dyDescent="0.25">
      <c r="A264" s="22" t="s">
        <v>193</v>
      </c>
      <c r="B264" s="15" t="s">
        <v>786</v>
      </c>
      <c r="C264" s="28" t="s">
        <v>187</v>
      </c>
      <c r="D264" s="28" t="s">
        <v>158</v>
      </c>
      <c r="E264" s="28" t="s">
        <v>194</v>
      </c>
      <c r="F264" s="28"/>
      <c r="G264" s="10">
        <f>'Пр.4 ведом.22'!G714</f>
        <v>0</v>
      </c>
      <c r="H264" s="132"/>
    </row>
    <row r="265" spans="1:8" s="131" customFormat="1" ht="31.5" hidden="1" x14ac:dyDescent="0.25">
      <c r="A265" s="22" t="s">
        <v>235</v>
      </c>
      <c r="B265" s="15" t="s">
        <v>786</v>
      </c>
      <c r="C265" s="28" t="s">
        <v>187</v>
      </c>
      <c r="D265" s="28" t="s">
        <v>158</v>
      </c>
      <c r="E265" s="28" t="s">
        <v>194</v>
      </c>
      <c r="F265" s="28" t="s">
        <v>307</v>
      </c>
      <c r="G265" s="10">
        <f>G264</f>
        <v>0</v>
      </c>
      <c r="H265" s="132"/>
    </row>
    <row r="266" spans="1:8" s="131" customFormat="1" ht="31.5" x14ac:dyDescent="0.25">
      <c r="A266" s="39" t="s">
        <v>344</v>
      </c>
      <c r="B266" s="15" t="s">
        <v>774</v>
      </c>
      <c r="C266" s="28" t="s">
        <v>187</v>
      </c>
      <c r="D266" s="28" t="s">
        <v>158</v>
      </c>
      <c r="E266" s="28"/>
      <c r="F266" s="28"/>
      <c r="G266" s="10">
        <f t="shared" ref="G266:G267" si="27">G267</f>
        <v>2967</v>
      </c>
      <c r="H266" s="132"/>
    </row>
    <row r="267" spans="1:8" s="131" customFormat="1" ht="31.5" x14ac:dyDescent="0.25">
      <c r="A267" s="22" t="s">
        <v>191</v>
      </c>
      <c r="B267" s="15" t="s">
        <v>774</v>
      </c>
      <c r="C267" s="28" t="s">
        <v>187</v>
      </c>
      <c r="D267" s="28" t="s">
        <v>158</v>
      </c>
      <c r="E267" s="28" t="s">
        <v>192</v>
      </c>
      <c r="F267" s="28"/>
      <c r="G267" s="10">
        <f t="shared" si="27"/>
        <v>2967</v>
      </c>
      <c r="H267" s="132"/>
    </row>
    <row r="268" spans="1:8" s="131" customFormat="1" ht="15.75" x14ac:dyDescent="0.25">
      <c r="A268" s="111" t="s">
        <v>193</v>
      </c>
      <c r="B268" s="15" t="s">
        <v>774</v>
      </c>
      <c r="C268" s="28" t="s">
        <v>187</v>
      </c>
      <c r="D268" s="28" t="s">
        <v>158</v>
      </c>
      <c r="E268" s="28" t="s">
        <v>194</v>
      </c>
      <c r="F268" s="28"/>
      <c r="G268" s="10">
        <f>'Пр.4 ведом.22'!G717</f>
        <v>2967</v>
      </c>
      <c r="H268" s="132"/>
    </row>
    <row r="269" spans="1:8" s="131" customFormat="1" ht="31.5" x14ac:dyDescent="0.25">
      <c r="A269" s="22" t="s">
        <v>235</v>
      </c>
      <c r="B269" s="15" t="s">
        <v>774</v>
      </c>
      <c r="C269" s="28" t="s">
        <v>187</v>
      </c>
      <c r="D269" s="28" t="s">
        <v>158</v>
      </c>
      <c r="E269" s="28" t="s">
        <v>194</v>
      </c>
      <c r="F269" s="28" t="s">
        <v>307</v>
      </c>
      <c r="G269" s="10">
        <f>G268</f>
        <v>2967</v>
      </c>
      <c r="H269" s="132"/>
    </row>
    <row r="270" spans="1:8" s="131" customFormat="1" ht="15.75" x14ac:dyDescent="0.25">
      <c r="A270" s="22" t="s">
        <v>188</v>
      </c>
      <c r="B270" s="28" t="s">
        <v>773</v>
      </c>
      <c r="C270" s="28" t="s">
        <v>187</v>
      </c>
      <c r="D270" s="28" t="s">
        <v>159</v>
      </c>
      <c r="E270" s="28"/>
      <c r="F270" s="28"/>
      <c r="G270" s="10">
        <f>G271</f>
        <v>1204</v>
      </c>
      <c r="H270" s="132"/>
    </row>
    <row r="271" spans="1:8" s="131" customFormat="1" ht="31.5" x14ac:dyDescent="0.25">
      <c r="A271" s="31" t="s">
        <v>344</v>
      </c>
      <c r="B271" s="15" t="s">
        <v>774</v>
      </c>
      <c r="C271" s="15" t="s">
        <v>187</v>
      </c>
      <c r="D271" s="15" t="s">
        <v>159</v>
      </c>
      <c r="E271" s="15"/>
      <c r="F271" s="15"/>
      <c r="G271" s="10">
        <f t="shared" ref="G271:G272" si="28">G272</f>
        <v>1204</v>
      </c>
      <c r="H271" s="132"/>
    </row>
    <row r="272" spans="1:8" s="131" customFormat="1" ht="31.5" x14ac:dyDescent="0.25">
      <c r="A272" s="22" t="s">
        <v>191</v>
      </c>
      <c r="B272" s="15" t="s">
        <v>774</v>
      </c>
      <c r="C272" s="15" t="s">
        <v>187</v>
      </c>
      <c r="D272" s="15" t="s">
        <v>159</v>
      </c>
      <c r="E272" s="15" t="s">
        <v>192</v>
      </c>
      <c r="F272" s="15"/>
      <c r="G272" s="10">
        <f t="shared" si="28"/>
        <v>1204</v>
      </c>
      <c r="H272" s="132"/>
    </row>
    <row r="273" spans="1:8" s="131" customFormat="1" ht="15.75" x14ac:dyDescent="0.25">
      <c r="A273" s="24" t="s">
        <v>193</v>
      </c>
      <c r="B273" s="15" t="s">
        <v>774</v>
      </c>
      <c r="C273" s="15" t="s">
        <v>187</v>
      </c>
      <c r="D273" s="15" t="s">
        <v>159</v>
      </c>
      <c r="E273" s="15" t="s">
        <v>194</v>
      </c>
      <c r="F273" s="15"/>
      <c r="G273" s="10">
        <f>'Пр.4 ведом.22'!G791</f>
        <v>1204</v>
      </c>
      <c r="H273" s="132"/>
    </row>
    <row r="274" spans="1:8" s="131" customFormat="1" ht="31.5" x14ac:dyDescent="0.25">
      <c r="A274" s="22" t="s">
        <v>235</v>
      </c>
      <c r="B274" s="15" t="s">
        <v>774</v>
      </c>
      <c r="C274" s="28" t="s">
        <v>187</v>
      </c>
      <c r="D274" s="28" t="s">
        <v>159</v>
      </c>
      <c r="E274" s="28" t="s">
        <v>194</v>
      </c>
      <c r="F274" s="28" t="s">
        <v>307</v>
      </c>
      <c r="G274" s="10">
        <f>G273</f>
        <v>1204</v>
      </c>
      <c r="H274" s="132"/>
    </row>
    <row r="275" spans="1:8" s="131" customFormat="1" ht="31.5" x14ac:dyDescent="0.25">
      <c r="A275" s="315" t="s">
        <v>1107</v>
      </c>
      <c r="B275" s="18" t="s">
        <v>776</v>
      </c>
      <c r="C275" s="18"/>
      <c r="D275" s="18"/>
      <c r="E275" s="18"/>
      <c r="F275" s="18"/>
      <c r="G275" s="38">
        <f>G276+G282</f>
        <v>5537.8099999999995</v>
      </c>
      <c r="H275" s="132"/>
    </row>
    <row r="276" spans="1:8" s="131" customFormat="1" ht="15.75" x14ac:dyDescent="0.25">
      <c r="A276" s="22" t="s">
        <v>186</v>
      </c>
      <c r="B276" s="15" t="s">
        <v>776</v>
      </c>
      <c r="C276" s="28" t="s">
        <v>187</v>
      </c>
      <c r="D276" s="28"/>
      <c r="E276" s="28"/>
      <c r="F276" s="28"/>
      <c r="G276" s="10">
        <f t="shared" ref="G276" si="29">G277</f>
        <v>179.29999999999998</v>
      </c>
      <c r="H276" s="132"/>
    </row>
    <row r="277" spans="1:8" s="131" customFormat="1" ht="15.75" x14ac:dyDescent="0.25">
      <c r="A277" s="31" t="s">
        <v>236</v>
      </c>
      <c r="B277" s="15" t="s">
        <v>776</v>
      </c>
      <c r="C277" s="28" t="s">
        <v>187</v>
      </c>
      <c r="D277" s="28" t="s">
        <v>116</v>
      </c>
      <c r="E277" s="28"/>
      <c r="F277" s="28"/>
      <c r="G277" s="10">
        <f>G278</f>
        <v>179.29999999999998</v>
      </c>
      <c r="H277" s="132"/>
    </row>
    <row r="278" spans="1:8" ht="31.5" x14ac:dyDescent="0.25">
      <c r="A278" s="364" t="s">
        <v>1108</v>
      </c>
      <c r="B278" s="15" t="s">
        <v>1109</v>
      </c>
      <c r="C278" s="15" t="s">
        <v>187</v>
      </c>
      <c r="D278" s="15" t="s">
        <v>116</v>
      </c>
      <c r="E278" s="15"/>
      <c r="F278" s="15"/>
      <c r="G278" s="10">
        <f>G279</f>
        <v>179.29999999999998</v>
      </c>
    </row>
    <row r="279" spans="1:8" ht="31.5" x14ac:dyDescent="0.25">
      <c r="A279" s="19" t="s">
        <v>191</v>
      </c>
      <c r="B279" s="365" t="s">
        <v>1109</v>
      </c>
      <c r="C279" s="15" t="s">
        <v>187</v>
      </c>
      <c r="D279" s="15" t="s">
        <v>116</v>
      </c>
      <c r="E279" s="15" t="s">
        <v>192</v>
      </c>
      <c r="F279" s="15"/>
      <c r="G279" s="10">
        <f>G280</f>
        <v>179.29999999999998</v>
      </c>
    </row>
    <row r="280" spans="1:8" ht="15.75" x14ac:dyDescent="0.25">
      <c r="A280" s="19" t="s">
        <v>193</v>
      </c>
      <c r="B280" s="365" t="s">
        <v>1109</v>
      </c>
      <c r="C280" s="15" t="s">
        <v>187</v>
      </c>
      <c r="D280" s="15" t="s">
        <v>116</v>
      </c>
      <c r="E280" s="15" t="s">
        <v>194</v>
      </c>
      <c r="F280" s="15"/>
      <c r="G280" s="10">
        <f>'Пр.4 ведом.22'!G653</f>
        <v>179.29999999999998</v>
      </c>
    </row>
    <row r="281" spans="1:8" s="131" customFormat="1" ht="31.5" x14ac:dyDescent="0.25">
      <c r="A281" s="22" t="s">
        <v>235</v>
      </c>
      <c r="B281" s="365" t="s">
        <v>1109</v>
      </c>
      <c r="C281" s="28" t="s">
        <v>187</v>
      </c>
      <c r="D281" s="28" t="s">
        <v>116</v>
      </c>
      <c r="E281" s="28" t="s">
        <v>194</v>
      </c>
      <c r="F281" s="28" t="s">
        <v>307</v>
      </c>
      <c r="G281" s="10">
        <f>G280</f>
        <v>179.29999999999998</v>
      </c>
      <c r="H281" s="132"/>
    </row>
    <row r="282" spans="1:8" s="131" customFormat="1" ht="15.75" x14ac:dyDescent="0.25">
      <c r="A282" s="22" t="s">
        <v>239</v>
      </c>
      <c r="B282" s="15" t="s">
        <v>776</v>
      </c>
      <c r="C282" s="28" t="s">
        <v>187</v>
      </c>
      <c r="D282" s="28" t="s">
        <v>158</v>
      </c>
      <c r="E282" s="28"/>
      <c r="F282" s="28"/>
      <c r="G282" s="10">
        <f>G283</f>
        <v>5358.5099999999993</v>
      </c>
      <c r="H282" s="132"/>
    </row>
    <row r="283" spans="1:8" s="131" customFormat="1" ht="31.5" x14ac:dyDescent="0.25">
      <c r="A283" s="364" t="s">
        <v>1108</v>
      </c>
      <c r="B283" s="365" t="s">
        <v>1109</v>
      </c>
      <c r="C283" s="28" t="s">
        <v>187</v>
      </c>
      <c r="D283" s="28" t="s">
        <v>158</v>
      </c>
      <c r="E283" s="28"/>
      <c r="F283" s="28"/>
      <c r="G283" s="10">
        <f t="shared" ref="G283:G284" si="30">G284</f>
        <v>5358.5099999999993</v>
      </c>
      <c r="H283" s="132"/>
    </row>
    <row r="284" spans="1:8" s="131" customFormat="1" ht="31.5" x14ac:dyDescent="0.25">
      <c r="A284" s="22" t="s">
        <v>191</v>
      </c>
      <c r="B284" s="365" t="s">
        <v>1109</v>
      </c>
      <c r="C284" s="28" t="s">
        <v>187</v>
      </c>
      <c r="D284" s="28" t="s">
        <v>158</v>
      </c>
      <c r="E284" s="28" t="s">
        <v>192</v>
      </c>
      <c r="F284" s="28"/>
      <c r="G284" s="10">
        <f t="shared" si="30"/>
        <v>5358.5099999999993</v>
      </c>
      <c r="H284" s="132"/>
    </row>
    <row r="285" spans="1:8" s="131" customFormat="1" ht="15.75" x14ac:dyDescent="0.25">
      <c r="A285" s="22" t="s">
        <v>193</v>
      </c>
      <c r="B285" s="365" t="s">
        <v>1109</v>
      </c>
      <c r="C285" s="28" t="s">
        <v>187</v>
      </c>
      <c r="D285" s="28" t="s">
        <v>158</v>
      </c>
      <c r="E285" s="28" t="s">
        <v>194</v>
      </c>
      <c r="F285" s="28"/>
      <c r="G285" s="6">
        <f>'Пр.4 ведом.22'!G721</f>
        <v>5358.5099999999993</v>
      </c>
      <c r="H285" s="132"/>
    </row>
    <row r="286" spans="1:8" s="131" customFormat="1" ht="31.5" x14ac:dyDescent="0.25">
      <c r="A286" s="22" t="s">
        <v>235</v>
      </c>
      <c r="B286" s="365" t="s">
        <v>1109</v>
      </c>
      <c r="C286" s="28" t="s">
        <v>187</v>
      </c>
      <c r="D286" s="28" t="s">
        <v>158</v>
      </c>
      <c r="E286" s="28" t="s">
        <v>194</v>
      </c>
      <c r="F286" s="28" t="s">
        <v>307</v>
      </c>
      <c r="G286" s="10">
        <f>G285</f>
        <v>5358.5099999999993</v>
      </c>
      <c r="H286" s="132"/>
    </row>
    <row r="287" spans="1:8" s="131" customFormat="1" ht="94.5" x14ac:dyDescent="0.25">
      <c r="A287" s="17" t="s">
        <v>902</v>
      </c>
      <c r="B287" s="18" t="s">
        <v>777</v>
      </c>
      <c r="C287" s="18"/>
      <c r="D287" s="18"/>
      <c r="E287" s="28"/>
      <c r="F287" s="28"/>
      <c r="G287" s="38">
        <f>G288</f>
        <v>701.07999999999993</v>
      </c>
      <c r="H287" s="132"/>
    </row>
    <row r="288" spans="1:8" s="131" customFormat="1" ht="15.75" x14ac:dyDescent="0.25">
      <c r="A288" s="22" t="s">
        <v>186</v>
      </c>
      <c r="B288" s="15" t="s">
        <v>777</v>
      </c>
      <c r="C288" s="15" t="s">
        <v>187</v>
      </c>
      <c r="D288" s="15"/>
      <c r="E288" s="28"/>
      <c r="F288" s="28"/>
      <c r="G288" s="10">
        <f>G289</f>
        <v>701.07999999999993</v>
      </c>
      <c r="H288" s="132"/>
    </row>
    <row r="289" spans="1:8" s="131" customFormat="1" ht="15.75" x14ac:dyDescent="0.25">
      <c r="A289" s="31" t="s">
        <v>236</v>
      </c>
      <c r="B289" s="15" t="s">
        <v>777</v>
      </c>
      <c r="C289" s="15" t="s">
        <v>187</v>
      </c>
      <c r="D289" s="15" t="s">
        <v>116</v>
      </c>
      <c r="E289" s="28"/>
      <c r="F289" s="28"/>
      <c r="G289" s="10">
        <f>G290</f>
        <v>701.07999999999993</v>
      </c>
      <c r="H289" s="132"/>
    </row>
    <row r="290" spans="1:8" s="131" customFormat="1" ht="102.2" customHeight="1" x14ac:dyDescent="0.25">
      <c r="A290" s="99" t="s">
        <v>965</v>
      </c>
      <c r="B290" s="15" t="s">
        <v>778</v>
      </c>
      <c r="C290" s="15" t="s">
        <v>187</v>
      </c>
      <c r="D290" s="15" t="s">
        <v>116</v>
      </c>
      <c r="E290" s="28"/>
      <c r="F290" s="28"/>
      <c r="G290" s="10">
        <f>G291</f>
        <v>701.07999999999993</v>
      </c>
      <c r="H290" s="132"/>
    </row>
    <row r="291" spans="1:8" s="131" customFormat="1" ht="31.5" x14ac:dyDescent="0.25">
      <c r="A291" s="19" t="s">
        <v>191</v>
      </c>
      <c r="B291" s="15" t="s">
        <v>778</v>
      </c>
      <c r="C291" s="15" t="s">
        <v>187</v>
      </c>
      <c r="D291" s="15" t="s">
        <v>116</v>
      </c>
      <c r="E291" s="15" t="s">
        <v>192</v>
      </c>
      <c r="F291" s="28"/>
      <c r="G291" s="10">
        <f>G292</f>
        <v>701.07999999999993</v>
      </c>
      <c r="H291" s="132"/>
    </row>
    <row r="292" spans="1:8" s="131" customFormat="1" ht="15.75" x14ac:dyDescent="0.25">
      <c r="A292" s="19" t="s">
        <v>193</v>
      </c>
      <c r="B292" s="15" t="s">
        <v>778</v>
      </c>
      <c r="C292" s="15" t="s">
        <v>187</v>
      </c>
      <c r="D292" s="15" t="s">
        <v>116</v>
      </c>
      <c r="E292" s="15" t="s">
        <v>194</v>
      </c>
      <c r="F292" s="28"/>
      <c r="G292" s="10">
        <f>'Пр.4 ведом.22'!G657</f>
        <v>701.07999999999993</v>
      </c>
      <c r="H292" s="132"/>
    </row>
    <row r="293" spans="1:8" s="131" customFormat="1" ht="31.5" x14ac:dyDescent="0.25">
      <c r="A293" s="22" t="s">
        <v>235</v>
      </c>
      <c r="B293" s="15" t="s">
        <v>778</v>
      </c>
      <c r="C293" s="15" t="s">
        <v>187</v>
      </c>
      <c r="D293" s="15" t="s">
        <v>116</v>
      </c>
      <c r="E293" s="15" t="s">
        <v>194</v>
      </c>
      <c r="F293" s="28" t="s">
        <v>307</v>
      </c>
      <c r="G293" s="10">
        <f>G288</f>
        <v>701.07999999999993</v>
      </c>
      <c r="H293" s="132"/>
    </row>
    <row r="294" spans="1:8" s="131" customFormat="1" ht="31.5" x14ac:dyDescent="0.25">
      <c r="A294" s="201" t="s">
        <v>899</v>
      </c>
      <c r="B294" s="18" t="s">
        <v>898</v>
      </c>
      <c r="C294" s="18"/>
      <c r="D294" s="18"/>
      <c r="E294" s="18"/>
      <c r="F294" s="7"/>
      <c r="G294" s="38">
        <f>G295</f>
        <v>5584.6</v>
      </c>
      <c r="H294" s="132"/>
    </row>
    <row r="295" spans="1:8" s="131" customFormat="1" ht="15.75" x14ac:dyDescent="0.25">
      <c r="A295" s="111" t="s">
        <v>186</v>
      </c>
      <c r="B295" s="15" t="s">
        <v>898</v>
      </c>
      <c r="C295" s="15" t="s">
        <v>187</v>
      </c>
      <c r="D295" s="15"/>
      <c r="E295" s="15"/>
      <c r="F295" s="28"/>
      <c r="G295" s="10">
        <f>G296</f>
        <v>5584.6</v>
      </c>
      <c r="H295" s="132"/>
    </row>
    <row r="296" spans="1:8" s="131" customFormat="1" ht="15.75" x14ac:dyDescent="0.25">
      <c r="A296" s="111" t="s">
        <v>239</v>
      </c>
      <c r="B296" s="15" t="s">
        <v>898</v>
      </c>
      <c r="C296" s="15" t="s">
        <v>187</v>
      </c>
      <c r="D296" s="15" t="s">
        <v>158</v>
      </c>
      <c r="E296" s="15"/>
      <c r="F296" s="28"/>
      <c r="G296" s="10">
        <f>G297</f>
        <v>5584.6</v>
      </c>
      <c r="H296" s="132"/>
    </row>
    <row r="297" spans="1:8" s="131" customFormat="1" ht="63" x14ac:dyDescent="0.25">
      <c r="A297" s="200" t="s">
        <v>885</v>
      </c>
      <c r="B297" s="15" t="s">
        <v>936</v>
      </c>
      <c r="C297" s="15" t="s">
        <v>187</v>
      </c>
      <c r="D297" s="15" t="s">
        <v>158</v>
      </c>
      <c r="E297" s="15"/>
      <c r="F297" s="28"/>
      <c r="G297" s="10">
        <f>G298</f>
        <v>5584.6</v>
      </c>
      <c r="H297" s="132"/>
    </row>
    <row r="298" spans="1:8" s="131" customFormat="1" ht="31.5" x14ac:dyDescent="0.25">
      <c r="A298" s="24" t="s">
        <v>191</v>
      </c>
      <c r="B298" s="15" t="s">
        <v>936</v>
      </c>
      <c r="C298" s="15" t="s">
        <v>187</v>
      </c>
      <c r="D298" s="15" t="s">
        <v>158</v>
      </c>
      <c r="E298" s="15" t="s">
        <v>192</v>
      </c>
      <c r="F298" s="28"/>
      <c r="G298" s="10">
        <f>G299</f>
        <v>5584.6</v>
      </c>
      <c r="H298" s="132"/>
    </row>
    <row r="299" spans="1:8" s="131" customFormat="1" ht="15.75" x14ac:dyDescent="0.25">
      <c r="A299" s="24" t="s">
        <v>193</v>
      </c>
      <c r="B299" s="15" t="s">
        <v>936</v>
      </c>
      <c r="C299" s="15" t="s">
        <v>187</v>
      </c>
      <c r="D299" s="15" t="s">
        <v>158</v>
      </c>
      <c r="E299" s="15" t="s">
        <v>194</v>
      </c>
      <c r="F299" s="28"/>
      <c r="G299" s="10">
        <f>'Пр.4 ведом.22'!G733</f>
        <v>5584.6</v>
      </c>
      <c r="H299" s="132"/>
    </row>
    <row r="300" spans="1:8" s="131" customFormat="1" ht="31.5" x14ac:dyDescent="0.25">
      <c r="A300" s="111" t="s">
        <v>235</v>
      </c>
      <c r="B300" s="15" t="s">
        <v>936</v>
      </c>
      <c r="C300" s="15" t="s">
        <v>187</v>
      </c>
      <c r="D300" s="15" t="s">
        <v>158</v>
      </c>
      <c r="E300" s="15" t="s">
        <v>194</v>
      </c>
      <c r="F300" s="28" t="s">
        <v>307</v>
      </c>
      <c r="G300" s="10">
        <f>G294</f>
        <v>5584.6</v>
      </c>
      <c r="H300" s="132"/>
    </row>
    <row r="301" spans="1:8" s="131" customFormat="1" ht="31.5" hidden="1" x14ac:dyDescent="0.25">
      <c r="A301" s="201" t="s">
        <v>916</v>
      </c>
      <c r="B301" s="18" t="s">
        <v>904</v>
      </c>
      <c r="C301" s="15"/>
      <c r="D301" s="15"/>
      <c r="E301" s="15"/>
      <c r="F301" s="28"/>
      <c r="G301" s="38">
        <f>G302</f>
        <v>0</v>
      </c>
      <c r="H301" s="132"/>
    </row>
    <row r="302" spans="1:8" s="131" customFormat="1" ht="15.75" hidden="1" x14ac:dyDescent="0.25">
      <c r="A302" s="111" t="s">
        <v>186</v>
      </c>
      <c r="B302" s="15" t="s">
        <v>904</v>
      </c>
      <c r="C302" s="15" t="s">
        <v>187</v>
      </c>
      <c r="D302" s="15"/>
      <c r="E302" s="15"/>
      <c r="F302" s="28"/>
      <c r="G302" s="10">
        <f>G303</f>
        <v>0</v>
      </c>
      <c r="H302" s="132"/>
    </row>
    <row r="303" spans="1:8" s="131" customFormat="1" ht="15.75" hidden="1" x14ac:dyDescent="0.25">
      <c r="A303" s="111" t="s">
        <v>239</v>
      </c>
      <c r="B303" s="15" t="s">
        <v>904</v>
      </c>
      <c r="C303" s="15" t="s">
        <v>187</v>
      </c>
      <c r="D303" s="15" t="s">
        <v>158</v>
      </c>
      <c r="E303" s="15"/>
      <c r="F303" s="28"/>
      <c r="G303" s="10">
        <f>G304</f>
        <v>0</v>
      </c>
      <c r="H303" s="132"/>
    </row>
    <row r="304" spans="1:8" s="131" customFormat="1" ht="21.2" hidden="1" customHeight="1" x14ac:dyDescent="0.25">
      <c r="A304" s="200" t="s">
        <v>905</v>
      </c>
      <c r="B304" s="15" t="s">
        <v>907</v>
      </c>
      <c r="C304" s="15" t="s">
        <v>187</v>
      </c>
      <c r="D304" s="15" t="s">
        <v>158</v>
      </c>
      <c r="E304" s="15"/>
      <c r="F304" s="28"/>
      <c r="G304" s="10">
        <f>G305</f>
        <v>0</v>
      </c>
      <c r="H304" s="132"/>
    </row>
    <row r="305" spans="1:8" s="131" customFormat="1" ht="31.5" hidden="1" x14ac:dyDescent="0.25">
      <c r="A305" s="24" t="s">
        <v>191</v>
      </c>
      <c r="B305" s="15" t="s">
        <v>907</v>
      </c>
      <c r="C305" s="15" t="s">
        <v>187</v>
      </c>
      <c r="D305" s="15" t="s">
        <v>158</v>
      </c>
      <c r="E305" s="15" t="s">
        <v>192</v>
      </c>
      <c r="F305" s="28"/>
      <c r="G305" s="10">
        <f>G306</f>
        <v>0</v>
      </c>
      <c r="H305" s="132"/>
    </row>
    <row r="306" spans="1:8" s="131" customFormat="1" ht="15.75" hidden="1" x14ac:dyDescent="0.25">
      <c r="A306" s="24" t="s">
        <v>193</v>
      </c>
      <c r="B306" s="15" t="s">
        <v>907</v>
      </c>
      <c r="C306" s="15" t="s">
        <v>187</v>
      </c>
      <c r="D306" s="15" t="s">
        <v>158</v>
      </c>
      <c r="E306" s="15" t="s">
        <v>194</v>
      </c>
      <c r="F306" s="28"/>
      <c r="G306" s="10">
        <f>'Пр.4 ведом.22'!G737</f>
        <v>0</v>
      </c>
      <c r="H306" s="132"/>
    </row>
    <row r="307" spans="1:8" s="131" customFormat="1" ht="31.5" hidden="1" x14ac:dyDescent="0.25">
      <c r="A307" s="111" t="s">
        <v>235</v>
      </c>
      <c r="B307" s="15" t="s">
        <v>907</v>
      </c>
      <c r="C307" s="15" t="s">
        <v>187</v>
      </c>
      <c r="D307" s="15" t="s">
        <v>158</v>
      </c>
      <c r="E307" s="15" t="s">
        <v>194</v>
      </c>
      <c r="F307" s="28" t="s">
        <v>307</v>
      </c>
      <c r="G307" s="10">
        <f>G304</f>
        <v>0</v>
      </c>
      <c r="H307" s="132"/>
    </row>
    <row r="308" spans="1:8" s="291" customFormat="1" ht="47.25" hidden="1" x14ac:dyDescent="0.25">
      <c r="A308" s="201" t="s">
        <v>1013</v>
      </c>
      <c r="B308" s="18" t="s">
        <v>1014</v>
      </c>
      <c r="C308" s="293"/>
      <c r="D308" s="293"/>
      <c r="E308" s="293"/>
      <c r="F308" s="28"/>
      <c r="G308" s="38">
        <f>G309</f>
        <v>0</v>
      </c>
      <c r="H308" s="132"/>
    </row>
    <row r="309" spans="1:8" s="291" customFormat="1" ht="15.75" hidden="1" x14ac:dyDescent="0.25">
      <c r="A309" s="111" t="s">
        <v>186</v>
      </c>
      <c r="B309" s="293" t="s">
        <v>1014</v>
      </c>
      <c r="C309" s="293" t="s">
        <v>187</v>
      </c>
      <c r="D309" s="293"/>
      <c r="E309" s="293"/>
      <c r="F309" s="28"/>
      <c r="G309" s="10">
        <f>G310</f>
        <v>0</v>
      </c>
      <c r="H309" s="132"/>
    </row>
    <row r="310" spans="1:8" s="291" customFormat="1" ht="15.75" hidden="1" x14ac:dyDescent="0.25">
      <c r="A310" s="111" t="s">
        <v>239</v>
      </c>
      <c r="B310" s="293" t="s">
        <v>1014</v>
      </c>
      <c r="C310" s="293" t="s">
        <v>187</v>
      </c>
      <c r="D310" s="293" t="s">
        <v>158</v>
      </c>
      <c r="E310" s="293"/>
      <c r="F310" s="28"/>
      <c r="G310" s="10">
        <f>G311</f>
        <v>0</v>
      </c>
      <c r="H310" s="132"/>
    </row>
    <row r="311" spans="1:8" s="291" customFormat="1" ht="47.25" hidden="1" x14ac:dyDescent="0.25">
      <c r="A311" s="200" t="s">
        <v>243</v>
      </c>
      <c r="B311" s="293" t="s">
        <v>1015</v>
      </c>
      <c r="C311" s="293" t="s">
        <v>187</v>
      </c>
      <c r="D311" s="293" t="s">
        <v>158</v>
      </c>
      <c r="E311" s="293"/>
      <c r="F311" s="28"/>
      <c r="G311" s="10">
        <f>G312</f>
        <v>0</v>
      </c>
      <c r="H311" s="132"/>
    </row>
    <row r="312" spans="1:8" s="291" customFormat="1" ht="31.5" hidden="1" x14ac:dyDescent="0.25">
      <c r="A312" s="24" t="s">
        <v>191</v>
      </c>
      <c r="B312" s="293" t="s">
        <v>1015</v>
      </c>
      <c r="C312" s="293" t="s">
        <v>187</v>
      </c>
      <c r="D312" s="293" t="s">
        <v>158</v>
      </c>
      <c r="E312" s="293"/>
      <c r="F312" s="28"/>
      <c r="G312" s="10">
        <f>G313</f>
        <v>0</v>
      </c>
      <c r="H312" s="132"/>
    </row>
    <row r="313" spans="1:8" s="291" customFormat="1" ht="15.75" hidden="1" x14ac:dyDescent="0.25">
      <c r="A313" s="24" t="s">
        <v>193</v>
      </c>
      <c r="B313" s="293" t="s">
        <v>1015</v>
      </c>
      <c r="C313" s="293" t="s">
        <v>187</v>
      </c>
      <c r="D313" s="293" t="s">
        <v>158</v>
      </c>
      <c r="E313" s="293" t="s">
        <v>192</v>
      </c>
      <c r="F313" s="28"/>
      <c r="G313" s="10">
        <f>'Пр.4 ведом.22'!G741</f>
        <v>0</v>
      </c>
      <c r="H313" s="132"/>
    </row>
    <row r="314" spans="1:8" s="291" customFormat="1" ht="31.5" hidden="1" x14ac:dyDescent="0.25">
      <c r="A314" s="22" t="s">
        <v>235</v>
      </c>
      <c r="B314" s="293" t="s">
        <v>1015</v>
      </c>
      <c r="C314" s="293" t="s">
        <v>187</v>
      </c>
      <c r="D314" s="293" t="s">
        <v>158</v>
      </c>
      <c r="E314" s="293" t="s">
        <v>194</v>
      </c>
      <c r="F314" s="28" t="s">
        <v>307</v>
      </c>
      <c r="G314" s="10">
        <f>G308</f>
        <v>0</v>
      </c>
      <c r="H314" s="132"/>
    </row>
    <row r="315" spans="1:8" s="291" customFormat="1" ht="31.5" hidden="1" x14ac:dyDescent="0.25">
      <c r="A315" s="201" t="s">
        <v>1024</v>
      </c>
      <c r="B315" s="18" t="s">
        <v>1026</v>
      </c>
      <c r="C315" s="18"/>
      <c r="D315" s="18"/>
      <c r="E315" s="18"/>
      <c r="F315" s="7"/>
      <c r="G315" s="38">
        <f>G316</f>
        <v>0</v>
      </c>
      <c r="H315" s="132"/>
    </row>
    <row r="316" spans="1:8" s="291" customFormat="1" ht="15.75" hidden="1" x14ac:dyDescent="0.25">
      <c r="A316" s="111" t="s">
        <v>186</v>
      </c>
      <c r="B316" s="293" t="s">
        <v>1026</v>
      </c>
      <c r="C316" s="293" t="s">
        <v>187</v>
      </c>
      <c r="D316" s="293"/>
      <c r="E316" s="293"/>
      <c r="F316" s="28"/>
      <c r="G316" s="10">
        <f>G317+G322</f>
        <v>0</v>
      </c>
      <c r="H316" s="132"/>
    </row>
    <row r="317" spans="1:8" s="291" customFormat="1" ht="15.75" hidden="1" x14ac:dyDescent="0.25">
      <c r="A317" s="31" t="s">
        <v>236</v>
      </c>
      <c r="B317" s="293" t="s">
        <v>1026</v>
      </c>
      <c r="C317" s="293" t="s">
        <v>187</v>
      </c>
      <c r="D317" s="293" t="s">
        <v>116</v>
      </c>
      <c r="E317" s="293"/>
      <c r="F317" s="28"/>
      <c r="G317" s="10">
        <f>G318</f>
        <v>0</v>
      </c>
      <c r="H317" s="132"/>
    </row>
    <row r="318" spans="1:8" s="291" customFormat="1" ht="31.5" hidden="1" x14ac:dyDescent="0.25">
      <c r="A318" s="200" t="s">
        <v>1025</v>
      </c>
      <c r="B318" s="293" t="s">
        <v>1027</v>
      </c>
      <c r="C318" s="293" t="s">
        <v>187</v>
      </c>
      <c r="D318" s="293" t="s">
        <v>116</v>
      </c>
      <c r="E318" s="293"/>
      <c r="F318" s="28"/>
      <c r="G318" s="10">
        <f>G319</f>
        <v>0</v>
      </c>
      <c r="H318" s="132"/>
    </row>
    <row r="319" spans="1:8" s="291" customFormat="1" ht="31.5" hidden="1" x14ac:dyDescent="0.25">
      <c r="A319" s="24" t="s">
        <v>191</v>
      </c>
      <c r="B319" s="293" t="s">
        <v>1027</v>
      </c>
      <c r="C319" s="293" t="s">
        <v>187</v>
      </c>
      <c r="D319" s="293" t="s">
        <v>116</v>
      </c>
      <c r="E319" s="293" t="s">
        <v>192</v>
      </c>
      <c r="F319" s="28"/>
      <c r="G319" s="10">
        <f>G320</f>
        <v>0</v>
      </c>
      <c r="H319" s="132"/>
    </row>
    <row r="320" spans="1:8" s="291" customFormat="1" ht="15.75" hidden="1" x14ac:dyDescent="0.25">
      <c r="A320" s="24" t="s">
        <v>193</v>
      </c>
      <c r="B320" s="293" t="s">
        <v>1027</v>
      </c>
      <c r="C320" s="293" t="s">
        <v>187</v>
      </c>
      <c r="D320" s="293" t="s">
        <v>116</v>
      </c>
      <c r="E320" s="293" t="s">
        <v>194</v>
      </c>
      <c r="F320" s="28"/>
      <c r="G320" s="10">
        <f>'Пр.4 ведом.22'!G664</f>
        <v>0</v>
      </c>
      <c r="H320" s="132"/>
    </row>
    <row r="321" spans="1:8" s="291" customFormat="1" ht="31.5" hidden="1" x14ac:dyDescent="0.25">
      <c r="A321" s="22" t="s">
        <v>235</v>
      </c>
      <c r="B321" s="293" t="s">
        <v>1027</v>
      </c>
      <c r="C321" s="293" t="s">
        <v>187</v>
      </c>
      <c r="D321" s="293" t="s">
        <v>116</v>
      </c>
      <c r="E321" s="293" t="s">
        <v>194</v>
      </c>
      <c r="F321" s="28" t="s">
        <v>307</v>
      </c>
      <c r="G321" s="10">
        <f>G320</f>
        <v>0</v>
      </c>
      <c r="H321" s="132"/>
    </row>
    <row r="322" spans="1:8" s="291" customFormat="1" ht="15.75" hidden="1" x14ac:dyDescent="0.25">
      <c r="A322" s="111" t="s">
        <v>239</v>
      </c>
      <c r="B322" s="293" t="s">
        <v>1027</v>
      </c>
      <c r="C322" s="293" t="s">
        <v>187</v>
      </c>
      <c r="D322" s="293" t="s">
        <v>158</v>
      </c>
      <c r="E322" s="293"/>
      <c r="F322" s="28"/>
      <c r="G322" s="10">
        <f>G323</f>
        <v>0</v>
      </c>
      <c r="H322" s="132"/>
    </row>
    <row r="323" spans="1:8" s="291" customFormat="1" ht="31.5" hidden="1" x14ac:dyDescent="0.25">
      <c r="A323" s="200" t="s">
        <v>1025</v>
      </c>
      <c r="B323" s="293" t="s">
        <v>1027</v>
      </c>
      <c r="C323" s="293" t="s">
        <v>187</v>
      </c>
      <c r="D323" s="293" t="s">
        <v>158</v>
      </c>
      <c r="E323" s="293"/>
      <c r="F323" s="28"/>
      <c r="G323" s="10">
        <f>G324</f>
        <v>0</v>
      </c>
      <c r="H323" s="132"/>
    </row>
    <row r="324" spans="1:8" s="291" customFormat="1" ht="31.5" hidden="1" x14ac:dyDescent="0.25">
      <c r="A324" s="24" t="s">
        <v>191</v>
      </c>
      <c r="B324" s="293" t="s">
        <v>1027</v>
      </c>
      <c r="C324" s="293" t="s">
        <v>187</v>
      </c>
      <c r="D324" s="293" t="s">
        <v>158</v>
      </c>
      <c r="E324" s="293" t="s">
        <v>192</v>
      </c>
      <c r="F324" s="28"/>
      <c r="G324" s="10">
        <f>G325</f>
        <v>0</v>
      </c>
      <c r="H324" s="132"/>
    </row>
    <row r="325" spans="1:8" s="291" customFormat="1" ht="15.75" hidden="1" x14ac:dyDescent="0.25">
      <c r="A325" s="24" t="s">
        <v>193</v>
      </c>
      <c r="B325" s="293" t="s">
        <v>1027</v>
      </c>
      <c r="C325" s="293" t="s">
        <v>187</v>
      </c>
      <c r="D325" s="293" t="s">
        <v>158</v>
      </c>
      <c r="E325" s="293" t="s">
        <v>194</v>
      </c>
      <c r="F325" s="28"/>
      <c r="G325" s="10">
        <f>'Пр.4 ведом.22'!G745</f>
        <v>0</v>
      </c>
      <c r="H325" s="132"/>
    </row>
    <row r="326" spans="1:8" s="291" customFormat="1" ht="31.5" hidden="1" x14ac:dyDescent="0.25">
      <c r="A326" s="22" t="s">
        <v>235</v>
      </c>
      <c r="B326" s="293" t="s">
        <v>1027</v>
      </c>
      <c r="C326" s="293" t="s">
        <v>187</v>
      </c>
      <c r="D326" s="293" t="s">
        <v>158</v>
      </c>
      <c r="E326" s="293" t="s">
        <v>194</v>
      </c>
      <c r="F326" s="28" t="s">
        <v>307</v>
      </c>
      <c r="G326" s="10">
        <f>G325</f>
        <v>0</v>
      </c>
      <c r="H326" s="132"/>
    </row>
    <row r="327" spans="1:8" s="309" customFormat="1" ht="47.25" hidden="1" x14ac:dyDescent="0.25">
      <c r="A327" s="201" t="s">
        <v>1028</v>
      </c>
      <c r="B327" s="316" t="s">
        <v>1031</v>
      </c>
      <c r="C327" s="316"/>
      <c r="D327" s="316"/>
      <c r="E327" s="316"/>
      <c r="F327" s="7"/>
      <c r="G327" s="38">
        <f t="shared" ref="G327:G331" si="31">G328</f>
        <v>0</v>
      </c>
      <c r="H327" s="132"/>
    </row>
    <row r="328" spans="1:8" s="309" customFormat="1" ht="15.75" hidden="1" x14ac:dyDescent="0.25">
      <c r="A328" s="111" t="s">
        <v>186</v>
      </c>
      <c r="B328" s="313" t="s">
        <v>1031</v>
      </c>
      <c r="C328" s="313" t="s">
        <v>187</v>
      </c>
      <c r="D328" s="313"/>
      <c r="E328" s="313"/>
      <c r="F328" s="320"/>
      <c r="G328" s="10">
        <f t="shared" si="31"/>
        <v>0</v>
      </c>
      <c r="H328" s="132"/>
    </row>
    <row r="329" spans="1:8" s="309" customFormat="1" ht="15.75" hidden="1" x14ac:dyDescent="0.25">
      <c r="A329" s="31" t="s">
        <v>236</v>
      </c>
      <c r="B329" s="313" t="s">
        <v>1031</v>
      </c>
      <c r="C329" s="313" t="s">
        <v>187</v>
      </c>
      <c r="D329" s="313" t="s">
        <v>116</v>
      </c>
      <c r="E329" s="313"/>
      <c r="F329" s="320"/>
      <c r="G329" s="10">
        <f t="shared" si="31"/>
        <v>0</v>
      </c>
      <c r="H329" s="132"/>
    </row>
    <row r="330" spans="1:8" s="309" customFormat="1" ht="47.25" hidden="1" x14ac:dyDescent="0.25">
      <c r="A330" s="200" t="s">
        <v>1029</v>
      </c>
      <c r="B330" s="313" t="s">
        <v>1030</v>
      </c>
      <c r="C330" s="313" t="s">
        <v>187</v>
      </c>
      <c r="D330" s="313" t="s">
        <v>116</v>
      </c>
      <c r="E330" s="313"/>
      <c r="F330" s="320"/>
      <c r="G330" s="10">
        <f>G331</f>
        <v>0</v>
      </c>
      <c r="H330" s="132"/>
    </row>
    <row r="331" spans="1:8" s="309" customFormat="1" ht="31.5" hidden="1" x14ac:dyDescent="0.25">
      <c r="A331" s="24" t="s">
        <v>191</v>
      </c>
      <c r="B331" s="313" t="s">
        <v>1030</v>
      </c>
      <c r="C331" s="313" t="s">
        <v>187</v>
      </c>
      <c r="D331" s="313" t="s">
        <v>116</v>
      </c>
      <c r="E331" s="313" t="s">
        <v>192</v>
      </c>
      <c r="F331" s="320"/>
      <c r="G331" s="10">
        <f t="shared" si="31"/>
        <v>0</v>
      </c>
      <c r="H331" s="132"/>
    </row>
    <row r="332" spans="1:8" s="309" customFormat="1" ht="15.75" hidden="1" x14ac:dyDescent="0.25">
      <c r="A332" s="24" t="s">
        <v>193</v>
      </c>
      <c r="B332" s="313" t="s">
        <v>1030</v>
      </c>
      <c r="C332" s="313" t="s">
        <v>187</v>
      </c>
      <c r="D332" s="313" t="s">
        <v>116</v>
      </c>
      <c r="E332" s="313" t="s">
        <v>194</v>
      </c>
      <c r="F332" s="320"/>
      <c r="G332" s="10">
        <f>'Пр.4 ведом.22'!G668</f>
        <v>0</v>
      </c>
      <c r="H332" s="132"/>
    </row>
    <row r="333" spans="1:8" s="309" customFormat="1" ht="31.5" hidden="1" x14ac:dyDescent="0.25">
      <c r="A333" s="22" t="s">
        <v>235</v>
      </c>
      <c r="B333" s="313" t="s">
        <v>1030</v>
      </c>
      <c r="C333" s="313" t="s">
        <v>187</v>
      </c>
      <c r="D333" s="313" t="s">
        <v>116</v>
      </c>
      <c r="E333" s="313" t="s">
        <v>194</v>
      </c>
      <c r="F333" s="320" t="s">
        <v>307</v>
      </c>
      <c r="G333" s="10">
        <f>G332</f>
        <v>0</v>
      </c>
      <c r="H333" s="132"/>
    </row>
    <row r="334" spans="1:8" s="362" customFormat="1" ht="47.25" x14ac:dyDescent="0.25">
      <c r="A334" s="26" t="s">
        <v>1092</v>
      </c>
      <c r="B334" s="316" t="s">
        <v>1093</v>
      </c>
      <c r="C334" s="316"/>
      <c r="D334" s="316"/>
      <c r="E334" s="316"/>
      <c r="F334" s="7"/>
      <c r="G334" s="38">
        <f>G335</f>
        <v>1000.9</v>
      </c>
      <c r="H334" s="363"/>
    </row>
    <row r="335" spans="1:8" s="362" customFormat="1" ht="15.75" x14ac:dyDescent="0.25">
      <c r="A335" s="111" t="s">
        <v>186</v>
      </c>
      <c r="B335" s="365" t="s">
        <v>1093</v>
      </c>
      <c r="C335" s="365" t="s">
        <v>187</v>
      </c>
      <c r="D335" s="365"/>
      <c r="E335" s="365"/>
      <c r="F335" s="360"/>
      <c r="G335" s="10">
        <f>G336</f>
        <v>1000.9</v>
      </c>
      <c r="H335" s="363"/>
    </row>
    <row r="336" spans="1:8" s="362" customFormat="1" ht="15.75" x14ac:dyDescent="0.25">
      <c r="A336" s="111" t="s">
        <v>188</v>
      </c>
      <c r="B336" s="365" t="s">
        <v>1093</v>
      </c>
      <c r="C336" s="365" t="s">
        <v>187</v>
      </c>
      <c r="D336" s="365" t="s">
        <v>159</v>
      </c>
      <c r="E336" s="365"/>
      <c r="F336" s="360"/>
      <c r="G336" s="10">
        <f>G337</f>
        <v>1000.9</v>
      </c>
      <c r="H336" s="363"/>
    </row>
    <row r="337" spans="1:8" s="362" customFormat="1" ht="31.5" x14ac:dyDescent="0.25">
      <c r="A337" s="24" t="s">
        <v>1112</v>
      </c>
      <c r="B337" s="365" t="s">
        <v>1191</v>
      </c>
      <c r="C337" s="365" t="s">
        <v>187</v>
      </c>
      <c r="D337" s="365" t="s">
        <v>159</v>
      </c>
      <c r="E337" s="365"/>
      <c r="F337" s="360"/>
      <c r="G337" s="10">
        <f>G338</f>
        <v>1000.9</v>
      </c>
      <c r="H337" s="363"/>
    </row>
    <row r="338" spans="1:8" s="362" customFormat="1" ht="31.5" x14ac:dyDescent="0.25">
      <c r="A338" s="364" t="s">
        <v>191</v>
      </c>
      <c r="B338" s="365" t="s">
        <v>1191</v>
      </c>
      <c r="C338" s="365" t="s">
        <v>187</v>
      </c>
      <c r="D338" s="365" t="s">
        <v>159</v>
      </c>
      <c r="E338" s="365" t="s">
        <v>192</v>
      </c>
      <c r="F338" s="360"/>
      <c r="G338" s="10">
        <f>G339</f>
        <v>1000.9</v>
      </c>
      <c r="H338" s="363"/>
    </row>
    <row r="339" spans="1:8" s="362" customFormat="1" ht="17.45" customHeight="1" x14ac:dyDescent="0.25">
      <c r="A339" s="116" t="s">
        <v>1094</v>
      </c>
      <c r="B339" s="365" t="s">
        <v>1191</v>
      </c>
      <c r="C339" s="365" t="s">
        <v>187</v>
      </c>
      <c r="D339" s="365" t="s">
        <v>159</v>
      </c>
      <c r="E339" s="365" t="s">
        <v>194</v>
      </c>
      <c r="F339" s="360"/>
      <c r="G339" s="10">
        <f>'Пр.4 ведом.22'!G795</f>
        <v>1000.9</v>
      </c>
      <c r="H339" s="363"/>
    </row>
    <row r="340" spans="1:8" s="362" customFormat="1" ht="31.5" x14ac:dyDescent="0.25">
      <c r="A340" s="22" t="s">
        <v>235</v>
      </c>
      <c r="B340" s="365" t="s">
        <v>1191</v>
      </c>
      <c r="C340" s="365" t="s">
        <v>187</v>
      </c>
      <c r="D340" s="365" t="s">
        <v>159</v>
      </c>
      <c r="E340" s="365" t="s">
        <v>194</v>
      </c>
      <c r="F340" s="360" t="s">
        <v>305</v>
      </c>
      <c r="G340" s="10">
        <f>G339</f>
        <v>1000.9</v>
      </c>
      <c r="H340" s="363"/>
    </row>
    <row r="341" spans="1:8" s="131" customFormat="1" ht="48.2" hidden="1" customHeight="1" x14ac:dyDescent="0.25">
      <c r="A341" s="143" t="s">
        <v>722</v>
      </c>
      <c r="B341" s="18" t="s">
        <v>828</v>
      </c>
      <c r="C341" s="28"/>
      <c r="D341" s="28"/>
      <c r="E341" s="28"/>
      <c r="F341" s="28"/>
      <c r="G341" s="38">
        <f>G342</f>
        <v>0</v>
      </c>
      <c r="H341" s="132"/>
    </row>
    <row r="342" spans="1:8" s="131" customFormat="1" ht="15" hidden="1" customHeight="1" x14ac:dyDescent="0.25">
      <c r="A342" s="22" t="s">
        <v>186</v>
      </c>
      <c r="B342" s="15" t="s">
        <v>828</v>
      </c>
      <c r="C342" s="28" t="s">
        <v>187</v>
      </c>
      <c r="D342" s="28"/>
      <c r="E342" s="28"/>
      <c r="F342" s="28"/>
      <c r="G342" s="10">
        <f>G343</f>
        <v>0</v>
      </c>
      <c r="H342" s="132"/>
    </row>
    <row r="343" spans="1:8" s="131" customFormat="1" ht="19.5" hidden="1" customHeight="1" x14ac:dyDescent="0.25">
      <c r="A343" s="22" t="s">
        <v>239</v>
      </c>
      <c r="B343" s="15" t="s">
        <v>828</v>
      </c>
      <c r="C343" s="28" t="s">
        <v>187</v>
      </c>
      <c r="D343" s="28" t="s">
        <v>158</v>
      </c>
      <c r="E343" s="28"/>
      <c r="F343" s="28"/>
      <c r="G343" s="10">
        <f>G344</f>
        <v>0</v>
      </c>
      <c r="H343" s="132"/>
    </row>
    <row r="344" spans="1:8" s="131" customFormat="1" ht="62.45" hidden="1" customHeight="1" x14ac:dyDescent="0.25">
      <c r="A344" s="111" t="s">
        <v>971</v>
      </c>
      <c r="B344" s="15" t="s">
        <v>829</v>
      </c>
      <c r="C344" s="28" t="s">
        <v>187</v>
      </c>
      <c r="D344" s="28" t="s">
        <v>158</v>
      </c>
      <c r="E344" s="28"/>
      <c r="F344" s="28"/>
      <c r="G344" s="10">
        <f>G345</f>
        <v>0</v>
      </c>
      <c r="H344" s="132"/>
    </row>
    <row r="345" spans="1:8" s="131" customFormat="1" ht="33.75" hidden="1" customHeight="1" x14ac:dyDescent="0.25">
      <c r="A345" s="24" t="s">
        <v>191</v>
      </c>
      <c r="B345" s="15" t="s">
        <v>829</v>
      </c>
      <c r="C345" s="28" t="s">
        <v>187</v>
      </c>
      <c r="D345" s="28" t="s">
        <v>158</v>
      </c>
      <c r="E345" s="28" t="s">
        <v>192</v>
      </c>
      <c r="F345" s="28"/>
      <c r="G345" s="10">
        <f>G346</f>
        <v>0</v>
      </c>
      <c r="H345" s="132"/>
    </row>
    <row r="346" spans="1:8" s="131" customFormat="1" ht="21.2" hidden="1" customHeight="1" x14ac:dyDescent="0.25">
      <c r="A346" s="24" t="s">
        <v>193</v>
      </c>
      <c r="B346" s="15" t="s">
        <v>829</v>
      </c>
      <c r="C346" s="28" t="s">
        <v>187</v>
      </c>
      <c r="D346" s="28" t="s">
        <v>158</v>
      </c>
      <c r="E346" s="28" t="s">
        <v>194</v>
      </c>
      <c r="F346" s="28"/>
      <c r="G346" s="10">
        <f>'Пр.4 ведом.22'!G749</f>
        <v>0</v>
      </c>
      <c r="H346" s="132"/>
    </row>
    <row r="347" spans="1:8" s="131" customFormat="1" ht="31.7" hidden="1" customHeight="1" x14ac:dyDescent="0.25">
      <c r="A347" s="22" t="s">
        <v>235</v>
      </c>
      <c r="B347" s="15" t="s">
        <v>829</v>
      </c>
      <c r="C347" s="28" t="s">
        <v>187</v>
      </c>
      <c r="D347" s="28" t="s">
        <v>158</v>
      </c>
      <c r="E347" s="28" t="s">
        <v>194</v>
      </c>
      <c r="F347" s="28" t="s">
        <v>307</v>
      </c>
      <c r="G347" s="10">
        <f>G341</f>
        <v>0</v>
      </c>
      <c r="H347" s="132"/>
    </row>
    <row r="348" spans="1:8" s="131" customFormat="1" ht="31.7" hidden="1" customHeight="1" x14ac:dyDescent="0.25">
      <c r="A348" s="26" t="s">
        <v>950</v>
      </c>
      <c r="B348" s="18" t="s">
        <v>951</v>
      </c>
      <c r="C348" s="28"/>
      <c r="D348" s="28"/>
      <c r="E348" s="28"/>
      <c r="F348" s="28"/>
      <c r="G348" s="38">
        <f>G349</f>
        <v>0</v>
      </c>
      <c r="H348" s="132"/>
    </row>
    <row r="349" spans="1:8" s="131" customFormat="1" ht="15.75" hidden="1" x14ac:dyDescent="0.25">
      <c r="A349" s="22" t="s">
        <v>186</v>
      </c>
      <c r="B349" s="15" t="s">
        <v>951</v>
      </c>
      <c r="C349" s="28" t="s">
        <v>187</v>
      </c>
      <c r="D349" s="28"/>
      <c r="E349" s="28"/>
      <c r="F349" s="28"/>
      <c r="G349" s="10">
        <f>G350</f>
        <v>0</v>
      </c>
      <c r="H349" s="132"/>
    </row>
    <row r="350" spans="1:8" s="131" customFormat="1" ht="15.75" hidden="1" x14ac:dyDescent="0.25">
      <c r="A350" s="22" t="s">
        <v>239</v>
      </c>
      <c r="B350" s="15" t="s">
        <v>951</v>
      </c>
      <c r="C350" s="28" t="s">
        <v>187</v>
      </c>
      <c r="D350" s="28" t="s">
        <v>158</v>
      </c>
      <c r="E350" s="28"/>
      <c r="F350" s="28"/>
      <c r="G350" s="10">
        <f>G351</f>
        <v>0</v>
      </c>
      <c r="H350" s="132"/>
    </row>
    <row r="351" spans="1:8" s="131" customFormat="1" ht="57.75" hidden="1" customHeight="1" x14ac:dyDescent="0.25">
      <c r="A351" s="24" t="s">
        <v>972</v>
      </c>
      <c r="B351" s="15" t="s">
        <v>952</v>
      </c>
      <c r="C351" s="28" t="s">
        <v>187</v>
      </c>
      <c r="D351" s="28" t="s">
        <v>158</v>
      </c>
      <c r="E351" s="28"/>
      <c r="F351" s="28"/>
      <c r="G351" s="10">
        <f>G352</f>
        <v>0</v>
      </c>
      <c r="H351" s="132"/>
    </row>
    <row r="352" spans="1:8" s="131" customFormat="1" ht="31.7" hidden="1" customHeight="1" x14ac:dyDescent="0.25">
      <c r="A352" s="24" t="s">
        <v>191</v>
      </c>
      <c r="B352" s="15" t="s">
        <v>952</v>
      </c>
      <c r="C352" s="28" t="s">
        <v>187</v>
      </c>
      <c r="D352" s="28" t="s">
        <v>158</v>
      </c>
      <c r="E352" s="28" t="s">
        <v>192</v>
      </c>
      <c r="F352" s="28"/>
      <c r="G352" s="10">
        <f>G353</f>
        <v>0</v>
      </c>
      <c r="H352" s="132"/>
    </row>
    <row r="353" spans="1:8" s="131" customFormat="1" ht="31.7" hidden="1" customHeight="1" x14ac:dyDescent="0.25">
      <c r="A353" s="24" t="s">
        <v>193</v>
      </c>
      <c r="B353" s="15" t="s">
        <v>952</v>
      </c>
      <c r="C353" s="28" t="s">
        <v>187</v>
      </c>
      <c r="D353" s="28" t="s">
        <v>158</v>
      </c>
      <c r="E353" s="28" t="s">
        <v>194</v>
      </c>
      <c r="F353" s="28"/>
      <c r="G353" s="10">
        <f>'Пр.4 ведом.22'!G753</f>
        <v>0</v>
      </c>
      <c r="H353" s="132"/>
    </row>
    <row r="354" spans="1:8" s="131" customFormat="1" ht="31.7" hidden="1" customHeight="1" x14ac:dyDescent="0.25">
      <c r="A354" s="22" t="s">
        <v>235</v>
      </c>
      <c r="B354" s="15" t="s">
        <v>952</v>
      </c>
      <c r="C354" s="28" t="s">
        <v>187</v>
      </c>
      <c r="D354" s="28" t="s">
        <v>158</v>
      </c>
      <c r="E354" s="28" t="s">
        <v>194</v>
      </c>
      <c r="F354" s="28" t="s">
        <v>307</v>
      </c>
      <c r="G354" s="10">
        <f>G348</f>
        <v>0</v>
      </c>
      <c r="H354" s="132"/>
    </row>
    <row r="355" spans="1:8" s="362" customFormat="1" ht="31.5" x14ac:dyDescent="0.25">
      <c r="A355" s="26" t="s">
        <v>957</v>
      </c>
      <c r="B355" s="316" t="s">
        <v>955</v>
      </c>
      <c r="C355" s="360"/>
      <c r="D355" s="360"/>
      <c r="E355" s="360"/>
      <c r="F355" s="360"/>
      <c r="G355" s="38">
        <f>G356</f>
        <v>1804</v>
      </c>
      <c r="H355" s="363"/>
    </row>
    <row r="356" spans="1:8" s="362" customFormat="1" ht="15.75" x14ac:dyDescent="0.25">
      <c r="A356" s="22" t="s">
        <v>186</v>
      </c>
      <c r="B356" s="365" t="s">
        <v>956</v>
      </c>
      <c r="C356" s="360" t="s">
        <v>187</v>
      </c>
      <c r="D356" s="360"/>
      <c r="E356" s="360"/>
      <c r="F356" s="360"/>
      <c r="G356" s="10">
        <f>G357</f>
        <v>1804</v>
      </c>
      <c r="H356" s="363"/>
    </row>
    <row r="357" spans="1:8" s="362" customFormat="1" ht="15.75" x14ac:dyDescent="0.25">
      <c r="A357" s="22" t="s">
        <v>239</v>
      </c>
      <c r="B357" s="365" t="s">
        <v>956</v>
      </c>
      <c r="C357" s="360" t="s">
        <v>187</v>
      </c>
      <c r="D357" s="360" t="s">
        <v>158</v>
      </c>
      <c r="E357" s="360"/>
      <c r="F357" s="360"/>
      <c r="G357" s="10">
        <f>G358</f>
        <v>1804</v>
      </c>
      <c r="H357" s="363"/>
    </row>
    <row r="358" spans="1:8" s="362" customFormat="1" ht="49.5" customHeight="1" x14ac:dyDescent="0.25">
      <c r="A358" s="401" t="s">
        <v>1346</v>
      </c>
      <c r="B358" s="365" t="s">
        <v>956</v>
      </c>
      <c r="C358" s="360" t="s">
        <v>187</v>
      </c>
      <c r="D358" s="360" t="s">
        <v>158</v>
      </c>
      <c r="E358" s="360" t="s">
        <v>192</v>
      </c>
      <c r="F358" s="360"/>
      <c r="G358" s="10">
        <f>G359</f>
        <v>1804</v>
      </c>
      <c r="H358" s="363"/>
    </row>
    <row r="359" spans="1:8" s="362" customFormat="1" ht="31.5" x14ac:dyDescent="0.25">
      <c r="A359" s="24" t="s">
        <v>191</v>
      </c>
      <c r="B359" s="365" t="s">
        <v>956</v>
      </c>
      <c r="C359" s="360" t="s">
        <v>187</v>
      </c>
      <c r="D359" s="360" t="s">
        <v>158</v>
      </c>
      <c r="E359" s="360" t="s">
        <v>194</v>
      </c>
      <c r="F359" s="360"/>
      <c r="G359" s="10">
        <f>'Пр.4 ведом.22'!G757</f>
        <v>1804</v>
      </c>
      <c r="H359" s="363"/>
    </row>
    <row r="360" spans="1:8" s="362" customFormat="1" ht="15.75" x14ac:dyDescent="0.25">
      <c r="A360" s="24" t="s">
        <v>193</v>
      </c>
      <c r="B360" s="365" t="s">
        <v>956</v>
      </c>
      <c r="C360" s="360" t="s">
        <v>187</v>
      </c>
      <c r="D360" s="360" t="s">
        <v>158</v>
      </c>
      <c r="E360" s="360" t="s">
        <v>194</v>
      </c>
      <c r="F360" s="360" t="s">
        <v>307</v>
      </c>
      <c r="G360" s="10">
        <f>G359</f>
        <v>1804</v>
      </c>
      <c r="H360" s="363"/>
    </row>
    <row r="361" spans="1:8" ht="47.25" x14ac:dyDescent="0.25">
      <c r="A361" s="37" t="s">
        <v>878</v>
      </c>
      <c r="B361" s="122" t="s">
        <v>141</v>
      </c>
      <c r="C361" s="7"/>
      <c r="D361" s="122"/>
      <c r="E361" s="122"/>
      <c r="F361" s="122"/>
      <c r="G361" s="38">
        <f>G363</f>
        <v>150</v>
      </c>
    </row>
    <row r="362" spans="1:8" s="131" customFormat="1" ht="36.75" customHeight="1" x14ac:dyDescent="0.25">
      <c r="A362" s="17" t="s">
        <v>621</v>
      </c>
      <c r="B362" s="18" t="s">
        <v>619</v>
      </c>
      <c r="C362" s="7"/>
      <c r="D362" s="7"/>
      <c r="E362" s="7"/>
      <c r="F362" s="7"/>
      <c r="G362" s="38">
        <f>G363</f>
        <v>150</v>
      </c>
      <c r="H362" s="132"/>
    </row>
    <row r="363" spans="1:8" ht="15.75" x14ac:dyDescent="0.25">
      <c r="A363" s="31" t="s">
        <v>166</v>
      </c>
      <c r="B363" s="5" t="s">
        <v>619</v>
      </c>
      <c r="C363" s="28" t="s">
        <v>139</v>
      </c>
      <c r="D363" s="28"/>
      <c r="E363" s="28"/>
      <c r="F363" s="28"/>
      <c r="G363" s="10">
        <f>G364</f>
        <v>150</v>
      </c>
    </row>
    <row r="364" spans="1:8" ht="15.75" x14ac:dyDescent="0.25">
      <c r="A364" s="31" t="s">
        <v>354</v>
      </c>
      <c r="B364" s="5" t="s">
        <v>619</v>
      </c>
      <c r="C364" s="28" t="s">
        <v>139</v>
      </c>
      <c r="D364" s="28" t="s">
        <v>171</v>
      </c>
      <c r="E364" s="28"/>
      <c r="F364" s="28"/>
      <c r="G364" s="10">
        <f>G365</f>
        <v>150</v>
      </c>
    </row>
    <row r="365" spans="1:8" ht="31.5" x14ac:dyDescent="0.25">
      <c r="A365" s="19" t="s">
        <v>622</v>
      </c>
      <c r="B365" s="15" t="s">
        <v>620</v>
      </c>
      <c r="C365" s="28" t="s">
        <v>139</v>
      </c>
      <c r="D365" s="28" t="s">
        <v>171</v>
      </c>
      <c r="E365" s="28"/>
      <c r="F365" s="28"/>
      <c r="G365" s="10">
        <f>G366</f>
        <v>150</v>
      </c>
    </row>
    <row r="366" spans="1:8" ht="15.75" x14ac:dyDescent="0.25">
      <c r="A366" s="19" t="s">
        <v>127</v>
      </c>
      <c r="B366" s="15" t="s">
        <v>620</v>
      </c>
      <c r="C366" s="28" t="s">
        <v>139</v>
      </c>
      <c r="D366" s="28" t="s">
        <v>171</v>
      </c>
      <c r="E366" s="28" t="s">
        <v>124</v>
      </c>
      <c r="F366" s="28"/>
      <c r="G366" s="10">
        <f>G367</f>
        <v>150</v>
      </c>
    </row>
    <row r="367" spans="1:8" ht="47.25" x14ac:dyDescent="0.25">
      <c r="A367" s="19" t="s">
        <v>148</v>
      </c>
      <c r="B367" s="15" t="s">
        <v>620</v>
      </c>
      <c r="C367" s="28" t="s">
        <v>139</v>
      </c>
      <c r="D367" s="28" t="s">
        <v>171</v>
      </c>
      <c r="E367" s="28" t="s">
        <v>126</v>
      </c>
      <c r="F367" s="28"/>
      <c r="G367" s="10">
        <f>'Пр.3 Рд,пр, ЦС,ВР 22'!F329</f>
        <v>150</v>
      </c>
    </row>
    <row r="368" spans="1:8" s="131" customFormat="1" ht="15.75" x14ac:dyDescent="0.25">
      <c r="A368" s="22" t="s">
        <v>137</v>
      </c>
      <c r="B368" s="15" t="s">
        <v>620</v>
      </c>
      <c r="C368" s="28" t="s">
        <v>139</v>
      </c>
      <c r="D368" s="28" t="s">
        <v>171</v>
      </c>
      <c r="E368" s="28" t="s">
        <v>126</v>
      </c>
      <c r="F368" s="28" t="s">
        <v>308</v>
      </c>
      <c r="G368" s="10">
        <f>G367</f>
        <v>150</v>
      </c>
      <c r="H368" s="132"/>
    </row>
    <row r="369" spans="1:8" ht="45.75" customHeight="1" x14ac:dyDescent="0.25">
      <c r="A369" s="29" t="s">
        <v>866</v>
      </c>
      <c r="B369" s="122" t="s">
        <v>143</v>
      </c>
      <c r="C369" s="7"/>
      <c r="D369" s="7"/>
      <c r="E369" s="7"/>
      <c r="F369" s="7"/>
      <c r="G369" s="38">
        <f>G370+G377+G396</f>
        <v>604</v>
      </c>
      <c r="H369" s="132">
        <v>806</v>
      </c>
    </row>
    <row r="370" spans="1:8" s="131" customFormat="1" ht="67.7" customHeight="1" x14ac:dyDescent="0.25">
      <c r="A370" s="202" t="s">
        <v>842</v>
      </c>
      <c r="B370" s="7" t="s">
        <v>425</v>
      </c>
      <c r="C370" s="7"/>
      <c r="D370" s="8"/>
      <c r="E370" s="122"/>
      <c r="F370" s="7"/>
      <c r="G370" s="38">
        <f>G372</f>
        <v>526</v>
      </c>
      <c r="H370" s="132"/>
    </row>
    <row r="371" spans="1:8" s="131" customFormat="1" ht="15.75" customHeight="1" x14ac:dyDescent="0.25">
      <c r="A371" s="31" t="s">
        <v>115</v>
      </c>
      <c r="B371" s="5" t="s">
        <v>425</v>
      </c>
      <c r="C371" s="28" t="s">
        <v>116</v>
      </c>
      <c r="D371" s="5"/>
      <c r="E371" s="5"/>
      <c r="F371" s="28"/>
      <c r="G371" s="10">
        <f t="shared" ref="G371" si="32">G372</f>
        <v>526</v>
      </c>
      <c r="H371" s="132"/>
    </row>
    <row r="372" spans="1:8" s="131" customFormat="1" ht="45.75" customHeight="1" x14ac:dyDescent="0.25">
      <c r="A372" s="22" t="s">
        <v>138</v>
      </c>
      <c r="B372" s="5" t="s">
        <v>425</v>
      </c>
      <c r="C372" s="28" t="s">
        <v>116</v>
      </c>
      <c r="D372" s="9" t="s">
        <v>139</v>
      </c>
      <c r="E372" s="5"/>
      <c r="F372" s="28"/>
      <c r="G372" s="10">
        <f>G373</f>
        <v>526</v>
      </c>
      <c r="H372" s="132"/>
    </row>
    <row r="373" spans="1:8" s="131" customFormat="1" ht="62.45" customHeight="1" x14ac:dyDescent="0.25">
      <c r="A373" s="22" t="s">
        <v>820</v>
      </c>
      <c r="B373" s="28" t="s">
        <v>418</v>
      </c>
      <c r="C373" s="28" t="s">
        <v>116</v>
      </c>
      <c r="D373" s="9" t="s">
        <v>139</v>
      </c>
      <c r="E373" s="28"/>
      <c r="F373" s="28"/>
      <c r="G373" s="10">
        <f t="shared" ref="G373:G374" si="33">G374</f>
        <v>526</v>
      </c>
      <c r="H373" s="132"/>
    </row>
    <row r="374" spans="1:8" s="131" customFormat="1" ht="34.5" customHeight="1" x14ac:dyDescent="0.25">
      <c r="A374" s="22" t="s">
        <v>123</v>
      </c>
      <c r="B374" s="28" t="s">
        <v>418</v>
      </c>
      <c r="C374" s="28" t="s">
        <v>116</v>
      </c>
      <c r="D374" s="9" t="s">
        <v>139</v>
      </c>
      <c r="E374" s="28" t="s">
        <v>124</v>
      </c>
      <c r="F374" s="28"/>
      <c r="G374" s="10">
        <f t="shared" si="33"/>
        <v>526</v>
      </c>
      <c r="H374" s="132"/>
    </row>
    <row r="375" spans="1:8" s="131" customFormat="1" ht="36" customHeight="1" x14ac:dyDescent="0.25">
      <c r="A375" s="22" t="s">
        <v>125</v>
      </c>
      <c r="B375" s="28" t="s">
        <v>418</v>
      </c>
      <c r="C375" s="28" t="s">
        <v>116</v>
      </c>
      <c r="D375" s="9" t="s">
        <v>139</v>
      </c>
      <c r="E375" s="28" t="s">
        <v>126</v>
      </c>
      <c r="F375" s="28"/>
      <c r="G375" s="10">
        <f>'Пр.3 Рд,пр, ЦС,ВР 22'!F88</f>
        <v>526</v>
      </c>
      <c r="H375" s="132"/>
    </row>
    <row r="376" spans="1:8" s="131" customFormat="1" ht="20.25" customHeight="1" x14ac:dyDescent="0.25">
      <c r="A376" s="22" t="s">
        <v>137</v>
      </c>
      <c r="B376" s="28" t="s">
        <v>418</v>
      </c>
      <c r="C376" s="28" t="s">
        <v>116</v>
      </c>
      <c r="D376" s="9" t="s">
        <v>139</v>
      </c>
      <c r="E376" s="28" t="s">
        <v>126</v>
      </c>
      <c r="F376" s="28" t="s">
        <v>308</v>
      </c>
      <c r="G376" s="10">
        <f>G375</f>
        <v>526</v>
      </c>
      <c r="H376" s="132"/>
    </row>
    <row r="377" spans="1:8" s="131" customFormat="1" ht="63" customHeight="1" x14ac:dyDescent="0.25">
      <c r="A377" s="146" t="s">
        <v>420</v>
      </c>
      <c r="B377" s="7" t="s">
        <v>426</v>
      </c>
      <c r="C377" s="7"/>
      <c r="D377" s="8"/>
      <c r="E377" s="122"/>
      <c r="F377" s="7"/>
      <c r="G377" s="38">
        <f>G378</f>
        <v>77.5</v>
      </c>
      <c r="H377" s="132"/>
    </row>
    <row r="378" spans="1:8" ht="15.75" x14ac:dyDescent="0.25">
      <c r="A378" s="31" t="s">
        <v>115</v>
      </c>
      <c r="B378" s="5" t="s">
        <v>426</v>
      </c>
      <c r="C378" s="28" t="s">
        <v>116</v>
      </c>
      <c r="D378" s="5"/>
      <c r="E378" s="5"/>
      <c r="F378" s="28"/>
      <c r="G378" s="10">
        <f>G379+G384</f>
        <v>77.5</v>
      </c>
    </row>
    <row r="379" spans="1:8" s="131" customFormat="1" ht="47.25" x14ac:dyDescent="0.25">
      <c r="A379" s="19" t="s">
        <v>285</v>
      </c>
      <c r="B379" s="5" t="s">
        <v>426</v>
      </c>
      <c r="C379" s="28" t="s">
        <v>116</v>
      </c>
      <c r="D379" s="9" t="s">
        <v>158</v>
      </c>
      <c r="E379" s="5"/>
      <c r="F379" s="28"/>
      <c r="G379" s="10">
        <f>G380</f>
        <v>0.5</v>
      </c>
      <c r="H379" s="132"/>
    </row>
    <row r="380" spans="1:8" s="131" customFormat="1" ht="47.25" x14ac:dyDescent="0.25">
      <c r="A380" s="24" t="s">
        <v>334</v>
      </c>
      <c r="B380" s="28" t="s">
        <v>556</v>
      </c>
      <c r="C380" s="15" t="s">
        <v>116</v>
      </c>
      <c r="D380" s="9" t="s">
        <v>158</v>
      </c>
      <c r="E380" s="5"/>
      <c r="F380" s="28"/>
      <c r="G380" s="10">
        <f>G381</f>
        <v>0.5</v>
      </c>
      <c r="H380" s="132"/>
    </row>
    <row r="381" spans="1:8" s="131" customFormat="1" ht="31.5" x14ac:dyDescent="0.25">
      <c r="A381" s="19" t="s">
        <v>123</v>
      </c>
      <c r="B381" s="28" t="s">
        <v>335</v>
      </c>
      <c r="C381" s="15" t="s">
        <v>116</v>
      </c>
      <c r="D381" s="9" t="s">
        <v>158</v>
      </c>
      <c r="E381" s="5">
        <v>200</v>
      </c>
      <c r="F381" s="28"/>
      <c r="G381" s="10">
        <f>G382</f>
        <v>0.5</v>
      </c>
      <c r="H381" s="132"/>
    </row>
    <row r="382" spans="1:8" s="131" customFormat="1" ht="31.5" x14ac:dyDescent="0.25">
      <c r="A382" s="19" t="s">
        <v>125</v>
      </c>
      <c r="B382" s="28" t="s">
        <v>335</v>
      </c>
      <c r="C382" s="15" t="s">
        <v>116</v>
      </c>
      <c r="D382" s="9" t="s">
        <v>158</v>
      </c>
      <c r="E382" s="5">
        <v>240</v>
      </c>
      <c r="F382" s="28"/>
      <c r="G382" s="10">
        <f>'Пр.4 ведом.22'!G47</f>
        <v>0.5</v>
      </c>
      <c r="H382" s="132"/>
    </row>
    <row r="383" spans="1:8" s="131" customFormat="1" ht="15.75" x14ac:dyDescent="0.25">
      <c r="A383" s="19" t="s">
        <v>137</v>
      </c>
      <c r="B383" s="28" t="s">
        <v>335</v>
      </c>
      <c r="C383" s="15" t="s">
        <v>116</v>
      </c>
      <c r="D383" s="9" t="s">
        <v>158</v>
      </c>
      <c r="E383" s="5">
        <v>240</v>
      </c>
      <c r="F383" s="28" t="s">
        <v>308</v>
      </c>
      <c r="G383" s="10">
        <f>G380</f>
        <v>0.5</v>
      </c>
      <c r="H383" s="132"/>
    </row>
    <row r="384" spans="1:8" s="131" customFormat="1" ht="63" x14ac:dyDescent="0.25">
      <c r="A384" s="22" t="s">
        <v>138</v>
      </c>
      <c r="B384" s="5" t="s">
        <v>426</v>
      </c>
      <c r="C384" s="28" t="s">
        <v>116</v>
      </c>
      <c r="D384" s="9" t="s">
        <v>139</v>
      </c>
      <c r="E384" s="5"/>
      <c r="F384" s="28"/>
      <c r="G384" s="10">
        <f>G385</f>
        <v>77</v>
      </c>
      <c r="H384" s="132"/>
    </row>
    <row r="385" spans="1:8" ht="47.25" x14ac:dyDescent="0.25">
      <c r="A385" s="103" t="s">
        <v>144</v>
      </c>
      <c r="B385" s="28" t="s">
        <v>419</v>
      </c>
      <c r="C385" s="28" t="s">
        <v>116</v>
      </c>
      <c r="D385" s="9" t="s">
        <v>139</v>
      </c>
      <c r="E385" s="28"/>
      <c r="F385" s="28"/>
      <c r="G385" s="10">
        <f>G386+G389</f>
        <v>77</v>
      </c>
    </row>
    <row r="386" spans="1:8" s="131" customFormat="1" ht="78.75" x14ac:dyDescent="0.25">
      <c r="A386" s="19" t="s">
        <v>119</v>
      </c>
      <c r="B386" s="28" t="s">
        <v>419</v>
      </c>
      <c r="C386" s="28" t="s">
        <v>116</v>
      </c>
      <c r="D386" s="9" t="s">
        <v>139</v>
      </c>
      <c r="E386" s="28" t="s">
        <v>120</v>
      </c>
      <c r="F386" s="28"/>
      <c r="G386" s="10">
        <f>G387</f>
        <v>37.200000000000003</v>
      </c>
      <c r="H386" s="132"/>
    </row>
    <row r="387" spans="1:8" s="131" customFormat="1" ht="31.5" x14ac:dyDescent="0.25">
      <c r="A387" s="19" t="s">
        <v>121</v>
      </c>
      <c r="B387" s="28" t="s">
        <v>419</v>
      </c>
      <c r="C387" s="28" t="s">
        <v>116</v>
      </c>
      <c r="D387" s="9" t="s">
        <v>139</v>
      </c>
      <c r="E387" s="28" t="s">
        <v>122</v>
      </c>
      <c r="F387" s="28"/>
      <c r="G387" s="10">
        <f>'Пр.3 Рд,пр, ЦС,ВР 22'!F92</f>
        <v>37.200000000000003</v>
      </c>
      <c r="H387" s="132"/>
    </row>
    <row r="388" spans="1:8" s="131" customFormat="1" ht="24" customHeight="1" x14ac:dyDescent="0.25">
      <c r="A388" s="22" t="s">
        <v>830</v>
      </c>
      <c r="B388" s="28" t="s">
        <v>419</v>
      </c>
      <c r="C388" s="28" t="s">
        <v>116</v>
      </c>
      <c r="D388" s="9" t="s">
        <v>139</v>
      </c>
      <c r="E388" s="28" t="s">
        <v>122</v>
      </c>
      <c r="F388" s="28" t="s">
        <v>308</v>
      </c>
      <c r="G388" s="10">
        <f>G387</f>
        <v>37.200000000000003</v>
      </c>
      <c r="H388" s="132"/>
    </row>
    <row r="389" spans="1:8" s="131" customFormat="1" ht="31.5" x14ac:dyDescent="0.25">
      <c r="A389" s="19" t="s">
        <v>123</v>
      </c>
      <c r="B389" s="28" t="s">
        <v>419</v>
      </c>
      <c r="C389" s="28" t="s">
        <v>116</v>
      </c>
      <c r="D389" s="9" t="s">
        <v>139</v>
      </c>
      <c r="E389" s="28" t="s">
        <v>124</v>
      </c>
      <c r="F389" s="28"/>
      <c r="G389" s="10">
        <f>G390</f>
        <v>39.799999999999997</v>
      </c>
      <c r="H389" s="132"/>
    </row>
    <row r="390" spans="1:8" s="131" customFormat="1" ht="31.5" x14ac:dyDescent="0.25">
      <c r="A390" s="19" t="s">
        <v>125</v>
      </c>
      <c r="B390" s="28" t="s">
        <v>419</v>
      </c>
      <c r="C390" s="28" t="s">
        <v>116</v>
      </c>
      <c r="D390" s="9" t="s">
        <v>139</v>
      </c>
      <c r="E390" s="28" t="s">
        <v>126</v>
      </c>
      <c r="F390" s="28"/>
      <c r="G390" s="10">
        <f>'Пр.3 Рд,пр, ЦС,ВР 22'!F94</f>
        <v>39.799999999999997</v>
      </c>
      <c r="H390" s="132"/>
    </row>
    <row r="391" spans="1:8" s="131" customFormat="1" ht="22.7" customHeight="1" x14ac:dyDescent="0.25">
      <c r="A391" s="22" t="s">
        <v>137</v>
      </c>
      <c r="B391" s="28" t="s">
        <v>419</v>
      </c>
      <c r="C391" s="28" t="s">
        <v>116</v>
      </c>
      <c r="D391" s="9" t="s">
        <v>139</v>
      </c>
      <c r="E391" s="28" t="s">
        <v>126</v>
      </c>
      <c r="F391" s="28" t="s">
        <v>308</v>
      </c>
      <c r="G391" s="10">
        <f>G390</f>
        <v>39.799999999999997</v>
      </c>
      <c r="H391" s="132"/>
    </row>
    <row r="392" spans="1:8" s="131" customFormat="1" ht="47.25" hidden="1" x14ac:dyDescent="0.25">
      <c r="A392" s="24" t="s">
        <v>334</v>
      </c>
      <c r="B392" s="28" t="s">
        <v>556</v>
      </c>
      <c r="C392" s="28" t="s">
        <v>116</v>
      </c>
      <c r="D392" s="9" t="s">
        <v>139</v>
      </c>
      <c r="E392" s="5"/>
      <c r="F392" s="28"/>
      <c r="G392" s="10">
        <f>G393</f>
        <v>0</v>
      </c>
      <c r="H392" s="132"/>
    </row>
    <row r="393" spans="1:8" s="131" customFormat="1" ht="31.5" hidden="1" x14ac:dyDescent="0.25">
      <c r="A393" s="19" t="s">
        <v>123</v>
      </c>
      <c r="B393" s="28" t="s">
        <v>556</v>
      </c>
      <c r="C393" s="28" t="s">
        <v>116</v>
      </c>
      <c r="D393" s="9" t="s">
        <v>139</v>
      </c>
      <c r="E393" s="5">
        <v>200</v>
      </c>
      <c r="F393" s="28"/>
      <c r="G393" s="10">
        <f>G394</f>
        <v>0</v>
      </c>
      <c r="H393" s="132"/>
    </row>
    <row r="394" spans="1:8" s="131" customFormat="1" ht="31.5" hidden="1" x14ac:dyDescent="0.25">
      <c r="A394" s="19" t="s">
        <v>125</v>
      </c>
      <c r="B394" s="28" t="s">
        <v>556</v>
      </c>
      <c r="C394" s="28" t="s">
        <v>116</v>
      </c>
      <c r="D394" s="9" t="s">
        <v>139</v>
      </c>
      <c r="E394" s="5">
        <v>240</v>
      </c>
      <c r="F394" s="28"/>
      <c r="G394" s="10">
        <f>'Пр.4 ведом.22'!G98</f>
        <v>0</v>
      </c>
      <c r="H394" s="132"/>
    </row>
    <row r="395" spans="1:8" s="131" customFormat="1" ht="21.2" hidden="1" customHeight="1" x14ac:dyDescent="0.25">
      <c r="A395" s="22" t="s">
        <v>137</v>
      </c>
      <c r="B395" s="28" t="s">
        <v>556</v>
      </c>
      <c r="C395" s="28" t="s">
        <v>116</v>
      </c>
      <c r="D395" s="9" t="s">
        <v>139</v>
      </c>
      <c r="E395" s="5">
        <v>240</v>
      </c>
      <c r="F395" s="28" t="s">
        <v>308</v>
      </c>
      <c r="G395" s="10">
        <f>G394</f>
        <v>0</v>
      </c>
      <c r="H395" s="132"/>
    </row>
    <row r="396" spans="1:8" s="131" customFormat="1" ht="63" x14ac:dyDescent="0.25">
      <c r="A396" s="147" t="s">
        <v>566</v>
      </c>
      <c r="B396" s="7" t="s">
        <v>427</v>
      </c>
      <c r="C396" s="7"/>
      <c r="D396" s="8"/>
      <c r="E396" s="7"/>
      <c r="F396" s="7"/>
      <c r="G396" s="38">
        <f>G397</f>
        <v>0.5</v>
      </c>
      <c r="H396" s="132"/>
    </row>
    <row r="397" spans="1:8" s="131" customFormat="1" ht="15.75" x14ac:dyDescent="0.25">
      <c r="A397" s="31" t="s">
        <v>115</v>
      </c>
      <c r="B397" s="28" t="s">
        <v>427</v>
      </c>
      <c r="C397" s="28" t="s">
        <v>116</v>
      </c>
      <c r="D397" s="9"/>
      <c r="E397" s="7"/>
      <c r="F397" s="7"/>
      <c r="G397" s="10">
        <f>G398</f>
        <v>0.5</v>
      </c>
      <c r="H397" s="132"/>
    </row>
    <row r="398" spans="1:8" s="131" customFormat="1" ht="63" x14ac:dyDescent="0.25">
      <c r="A398" s="22" t="s">
        <v>138</v>
      </c>
      <c r="B398" s="28" t="s">
        <v>427</v>
      </c>
      <c r="C398" s="28" t="s">
        <v>116</v>
      </c>
      <c r="D398" s="9" t="s">
        <v>139</v>
      </c>
      <c r="E398" s="7"/>
      <c r="F398" s="7"/>
      <c r="G398" s="10">
        <f>G399</f>
        <v>0.5</v>
      </c>
      <c r="H398" s="132"/>
    </row>
    <row r="399" spans="1:8" s="131" customFormat="1" ht="47.25" x14ac:dyDescent="0.25">
      <c r="A399" s="25" t="s">
        <v>151</v>
      </c>
      <c r="B399" s="28" t="s">
        <v>421</v>
      </c>
      <c r="C399" s="28" t="s">
        <v>116</v>
      </c>
      <c r="D399" s="9" t="s">
        <v>139</v>
      </c>
      <c r="E399" s="28"/>
      <c r="F399" s="28"/>
      <c r="G399" s="10">
        <f>G400</f>
        <v>0.5</v>
      </c>
      <c r="H399" s="132"/>
    </row>
    <row r="400" spans="1:8" s="131" customFormat="1" ht="31.5" x14ac:dyDescent="0.25">
      <c r="A400" s="19" t="s">
        <v>123</v>
      </c>
      <c r="B400" s="28" t="s">
        <v>421</v>
      </c>
      <c r="C400" s="28" t="s">
        <v>116</v>
      </c>
      <c r="D400" s="9" t="s">
        <v>139</v>
      </c>
      <c r="E400" s="28" t="s">
        <v>124</v>
      </c>
      <c r="F400" s="28"/>
      <c r="G400" s="10">
        <f>G401</f>
        <v>0.5</v>
      </c>
      <c r="H400" s="132"/>
    </row>
    <row r="401" spans="1:8" s="131" customFormat="1" ht="31.5" x14ac:dyDescent="0.25">
      <c r="A401" s="19" t="s">
        <v>125</v>
      </c>
      <c r="B401" s="28" t="s">
        <v>421</v>
      </c>
      <c r="C401" s="28" t="s">
        <v>116</v>
      </c>
      <c r="D401" s="9" t="s">
        <v>139</v>
      </c>
      <c r="E401" s="28" t="s">
        <v>126</v>
      </c>
      <c r="F401" s="28"/>
      <c r="G401" s="10">
        <f>'Пр.3 Рд,пр, ЦС,ВР 22'!F101</f>
        <v>0.5</v>
      </c>
      <c r="H401" s="132"/>
    </row>
    <row r="402" spans="1:8" s="131" customFormat="1" ht="21.75" customHeight="1" x14ac:dyDescent="0.25">
      <c r="A402" s="22" t="s">
        <v>137</v>
      </c>
      <c r="B402" s="28" t="s">
        <v>421</v>
      </c>
      <c r="C402" s="28" t="s">
        <v>116</v>
      </c>
      <c r="D402" s="9" t="s">
        <v>139</v>
      </c>
      <c r="E402" s="28" t="s">
        <v>126</v>
      </c>
      <c r="F402" s="28" t="s">
        <v>308</v>
      </c>
      <c r="G402" s="10">
        <f>G401</f>
        <v>0.5</v>
      </c>
      <c r="H402" s="132"/>
    </row>
    <row r="403" spans="1:8" ht="70.5" customHeight="1" x14ac:dyDescent="0.25">
      <c r="A403" s="29" t="s">
        <v>849</v>
      </c>
      <c r="B403" s="122" t="s">
        <v>182</v>
      </c>
      <c r="C403" s="28"/>
      <c r="D403" s="28"/>
      <c r="E403" s="28"/>
      <c r="F403" s="28"/>
      <c r="G403" s="38">
        <f t="shared" ref="G403" si="34">G405</f>
        <v>10</v>
      </c>
      <c r="H403" s="132">
        <v>10</v>
      </c>
    </row>
    <row r="404" spans="1:8" s="131" customFormat="1" ht="54" customHeight="1" x14ac:dyDescent="0.25">
      <c r="A404" s="17" t="s">
        <v>459</v>
      </c>
      <c r="B404" s="18" t="s">
        <v>457</v>
      </c>
      <c r="C404" s="28"/>
      <c r="D404" s="28"/>
      <c r="E404" s="28"/>
      <c r="F404" s="28"/>
      <c r="G404" s="38">
        <f>G405</f>
        <v>10</v>
      </c>
      <c r="H404" s="132"/>
    </row>
    <row r="405" spans="1:8" ht="15.75" x14ac:dyDescent="0.25">
      <c r="A405" s="22" t="s">
        <v>173</v>
      </c>
      <c r="B405" s="5" t="s">
        <v>457</v>
      </c>
      <c r="C405" s="28" t="s">
        <v>174</v>
      </c>
      <c r="D405" s="28"/>
      <c r="E405" s="28"/>
      <c r="F405" s="28"/>
      <c r="G405" s="10">
        <f>G406</f>
        <v>10</v>
      </c>
    </row>
    <row r="406" spans="1:8" ht="22.7" customHeight="1" x14ac:dyDescent="0.25">
      <c r="A406" s="22" t="s">
        <v>181</v>
      </c>
      <c r="B406" s="5" t="s">
        <v>457</v>
      </c>
      <c r="C406" s="28" t="s">
        <v>174</v>
      </c>
      <c r="D406" s="28" t="s">
        <v>159</v>
      </c>
      <c r="E406" s="28"/>
      <c r="F406" s="28"/>
      <c r="G406" s="10">
        <f>G407</f>
        <v>10</v>
      </c>
    </row>
    <row r="407" spans="1:8" ht="31.5" x14ac:dyDescent="0.25">
      <c r="A407" s="19" t="s">
        <v>458</v>
      </c>
      <c r="B407" s="15" t="s">
        <v>728</v>
      </c>
      <c r="C407" s="28" t="s">
        <v>174</v>
      </c>
      <c r="D407" s="28" t="s">
        <v>159</v>
      </c>
      <c r="E407" s="28"/>
      <c r="F407" s="28"/>
      <c r="G407" s="10">
        <f t="shared" ref="G407:G408" si="35">G408</f>
        <v>10</v>
      </c>
    </row>
    <row r="408" spans="1:8" ht="21.75" customHeight="1" x14ac:dyDescent="0.25">
      <c r="A408" s="19" t="s">
        <v>177</v>
      </c>
      <c r="B408" s="15" t="s">
        <v>728</v>
      </c>
      <c r="C408" s="28" t="s">
        <v>174</v>
      </c>
      <c r="D408" s="28" t="s">
        <v>159</v>
      </c>
      <c r="E408" s="28" t="s">
        <v>178</v>
      </c>
      <c r="F408" s="28"/>
      <c r="G408" s="10">
        <f t="shared" si="35"/>
        <v>10</v>
      </c>
    </row>
    <row r="409" spans="1:8" ht="31.7" customHeight="1" x14ac:dyDescent="0.25">
      <c r="A409" s="19" t="s">
        <v>179</v>
      </c>
      <c r="B409" s="15" t="s">
        <v>728</v>
      </c>
      <c r="C409" s="28" t="s">
        <v>174</v>
      </c>
      <c r="D409" s="28" t="s">
        <v>159</v>
      </c>
      <c r="E409" s="28" t="s">
        <v>180</v>
      </c>
      <c r="F409" s="28"/>
      <c r="G409" s="10">
        <f>'Пр.4 ведом.22'!G236</f>
        <v>10</v>
      </c>
    </row>
    <row r="410" spans="1:8" ht="22.7" customHeight="1" x14ac:dyDescent="0.25">
      <c r="A410" s="22" t="s">
        <v>137</v>
      </c>
      <c r="B410" s="15" t="s">
        <v>728</v>
      </c>
      <c r="C410" s="28" t="s">
        <v>174</v>
      </c>
      <c r="D410" s="28" t="s">
        <v>159</v>
      </c>
      <c r="E410" s="28" t="s">
        <v>180</v>
      </c>
      <c r="F410" s="28" t="s">
        <v>308</v>
      </c>
      <c r="G410" s="10">
        <f>G409</f>
        <v>10</v>
      </c>
    </row>
    <row r="411" spans="1:8" ht="53.45" customHeight="1" x14ac:dyDescent="0.25">
      <c r="A411" s="29" t="s">
        <v>869</v>
      </c>
      <c r="B411" s="3" t="s">
        <v>249</v>
      </c>
      <c r="C411" s="45"/>
      <c r="D411" s="45"/>
      <c r="E411" s="45"/>
      <c r="F411" s="45"/>
      <c r="G411" s="4">
        <f>G412+G419+G438+G449+G456+G466+G480</f>
        <v>64791.3</v>
      </c>
      <c r="H411" s="132">
        <v>49079.7</v>
      </c>
    </row>
    <row r="412" spans="1:8" s="131" customFormat="1" ht="31.5" x14ac:dyDescent="0.25">
      <c r="A412" s="17" t="s">
        <v>507</v>
      </c>
      <c r="B412" s="18" t="s">
        <v>790</v>
      </c>
      <c r="C412" s="7"/>
      <c r="D412" s="7"/>
      <c r="E412" s="148"/>
      <c r="F412" s="122"/>
      <c r="G412" s="38">
        <f>G413</f>
        <v>54429</v>
      </c>
      <c r="H412" s="132"/>
    </row>
    <row r="413" spans="1:8" ht="17.45" customHeight="1" x14ac:dyDescent="0.25">
      <c r="A413" s="22" t="s">
        <v>250</v>
      </c>
      <c r="B413" s="28" t="s">
        <v>790</v>
      </c>
      <c r="C413" s="2">
        <v>11</v>
      </c>
      <c r="D413" s="45"/>
      <c r="E413" s="45"/>
      <c r="F413" s="45"/>
      <c r="G413" s="10">
        <f t="shared" ref="G413" si="36">G414</f>
        <v>54429</v>
      </c>
    </row>
    <row r="414" spans="1:8" ht="19.5" customHeight="1" x14ac:dyDescent="0.25">
      <c r="A414" s="22" t="s">
        <v>252</v>
      </c>
      <c r="B414" s="28" t="s">
        <v>790</v>
      </c>
      <c r="C414" s="28" t="s">
        <v>251</v>
      </c>
      <c r="D414" s="28" t="s">
        <v>116</v>
      </c>
      <c r="E414" s="46"/>
      <c r="F414" s="5"/>
      <c r="G414" s="10">
        <f>G415</f>
        <v>54429</v>
      </c>
    </row>
    <row r="415" spans="1:8" ht="31.5" x14ac:dyDescent="0.25">
      <c r="A415" s="19" t="s">
        <v>810</v>
      </c>
      <c r="B415" s="15" t="s">
        <v>791</v>
      </c>
      <c r="C415" s="28" t="s">
        <v>251</v>
      </c>
      <c r="D415" s="28" t="s">
        <v>116</v>
      </c>
      <c r="E415" s="46"/>
      <c r="F415" s="5"/>
      <c r="G415" s="10">
        <f>G416</f>
        <v>54429</v>
      </c>
    </row>
    <row r="416" spans="1:8" ht="31.5" x14ac:dyDescent="0.25">
      <c r="A416" s="22" t="s">
        <v>191</v>
      </c>
      <c r="B416" s="15" t="s">
        <v>791</v>
      </c>
      <c r="C416" s="28" t="s">
        <v>251</v>
      </c>
      <c r="D416" s="28" t="s">
        <v>116</v>
      </c>
      <c r="E416" s="28" t="s">
        <v>192</v>
      </c>
      <c r="F416" s="5"/>
      <c r="G416" s="10">
        <f>G417</f>
        <v>54429</v>
      </c>
    </row>
    <row r="417" spans="1:8" ht="15.75" x14ac:dyDescent="0.25">
      <c r="A417" s="22" t="s">
        <v>193</v>
      </c>
      <c r="B417" s="15" t="s">
        <v>791</v>
      </c>
      <c r="C417" s="28" t="s">
        <v>251</v>
      </c>
      <c r="D417" s="28" t="s">
        <v>116</v>
      </c>
      <c r="E417" s="28" t="s">
        <v>194</v>
      </c>
      <c r="F417" s="5"/>
      <c r="G417" s="10">
        <f>'Пр.4 ведом.22'!G857</f>
        <v>54429</v>
      </c>
    </row>
    <row r="418" spans="1:8" s="131" customFormat="1" ht="31.5" x14ac:dyDescent="0.25">
      <c r="A418" s="31" t="s">
        <v>248</v>
      </c>
      <c r="B418" s="15" t="s">
        <v>791</v>
      </c>
      <c r="C418" s="28" t="s">
        <v>251</v>
      </c>
      <c r="D418" s="28" t="s">
        <v>116</v>
      </c>
      <c r="E418" s="28" t="s">
        <v>194</v>
      </c>
      <c r="F418" s="5">
        <v>907</v>
      </c>
      <c r="G418" s="400">
        <f>G417</f>
        <v>54429</v>
      </c>
      <c r="H418" s="132"/>
    </row>
    <row r="419" spans="1:8" s="131" customFormat="1" ht="31.5" x14ac:dyDescent="0.25">
      <c r="A419" s="17" t="s">
        <v>513</v>
      </c>
      <c r="B419" s="18" t="s">
        <v>792</v>
      </c>
      <c r="C419" s="7"/>
      <c r="D419" s="7"/>
      <c r="E419" s="7"/>
      <c r="F419" s="122"/>
      <c r="G419" s="38">
        <f>G420</f>
        <v>36</v>
      </c>
      <c r="H419" s="132"/>
    </row>
    <row r="420" spans="1:8" s="131" customFormat="1" ht="15.75" x14ac:dyDescent="0.25">
      <c r="A420" s="22" t="s">
        <v>250</v>
      </c>
      <c r="B420" s="15" t="s">
        <v>792</v>
      </c>
      <c r="C420" s="2">
        <v>11</v>
      </c>
      <c r="D420" s="45"/>
      <c r="E420" s="45"/>
      <c r="F420" s="45"/>
      <c r="G420" s="10">
        <f>G421</f>
        <v>36</v>
      </c>
      <c r="H420" s="132"/>
    </row>
    <row r="421" spans="1:8" s="131" customFormat="1" ht="16.5" x14ac:dyDescent="0.25">
      <c r="A421" s="22" t="s">
        <v>252</v>
      </c>
      <c r="B421" s="15" t="s">
        <v>792</v>
      </c>
      <c r="C421" s="28" t="s">
        <v>251</v>
      </c>
      <c r="D421" s="28" t="s">
        <v>116</v>
      </c>
      <c r="E421" s="46"/>
      <c r="F421" s="5"/>
      <c r="G421" s="10">
        <f>G422+G426+G430+G434</f>
        <v>36</v>
      </c>
      <c r="H421" s="132"/>
    </row>
    <row r="422" spans="1:8" ht="31.7" hidden="1" customHeight="1" x14ac:dyDescent="0.25">
      <c r="A422" s="22" t="s">
        <v>195</v>
      </c>
      <c r="B422" s="15" t="s">
        <v>831</v>
      </c>
      <c r="C422" s="28" t="s">
        <v>251</v>
      </c>
      <c r="D422" s="28" t="s">
        <v>116</v>
      </c>
      <c r="E422" s="28"/>
      <c r="F422" s="5"/>
      <c r="G422" s="10">
        <f t="shared" ref="G422:G423" si="37">G423</f>
        <v>0</v>
      </c>
    </row>
    <row r="423" spans="1:8" ht="31.7" hidden="1" customHeight="1" x14ac:dyDescent="0.25">
      <c r="A423" s="22" t="s">
        <v>191</v>
      </c>
      <c r="B423" s="15" t="s">
        <v>831</v>
      </c>
      <c r="C423" s="28" t="s">
        <v>251</v>
      </c>
      <c r="D423" s="28" t="s">
        <v>116</v>
      </c>
      <c r="E423" s="28" t="s">
        <v>192</v>
      </c>
      <c r="F423" s="5"/>
      <c r="G423" s="10">
        <f t="shared" si="37"/>
        <v>0</v>
      </c>
    </row>
    <row r="424" spans="1:8" ht="15.75" hidden="1" customHeight="1" x14ac:dyDescent="0.25">
      <c r="A424" s="22" t="s">
        <v>193</v>
      </c>
      <c r="B424" s="15" t="s">
        <v>831</v>
      </c>
      <c r="C424" s="28" t="s">
        <v>251</v>
      </c>
      <c r="D424" s="28" t="s">
        <v>116</v>
      </c>
      <c r="E424" s="28" t="s">
        <v>194</v>
      </c>
      <c r="F424" s="5"/>
      <c r="G424" s="10">
        <f>'Пр.4 ведом.22'!G861</f>
        <v>0</v>
      </c>
    </row>
    <row r="425" spans="1:8" s="131" customFormat="1" ht="34.5" hidden="1" customHeight="1" x14ac:dyDescent="0.25">
      <c r="A425" s="31" t="s">
        <v>248</v>
      </c>
      <c r="B425" s="15" t="s">
        <v>831</v>
      </c>
      <c r="C425" s="28" t="s">
        <v>251</v>
      </c>
      <c r="D425" s="28" t="s">
        <v>116</v>
      </c>
      <c r="E425" s="28" t="s">
        <v>194</v>
      </c>
      <c r="F425" s="5">
        <v>907</v>
      </c>
      <c r="G425" s="10">
        <f>G424</f>
        <v>0</v>
      </c>
      <c r="H425" s="132"/>
    </row>
    <row r="426" spans="1:8" ht="31.7" hidden="1" customHeight="1" x14ac:dyDescent="0.25">
      <c r="A426" s="22" t="s">
        <v>196</v>
      </c>
      <c r="B426" s="15" t="s">
        <v>832</v>
      </c>
      <c r="C426" s="28" t="s">
        <v>251</v>
      </c>
      <c r="D426" s="28" t="s">
        <v>116</v>
      </c>
      <c r="E426" s="28"/>
      <c r="F426" s="5"/>
      <c r="G426" s="10">
        <f t="shared" ref="G426:G427" si="38">G427</f>
        <v>0</v>
      </c>
    </row>
    <row r="427" spans="1:8" ht="31.7" hidden="1" customHeight="1" x14ac:dyDescent="0.25">
      <c r="A427" s="22" t="s">
        <v>191</v>
      </c>
      <c r="B427" s="15" t="s">
        <v>832</v>
      </c>
      <c r="C427" s="28" t="s">
        <v>251</v>
      </c>
      <c r="D427" s="28" t="s">
        <v>116</v>
      </c>
      <c r="E427" s="28" t="s">
        <v>192</v>
      </c>
      <c r="F427" s="5"/>
      <c r="G427" s="10">
        <f t="shared" si="38"/>
        <v>0</v>
      </c>
    </row>
    <row r="428" spans="1:8" ht="15.75" hidden="1" customHeight="1" x14ac:dyDescent="0.25">
      <c r="A428" s="22" t="s">
        <v>193</v>
      </c>
      <c r="B428" s="15" t="s">
        <v>832</v>
      </c>
      <c r="C428" s="28" t="s">
        <v>251</v>
      </c>
      <c r="D428" s="28" t="s">
        <v>116</v>
      </c>
      <c r="E428" s="28" t="s">
        <v>194</v>
      </c>
      <c r="F428" s="5"/>
      <c r="G428" s="10">
        <f>'Пр.4 ведом.22'!G864</f>
        <v>0</v>
      </c>
    </row>
    <row r="429" spans="1:8" s="131" customFormat="1" ht="36" hidden="1" customHeight="1" x14ac:dyDescent="0.25">
      <c r="A429" s="31" t="s">
        <v>248</v>
      </c>
      <c r="B429" s="15" t="s">
        <v>832</v>
      </c>
      <c r="C429" s="28" t="s">
        <v>251</v>
      </c>
      <c r="D429" s="28" t="s">
        <v>116</v>
      </c>
      <c r="E429" s="28" t="s">
        <v>194</v>
      </c>
      <c r="F429" s="5">
        <v>907</v>
      </c>
      <c r="G429" s="10">
        <f>G428</f>
        <v>0</v>
      </c>
      <c r="H429" s="132"/>
    </row>
    <row r="430" spans="1:8" s="131" customFormat="1" ht="15.75" customHeight="1" x14ac:dyDescent="0.25">
      <c r="A430" s="19" t="s">
        <v>407</v>
      </c>
      <c r="B430" s="15" t="s">
        <v>793</v>
      </c>
      <c r="C430" s="28" t="s">
        <v>251</v>
      </c>
      <c r="D430" s="28" t="s">
        <v>116</v>
      </c>
      <c r="E430" s="28"/>
      <c r="F430" s="5"/>
      <c r="G430" s="10">
        <f>G431</f>
        <v>36</v>
      </c>
      <c r="H430" s="132"/>
    </row>
    <row r="431" spans="1:8" s="131" customFormat="1" ht="31.5" x14ac:dyDescent="0.25">
      <c r="A431" s="19" t="s">
        <v>191</v>
      </c>
      <c r="B431" s="15" t="s">
        <v>793</v>
      </c>
      <c r="C431" s="28" t="s">
        <v>251</v>
      </c>
      <c r="D431" s="28" t="s">
        <v>116</v>
      </c>
      <c r="E431" s="28" t="s">
        <v>192</v>
      </c>
      <c r="F431" s="5"/>
      <c r="G431" s="10">
        <f>G432</f>
        <v>36</v>
      </c>
      <c r="H431" s="132"/>
    </row>
    <row r="432" spans="1:8" s="131" customFormat="1" ht="15.75" customHeight="1" x14ac:dyDescent="0.25">
      <c r="A432" s="19" t="s">
        <v>193</v>
      </c>
      <c r="B432" s="15" t="s">
        <v>793</v>
      </c>
      <c r="C432" s="28" t="s">
        <v>251</v>
      </c>
      <c r="D432" s="28" t="s">
        <v>116</v>
      </c>
      <c r="E432" s="28" t="s">
        <v>194</v>
      </c>
      <c r="F432" s="5"/>
      <c r="G432" s="10">
        <f>'Пр.4 ведом.22'!G867</f>
        <v>36</v>
      </c>
      <c r="H432" s="132"/>
    </row>
    <row r="433" spans="1:8" s="131" customFormat="1" ht="33" customHeight="1" x14ac:dyDescent="0.25">
      <c r="A433" s="31" t="s">
        <v>248</v>
      </c>
      <c r="B433" s="15" t="s">
        <v>793</v>
      </c>
      <c r="C433" s="28" t="s">
        <v>251</v>
      </c>
      <c r="D433" s="28" t="s">
        <v>116</v>
      </c>
      <c r="E433" s="28" t="s">
        <v>194</v>
      </c>
      <c r="F433" s="5">
        <v>907</v>
      </c>
      <c r="G433" s="10">
        <f>G432</f>
        <v>36</v>
      </c>
      <c r="H433" s="132"/>
    </row>
    <row r="434" spans="1:8" s="405" customFormat="1" ht="33" hidden="1" customHeight="1" x14ac:dyDescent="0.25">
      <c r="A434" s="399" t="s">
        <v>199</v>
      </c>
      <c r="B434" s="402" t="s">
        <v>1079</v>
      </c>
      <c r="C434" s="403" t="s">
        <v>251</v>
      </c>
      <c r="D434" s="403" t="s">
        <v>116</v>
      </c>
      <c r="E434" s="403"/>
      <c r="F434" s="404"/>
      <c r="G434" s="400">
        <f>G435</f>
        <v>0</v>
      </c>
    </row>
    <row r="435" spans="1:8" s="405" customFormat="1" ht="33" hidden="1" customHeight="1" x14ac:dyDescent="0.25">
      <c r="A435" s="399" t="s">
        <v>191</v>
      </c>
      <c r="B435" s="402" t="s">
        <v>1079</v>
      </c>
      <c r="C435" s="403" t="s">
        <v>251</v>
      </c>
      <c r="D435" s="403" t="s">
        <v>116</v>
      </c>
      <c r="E435" s="403" t="s">
        <v>192</v>
      </c>
      <c r="F435" s="404"/>
      <c r="G435" s="400">
        <f>G436</f>
        <v>0</v>
      </c>
    </row>
    <row r="436" spans="1:8" s="405" customFormat="1" ht="21.75" hidden="1" customHeight="1" x14ac:dyDescent="0.25">
      <c r="A436" s="399" t="s">
        <v>193</v>
      </c>
      <c r="B436" s="402" t="s">
        <v>1079</v>
      </c>
      <c r="C436" s="403" t="s">
        <v>251</v>
      </c>
      <c r="D436" s="403" t="s">
        <v>116</v>
      </c>
      <c r="E436" s="403" t="s">
        <v>194</v>
      </c>
      <c r="F436" s="404"/>
      <c r="G436" s="400">
        <f>'Пр.4 ведом.22'!G870</f>
        <v>0</v>
      </c>
    </row>
    <row r="437" spans="1:8" s="405" customFormat="1" ht="33" hidden="1" customHeight="1" x14ac:dyDescent="0.25">
      <c r="A437" s="406" t="s">
        <v>248</v>
      </c>
      <c r="B437" s="402" t="s">
        <v>1079</v>
      </c>
      <c r="C437" s="403" t="s">
        <v>251</v>
      </c>
      <c r="D437" s="403" t="s">
        <v>116</v>
      </c>
      <c r="E437" s="403" t="s">
        <v>194</v>
      </c>
      <c r="F437" s="404">
        <v>907</v>
      </c>
      <c r="G437" s="400">
        <f>G436</f>
        <v>0</v>
      </c>
    </row>
    <row r="438" spans="1:8" s="131" customFormat="1" ht="36" customHeight="1" x14ac:dyDescent="0.25">
      <c r="A438" s="17" t="s">
        <v>514</v>
      </c>
      <c r="B438" s="18" t="s">
        <v>794</v>
      </c>
      <c r="C438" s="7"/>
      <c r="D438" s="7"/>
      <c r="E438" s="7"/>
      <c r="F438" s="122"/>
      <c r="G438" s="38">
        <f>G439</f>
        <v>1290</v>
      </c>
      <c r="H438" s="132"/>
    </row>
    <row r="439" spans="1:8" s="131" customFormat="1" ht="18" customHeight="1" x14ac:dyDescent="0.25">
      <c r="A439" s="22" t="s">
        <v>250</v>
      </c>
      <c r="B439" s="15" t="s">
        <v>794</v>
      </c>
      <c r="C439" s="2">
        <v>11</v>
      </c>
      <c r="D439" s="45"/>
      <c r="E439" s="45"/>
      <c r="F439" s="45"/>
      <c r="G439" s="10">
        <f t="shared" ref="G439" si="39">G440</f>
        <v>1290</v>
      </c>
      <c r="H439" s="132"/>
    </row>
    <row r="440" spans="1:8" s="131" customFormat="1" ht="18" customHeight="1" x14ac:dyDescent="0.25">
      <c r="A440" s="22" t="s">
        <v>252</v>
      </c>
      <c r="B440" s="15" t="s">
        <v>794</v>
      </c>
      <c r="C440" s="28" t="s">
        <v>251</v>
      </c>
      <c r="D440" s="28" t="s">
        <v>116</v>
      </c>
      <c r="E440" s="46"/>
      <c r="F440" s="5"/>
      <c r="G440" s="10">
        <f>G441+G445</f>
        <v>1290</v>
      </c>
      <c r="H440" s="132"/>
    </row>
    <row r="441" spans="1:8" ht="31.7" hidden="1" customHeight="1" x14ac:dyDescent="0.25">
      <c r="A441" s="22" t="s">
        <v>198</v>
      </c>
      <c r="B441" s="15" t="s">
        <v>819</v>
      </c>
      <c r="C441" s="28" t="s">
        <v>251</v>
      </c>
      <c r="D441" s="28" t="s">
        <v>116</v>
      </c>
      <c r="E441" s="28"/>
      <c r="F441" s="5"/>
      <c r="G441" s="10">
        <f t="shared" ref="G441:G442" si="40">G442</f>
        <v>0</v>
      </c>
    </row>
    <row r="442" spans="1:8" ht="31.7" hidden="1" customHeight="1" x14ac:dyDescent="0.25">
      <c r="A442" s="22" t="s">
        <v>191</v>
      </c>
      <c r="B442" s="15" t="s">
        <v>819</v>
      </c>
      <c r="C442" s="28" t="s">
        <v>251</v>
      </c>
      <c r="D442" s="28" t="s">
        <v>116</v>
      </c>
      <c r="E442" s="28" t="s">
        <v>192</v>
      </c>
      <c r="F442" s="5"/>
      <c r="G442" s="10">
        <f t="shared" si="40"/>
        <v>0</v>
      </c>
    </row>
    <row r="443" spans="1:8" ht="15.75" hidden="1" customHeight="1" x14ac:dyDescent="0.25">
      <c r="A443" s="22" t="s">
        <v>193</v>
      </c>
      <c r="B443" s="15" t="s">
        <v>819</v>
      </c>
      <c r="C443" s="28" t="s">
        <v>251</v>
      </c>
      <c r="D443" s="28" t="s">
        <v>116</v>
      </c>
      <c r="E443" s="28" t="s">
        <v>194</v>
      </c>
      <c r="F443" s="5"/>
      <c r="G443" s="10">
        <f>'Пр.4 ведом.22'!G874</f>
        <v>0</v>
      </c>
    </row>
    <row r="444" spans="1:8" s="131" customFormat="1" ht="39.75" hidden="1" customHeight="1" x14ac:dyDescent="0.25">
      <c r="A444" s="31" t="s">
        <v>248</v>
      </c>
      <c r="B444" s="15" t="s">
        <v>819</v>
      </c>
      <c r="C444" s="28" t="s">
        <v>251</v>
      </c>
      <c r="D444" s="28" t="s">
        <v>116</v>
      </c>
      <c r="E444" s="28" t="s">
        <v>194</v>
      </c>
      <c r="F444" s="5">
        <v>907</v>
      </c>
      <c r="G444" s="10">
        <f>G443</f>
        <v>0</v>
      </c>
      <c r="H444" s="132"/>
    </row>
    <row r="445" spans="1:8" ht="31.5" x14ac:dyDescent="0.25">
      <c r="A445" s="31" t="s">
        <v>344</v>
      </c>
      <c r="B445" s="15" t="s">
        <v>795</v>
      </c>
      <c r="C445" s="28" t="s">
        <v>251</v>
      </c>
      <c r="D445" s="28" t="s">
        <v>116</v>
      </c>
      <c r="E445" s="28"/>
      <c r="F445" s="5"/>
      <c r="G445" s="10">
        <f t="shared" ref="G445:G446" si="41">G446</f>
        <v>1290</v>
      </c>
    </row>
    <row r="446" spans="1:8" ht="31.5" x14ac:dyDescent="0.25">
      <c r="A446" s="24" t="s">
        <v>191</v>
      </c>
      <c r="B446" s="15" t="s">
        <v>795</v>
      </c>
      <c r="C446" s="28" t="s">
        <v>251</v>
      </c>
      <c r="D446" s="28" t="s">
        <v>116</v>
      </c>
      <c r="E446" s="28" t="s">
        <v>192</v>
      </c>
      <c r="F446" s="5"/>
      <c r="G446" s="10">
        <f t="shared" si="41"/>
        <v>1290</v>
      </c>
    </row>
    <row r="447" spans="1:8" ht="15.75" x14ac:dyDescent="0.25">
      <c r="A447" s="24" t="s">
        <v>193</v>
      </c>
      <c r="B447" s="15" t="s">
        <v>795</v>
      </c>
      <c r="C447" s="28" t="s">
        <v>251</v>
      </c>
      <c r="D447" s="28" t="s">
        <v>116</v>
      </c>
      <c r="E447" s="28" t="s">
        <v>194</v>
      </c>
      <c r="F447" s="5"/>
      <c r="G447" s="10">
        <f>'Пр.4 ведом.22'!G877</f>
        <v>1290</v>
      </c>
    </row>
    <row r="448" spans="1:8" s="131" customFormat="1" ht="31.5" x14ac:dyDescent="0.25">
      <c r="A448" s="31" t="s">
        <v>248</v>
      </c>
      <c r="B448" s="15" t="s">
        <v>795</v>
      </c>
      <c r="C448" s="28" t="s">
        <v>251</v>
      </c>
      <c r="D448" s="28" t="s">
        <v>116</v>
      </c>
      <c r="E448" s="28" t="s">
        <v>194</v>
      </c>
      <c r="F448" s="5">
        <v>907</v>
      </c>
      <c r="G448" s="10">
        <f>G447</f>
        <v>1290</v>
      </c>
      <c r="H448" s="132"/>
    </row>
    <row r="449" spans="1:8" s="131" customFormat="1" ht="47.25" x14ac:dyDescent="0.25">
      <c r="A449" s="17" t="s">
        <v>471</v>
      </c>
      <c r="B449" s="18" t="s">
        <v>796</v>
      </c>
      <c r="C449" s="7"/>
      <c r="D449" s="7"/>
      <c r="E449" s="7"/>
      <c r="F449" s="122"/>
      <c r="G449" s="38">
        <f>G450</f>
        <v>883.9</v>
      </c>
      <c r="H449" s="132"/>
    </row>
    <row r="450" spans="1:8" s="131" customFormat="1" ht="15.75" x14ac:dyDescent="0.25">
      <c r="A450" s="22" t="s">
        <v>250</v>
      </c>
      <c r="B450" s="15" t="s">
        <v>796</v>
      </c>
      <c r="C450" s="2">
        <v>11</v>
      </c>
      <c r="D450" s="45"/>
      <c r="E450" s="45"/>
      <c r="F450" s="45"/>
      <c r="G450" s="10">
        <f t="shared" ref="G450" si="42">G451</f>
        <v>883.9</v>
      </c>
      <c r="H450" s="132"/>
    </row>
    <row r="451" spans="1:8" s="131" customFormat="1" ht="16.5" x14ac:dyDescent="0.25">
      <c r="A451" s="22" t="s">
        <v>252</v>
      </c>
      <c r="B451" s="15" t="s">
        <v>796</v>
      </c>
      <c r="C451" s="28" t="s">
        <v>251</v>
      </c>
      <c r="D451" s="28" t="s">
        <v>116</v>
      </c>
      <c r="E451" s="46"/>
      <c r="F451" s="5"/>
      <c r="G451" s="10">
        <f>G452</f>
        <v>883.9</v>
      </c>
      <c r="H451" s="132"/>
    </row>
    <row r="452" spans="1:8" s="131" customFormat="1" ht="94.5" x14ac:dyDescent="0.25">
      <c r="A452" s="24" t="s">
        <v>245</v>
      </c>
      <c r="B452" s="15" t="s">
        <v>896</v>
      </c>
      <c r="C452" s="28" t="s">
        <v>251</v>
      </c>
      <c r="D452" s="28" t="s">
        <v>116</v>
      </c>
      <c r="E452" s="28"/>
      <c r="F452" s="5"/>
      <c r="G452" s="10">
        <f>G453</f>
        <v>883.9</v>
      </c>
      <c r="H452" s="132"/>
    </row>
    <row r="453" spans="1:8" s="131" customFormat="1" ht="31.5" x14ac:dyDescent="0.25">
      <c r="A453" s="19" t="s">
        <v>191</v>
      </c>
      <c r="B453" s="15" t="s">
        <v>896</v>
      </c>
      <c r="C453" s="28" t="s">
        <v>251</v>
      </c>
      <c r="D453" s="28" t="s">
        <v>116</v>
      </c>
      <c r="E453" s="28" t="s">
        <v>192</v>
      </c>
      <c r="F453" s="5"/>
      <c r="G453" s="10">
        <f>G454</f>
        <v>883.9</v>
      </c>
      <c r="H453" s="132"/>
    </row>
    <row r="454" spans="1:8" s="131" customFormat="1" ht="15.75" x14ac:dyDescent="0.25">
      <c r="A454" s="19" t="s">
        <v>193</v>
      </c>
      <c r="B454" s="15" t="s">
        <v>896</v>
      </c>
      <c r="C454" s="28" t="s">
        <v>251</v>
      </c>
      <c r="D454" s="28" t="s">
        <v>116</v>
      </c>
      <c r="E454" s="28" t="s">
        <v>194</v>
      </c>
      <c r="F454" s="5"/>
      <c r="G454" s="10">
        <f>'Пр.3 Рд,пр, ЦС,ВР 22'!F1016</f>
        <v>883.9</v>
      </c>
      <c r="H454" s="132"/>
    </row>
    <row r="455" spans="1:8" s="131" customFormat="1" ht="31.5" x14ac:dyDescent="0.25">
      <c r="A455" s="31" t="s">
        <v>248</v>
      </c>
      <c r="B455" s="15" t="s">
        <v>896</v>
      </c>
      <c r="C455" s="28" t="s">
        <v>251</v>
      </c>
      <c r="D455" s="28" t="s">
        <v>116</v>
      </c>
      <c r="E455" s="28" t="s">
        <v>194</v>
      </c>
      <c r="F455" s="5">
        <v>907</v>
      </c>
      <c r="G455" s="10">
        <f>G454</f>
        <v>883.9</v>
      </c>
      <c r="H455" s="132"/>
    </row>
    <row r="456" spans="1:8" s="131" customFormat="1" ht="31.5" x14ac:dyDescent="0.25">
      <c r="A456" s="37" t="s">
        <v>516</v>
      </c>
      <c r="B456" s="7" t="s">
        <v>798</v>
      </c>
      <c r="C456" s="7"/>
      <c r="D456" s="7"/>
      <c r="E456" s="7"/>
      <c r="F456" s="122"/>
      <c r="G456" s="4">
        <f>G457</f>
        <v>2700</v>
      </c>
      <c r="H456" s="132"/>
    </row>
    <row r="457" spans="1:8" ht="15.75" x14ac:dyDescent="0.25">
      <c r="A457" s="22" t="s">
        <v>250</v>
      </c>
      <c r="B457" s="28" t="s">
        <v>798</v>
      </c>
      <c r="C457" s="28" t="s">
        <v>251</v>
      </c>
      <c r="D457" s="28"/>
      <c r="E457" s="28"/>
      <c r="F457" s="5"/>
      <c r="G457" s="6">
        <f>G458</f>
        <v>2700</v>
      </c>
    </row>
    <row r="458" spans="1:8" ht="31.5" x14ac:dyDescent="0.25">
      <c r="A458" s="19" t="s">
        <v>254</v>
      </c>
      <c r="B458" s="28" t="s">
        <v>798</v>
      </c>
      <c r="C458" s="28" t="s">
        <v>251</v>
      </c>
      <c r="D458" s="28" t="s">
        <v>168</v>
      </c>
      <c r="E458" s="28"/>
      <c r="F458" s="5"/>
      <c r="G458" s="6">
        <f>G459</f>
        <v>2700</v>
      </c>
    </row>
    <row r="459" spans="1:8" ht="15.75" x14ac:dyDescent="0.25">
      <c r="A459" s="22" t="s">
        <v>517</v>
      </c>
      <c r="B459" s="28" t="s">
        <v>799</v>
      </c>
      <c r="C459" s="28" t="s">
        <v>251</v>
      </c>
      <c r="D459" s="28" t="s">
        <v>168</v>
      </c>
      <c r="E459" s="28"/>
      <c r="F459" s="5"/>
      <c r="G459" s="6">
        <f>G460+G463</f>
        <v>2700</v>
      </c>
    </row>
    <row r="460" spans="1:8" ht="78.75" x14ac:dyDescent="0.25">
      <c r="A460" s="19" t="s">
        <v>119</v>
      </c>
      <c r="B460" s="28" t="s">
        <v>799</v>
      </c>
      <c r="C460" s="28" t="s">
        <v>251</v>
      </c>
      <c r="D460" s="28" t="s">
        <v>168</v>
      </c>
      <c r="E460" s="28" t="s">
        <v>120</v>
      </c>
      <c r="F460" s="5"/>
      <c r="G460" s="6">
        <f t="shared" ref="G460" si="43">G461</f>
        <v>2200</v>
      </c>
    </row>
    <row r="461" spans="1:8" ht="24" customHeight="1" x14ac:dyDescent="0.25">
      <c r="A461" s="19" t="s">
        <v>212</v>
      </c>
      <c r="B461" s="28" t="s">
        <v>799</v>
      </c>
      <c r="C461" s="28" t="s">
        <v>251</v>
      </c>
      <c r="D461" s="28" t="s">
        <v>168</v>
      </c>
      <c r="E461" s="28" t="s">
        <v>156</v>
      </c>
      <c r="F461" s="5"/>
      <c r="G461" s="6">
        <f>'Пр.4 ведом.22'!G931</f>
        <v>2200</v>
      </c>
    </row>
    <row r="462" spans="1:8" s="131" customFormat="1" ht="33" customHeight="1" x14ac:dyDescent="0.25">
      <c r="A462" s="31" t="s">
        <v>248</v>
      </c>
      <c r="B462" s="28" t="s">
        <v>799</v>
      </c>
      <c r="C462" s="28" t="s">
        <v>251</v>
      </c>
      <c r="D462" s="28" t="s">
        <v>168</v>
      </c>
      <c r="E462" s="28" t="s">
        <v>156</v>
      </c>
      <c r="F462" s="5">
        <v>907</v>
      </c>
      <c r="G462" s="10">
        <f>G461</f>
        <v>2200</v>
      </c>
      <c r="H462" s="132"/>
    </row>
    <row r="463" spans="1:8" ht="31.5" x14ac:dyDescent="0.25">
      <c r="A463" s="22" t="s">
        <v>123</v>
      </c>
      <c r="B463" s="28" t="s">
        <v>799</v>
      </c>
      <c r="C463" s="28" t="s">
        <v>251</v>
      </c>
      <c r="D463" s="28" t="s">
        <v>168</v>
      </c>
      <c r="E463" s="28" t="s">
        <v>124</v>
      </c>
      <c r="F463" s="5"/>
      <c r="G463" s="6">
        <f t="shared" ref="G463" si="44">G464</f>
        <v>500</v>
      </c>
    </row>
    <row r="464" spans="1:8" ht="31.5" x14ac:dyDescent="0.25">
      <c r="A464" s="22" t="s">
        <v>125</v>
      </c>
      <c r="B464" s="28" t="s">
        <v>799</v>
      </c>
      <c r="C464" s="28" t="s">
        <v>251</v>
      </c>
      <c r="D464" s="28" t="s">
        <v>168</v>
      </c>
      <c r="E464" s="28" t="s">
        <v>126</v>
      </c>
      <c r="F464" s="5"/>
      <c r="G464" s="6">
        <f>'Пр.4 ведом.22'!G933</f>
        <v>500</v>
      </c>
    </row>
    <row r="465" spans="1:8" ht="31.5" x14ac:dyDescent="0.25">
      <c r="A465" s="31" t="s">
        <v>248</v>
      </c>
      <c r="B465" s="28" t="s">
        <v>799</v>
      </c>
      <c r="C465" s="28" t="s">
        <v>251</v>
      </c>
      <c r="D465" s="28" t="s">
        <v>168</v>
      </c>
      <c r="E465" s="28" t="s">
        <v>126</v>
      </c>
      <c r="F465" s="5">
        <v>907</v>
      </c>
      <c r="G465" s="10">
        <f>G464</f>
        <v>500</v>
      </c>
    </row>
    <row r="466" spans="1:8" s="362" customFormat="1" ht="47.25" x14ac:dyDescent="0.25">
      <c r="A466" s="315" t="s">
        <v>1060</v>
      </c>
      <c r="B466" s="316" t="s">
        <v>1058</v>
      </c>
      <c r="C466" s="360"/>
      <c r="D466" s="360"/>
      <c r="E466" s="360"/>
      <c r="F466" s="5"/>
      <c r="G466" s="38">
        <f>G467</f>
        <v>5022.3</v>
      </c>
      <c r="H466" s="363"/>
    </row>
    <row r="467" spans="1:8" s="362" customFormat="1" ht="15.75" x14ac:dyDescent="0.25">
      <c r="A467" s="22" t="s">
        <v>250</v>
      </c>
      <c r="B467" s="365" t="s">
        <v>1059</v>
      </c>
      <c r="C467" s="360" t="s">
        <v>251</v>
      </c>
      <c r="D467" s="360"/>
      <c r="E467" s="360"/>
      <c r="F467" s="5"/>
      <c r="G467" s="10">
        <f>G468</f>
        <v>5022.3</v>
      </c>
      <c r="H467" s="363"/>
    </row>
    <row r="468" spans="1:8" s="362" customFormat="1" ht="15.75" x14ac:dyDescent="0.25">
      <c r="A468" s="22" t="s">
        <v>252</v>
      </c>
      <c r="B468" s="365" t="s">
        <v>1059</v>
      </c>
      <c r="C468" s="360" t="s">
        <v>251</v>
      </c>
      <c r="D468" s="360" t="s">
        <v>116</v>
      </c>
      <c r="E468" s="360"/>
      <c r="F468" s="5"/>
      <c r="G468" s="10">
        <f>G469</f>
        <v>5022.3</v>
      </c>
      <c r="H468" s="363"/>
    </row>
    <row r="469" spans="1:8" s="362" customFormat="1" ht="47.25" x14ac:dyDescent="0.25">
      <c r="A469" s="24" t="s">
        <v>1061</v>
      </c>
      <c r="B469" s="365" t="s">
        <v>1059</v>
      </c>
      <c r="C469" s="360" t="s">
        <v>251</v>
      </c>
      <c r="D469" s="360" t="s">
        <v>116</v>
      </c>
      <c r="E469" s="360"/>
      <c r="F469" s="5"/>
      <c r="G469" s="10">
        <f>G470</f>
        <v>5022.3</v>
      </c>
      <c r="H469" s="363"/>
    </row>
    <row r="470" spans="1:8" s="362" customFormat="1" ht="31.5" x14ac:dyDescent="0.25">
      <c r="A470" s="364" t="s">
        <v>191</v>
      </c>
      <c r="B470" s="365" t="s">
        <v>1059</v>
      </c>
      <c r="C470" s="360" t="s">
        <v>251</v>
      </c>
      <c r="D470" s="360" t="s">
        <v>116</v>
      </c>
      <c r="E470" s="360" t="s">
        <v>192</v>
      </c>
      <c r="F470" s="5"/>
      <c r="G470" s="10">
        <f>G471</f>
        <v>5022.3</v>
      </c>
      <c r="H470" s="363"/>
    </row>
    <row r="471" spans="1:8" s="362" customFormat="1" ht="15.75" x14ac:dyDescent="0.25">
      <c r="A471" s="364" t="s">
        <v>193</v>
      </c>
      <c r="B471" s="365" t="s">
        <v>1059</v>
      </c>
      <c r="C471" s="360" t="s">
        <v>251</v>
      </c>
      <c r="D471" s="360" t="s">
        <v>116</v>
      </c>
      <c r="E471" s="360" t="s">
        <v>194</v>
      </c>
      <c r="F471" s="5"/>
      <c r="G471" s="10">
        <f>'Пр.4 ведом.22'!G884</f>
        <v>5022.3</v>
      </c>
      <c r="H471" s="363"/>
    </row>
    <row r="472" spans="1:8" s="362" customFormat="1" ht="31.5" x14ac:dyDescent="0.25">
      <c r="A472" s="31" t="s">
        <v>248</v>
      </c>
      <c r="B472" s="365" t="s">
        <v>1059</v>
      </c>
      <c r="C472" s="360" t="s">
        <v>251</v>
      </c>
      <c r="D472" s="360" t="s">
        <v>116</v>
      </c>
      <c r="E472" s="360" t="s">
        <v>194</v>
      </c>
      <c r="F472" s="5">
        <v>907</v>
      </c>
      <c r="G472" s="10">
        <f>G471</f>
        <v>5022.3</v>
      </c>
      <c r="H472" s="363"/>
    </row>
    <row r="473" spans="1:8" s="131" customFormat="1" ht="63" hidden="1" x14ac:dyDescent="0.25">
      <c r="A473" s="17" t="s">
        <v>837</v>
      </c>
      <c r="B473" s="18" t="s">
        <v>797</v>
      </c>
      <c r="C473" s="7"/>
      <c r="D473" s="7"/>
      <c r="E473" s="7"/>
      <c r="F473" s="122"/>
      <c r="G473" s="38">
        <f>G474</f>
        <v>0</v>
      </c>
      <c r="H473" s="132"/>
    </row>
    <row r="474" spans="1:8" s="131" customFormat="1" ht="15.75" hidden="1" x14ac:dyDescent="0.25">
      <c r="A474" s="22" t="s">
        <v>250</v>
      </c>
      <c r="B474" s="15" t="s">
        <v>797</v>
      </c>
      <c r="C474" s="28" t="s">
        <v>251</v>
      </c>
      <c r="D474" s="28"/>
      <c r="E474" s="28"/>
      <c r="F474" s="5"/>
      <c r="G474" s="10">
        <f>G475</f>
        <v>0</v>
      </c>
      <c r="H474" s="132"/>
    </row>
    <row r="475" spans="1:8" s="131" customFormat="1" ht="15.75" hidden="1" x14ac:dyDescent="0.25">
      <c r="A475" s="22" t="s">
        <v>252</v>
      </c>
      <c r="B475" s="15" t="s">
        <v>797</v>
      </c>
      <c r="C475" s="28" t="s">
        <v>251</v>
      </c>
      <c r="D475" s="28" t="s">
        <v>116</v>
      </c>
      <c r="E475" s="28"/>
      <c r="F475" s="5"/>
      <c r="G475" s="10">
        <f>G476</f>
        <v>0</v>
      </c>
      <c r="H475" s="132"/>
    </row>
    <row r="476" spans="1:8" s="131" customFormat="1" ht="47.25" hidden="1" x14ac:dyDescent="0.25">
      <c r="A476" s="19" t="s">
        <v>733</v>
      </c>
      <c r="B476" s="15" t="s">
        <v>833</v>
      </c>
      <c r="C476" s="28" t="s">
        <v>251</v>
      </c>
      <c r="D476" s="28" t="s">
        <v>116</v>
      </c>
      <c r="E476" s="28"/>
      <c r="F476" s="5"/>
      <c r="G476" s="10">
        <f>G477</f>
        <v>0</v>
      </c>
      <c r="H476" s="132"/>
    </row>
    <row r="477" spans="1:8" s="131" customFormat="1" ht="31.5" hidden="1" x14ac:dyDescent="0.25">
      <c r="A477" s="19" t="s">
        <v>191</v>
      </c>
      <c r="B477" s="15" t="s">
        <v>833</v>
      </c>
      <c r="C477" s="28" t="s">
        <v>251</v>
      </c>
      <c r="D477" s="28" t="s">
        <v>116</v>
      </c>
      <c r="E477" s="28" t="s">
        <v>192</v>
      </c>
      <c r="F477" s="5"/>
      <c r="G477" s="10">
        <f>G478</f>
        <v>0</v>
      </c>
      <c r="H477" s="132"/>
    </row>
    <row r="478" spans="1:8" s="131" customFormat="1" ht="15.75" hidden="1" x14ac:dyDescent="0.25">
      <c r="A478" s="19" t="s">
        <v>193</v>
      </c>
      <c r="B478" s="15" t="s">
        <v>833</v>
      </c>
      <c r="C478" s="28" t="s">
        <v>251</v>
      </c>
      <c r="D478" s="28" t="s">
        <v>116</v>
      </c>
      <c r="E478" s="28" t="s">
        <v>194</v>
      </c>
      <c r="F478" s="5"/>
      <c r="G478" s="10">
        <f>'Пр.4 ведом.22'!G893</f>
        <v>0</v>
      </c>
      <c r="H478" s="132"/>
    </row>
    <row r="479" spans="1:8" s="131" customFormat="1" ht="31.5" hidden="1" x14ac:dyDescent="0.25">
      <c r="A479" s="31" t="s">
        <v>248</v>
      </c>
      <c r="B479" s="15" t="s">
        <v>833</v>
      </c>
      <c r="C479" s="28" t="s">
        <v>251</v>
      </c>
      <c r="D479" s="28" t="s">
        <v>116</v>
      </c>
      <c r="E479" s="28" t="s">
        <v>194</v>
      </c>
      <c r="F479" s="5">
        <v>907</v>
      </c>
      <c r="G479" s="10">
        <f>G473</f>
        <v>0</v>
      </c>
      <c r="H479" s="132"/>
    </row>
    <row r="480" spans="1:8" s="362" customFormat="1" ht="31.5" x14ac:dyDescent="0.25">
      <c r="A480" s="359" t="s">
        <v>1122</v>
      </c>
      <c r="B480" s="316" t="s">
        <v>1123</v>
      </c>
      <c r="C480" s="360"/>
      <c r="D480" s="360"/>
      <c r="E480" s="360"/>
      <c r="F480" s="5"/>
      <c r="G480" s="38">
        <f>G481</f>
        <v>430.1</v>
      </c>
      <c r="H480" s="363"/>
    </row>
    <row r="481" spans="1:11" s="362" customFormat="1" ht="15.75" x14ac:dyDescent="0.25">
      <c r="A481" s="22" t="s">
        <v>250</v>
      </c>
      <c r="B481" s="365" t="s">
        <v>1124</v>
      </c>
      <c r="C481" s="360" t="s">
        <v>251</v>
      </c>
      <c r="D481" s="360"/>
      <c r="E481" s="360"/>
      <c r="F481" s="5"/>
      <c r="G481" s="10">
        <f>G482</f>
        <v>430.1</v>
      </c>
      <c r="H481" s="363"/>
    </row>
    <row r="482" spans="1:11" s="362" customFormat="1" ht="15.75" x14ac:dyDescent="0.25">
      <c r="A482" s="22" t="s">
        <v>252</v>
      </c>
      <c r="B482" s="365" t="s">
        <v>1124</v>
      </c>
      <c r="C482" s="360" t="s">
        <v>251</v>
      </c>
      <c r="D482" s="360" t="s">
        <v>116</v>
      </c>
      <c r="E482" s="360"/>
      <c r="F482" s="5"/>
      <c r="G482" s="10">
        <f>G483</f>
        <v>430.1</v>
      </c>
      <c r="H482" s="363"/>
    </row>
    <row r="483" spans="1:11" s="362" customFormat="1" ht="31.5" x14ac:dyDescent="0.25">
      <c r="A483" s="22" t="s">
        <v>1125</v>
      </c>
      <c r="B483" s="365" t="s">
        <v>1124</v>
      </c>
      <c r="C483" s="360" t="s">
        <v>251</v>
      </c>
      <c r="D483" s="360" t="s">
        <v>116</v>
      </c>
      <c r="E483" s="360"/>
      <c r="F483" s="5"/>
      <c r="G483" s="10">
        <f>G484</f>
        <v>430.1</v>
      </c>
      <c r="H483" s="363"/>
    </row>
    <row r="484" spans="1:11" s="362" customFormat="1" ht="31.5" x14ac:dyDescent="0.25">
      <c r="A484" s="364" t="s">
        <v>191</v>
      </c>
      <c r="B484" s="365" t="s">
        <v>1124</v>
      </c>
      <c r="C484" s="360" t="s">
        <v>251</v>
      </c>
      <c r="D484" s="360" t="s">
        <v>116</v>
      </c>
      <c r="E484" s="360" t="s">
        <v>192</v>
      </c>
      <c r="F484" s="5"/>
      <c r="G484" s="10">
        <f>G485</f>
        <v>430.1</v>
      </c>
      <c r="H484" s="363"/>
    </row>
    <row r="485" spans="1:11" s="362" customFormat="1" ht="15.75" x14ac:dyDescent="0.25">
      <c r="A485" s="364" t="s">
        <v>193</v>
      </c>
      <c r="B485" s="365" t="s">
        <v>1124</v>
      </c>
      <c r="C485" s="360" t="s">
        <v>251</v>
      </c>
      <c r="D485" s="360" t="s">
        <v>116</v>
      </c>
      <c r="E485" s="360" t="s">
        <v>194</v>
      </c>
      <c r="F485" s="5"/>
      <c r="G485" s="10">
        <f>'Пр.4 ведом.22'!G889</f>
        <v>430.1</v>
      </c>
      <c r="H485" s="363"/>
    </row>
    <row r="486" spans="1:11" s="362" customFormat="1" ht="31.5" x14ac:dyDescent="0.25">
      <c r="A486" s="31" t="s">
        <v>248</v>
      </c>
      <c r="B486" s="365"/>
      <c r="C486" s="360" t="s">
        <v>251</v>
      </c>
      <c r="D486" s="360" t="s">
        <v>116</v>
      </c>
      <c r="E486" s="360" t="s">
        <v>194</v>
      </c>
      <c r="F486" s="5">
        <v>907</v>
      </c>
      <c r="G486" s="10">
        <f>G485</f>
        <v>430.1</v>
      </c>
      <c r="H486" s="363"/>
    </row>
    <row r="487" spans="1:11" ht="31.5" x14ac:dyDescent="0.25">
      <c r="A487" s="29" t="s">
        <v>854</v>
      </c>
      <c r="B487" s="7" t="s">
        <v>189</v>
      </c>
      <c r="C487" s="47"/>
      <c r="D487" s="47"/>
      <c r="E487" s="47"/>
      <c r="F487" s="3"/>
      <c r="G487" s="38">
        <f>G488+G536+G563+G586+G609+G616+G627+G634+G641</f>
        <v>92861.663</v>
      </c>
      <c r="H487" s="133">
        <v>64965.4</v>
      </c>
      <c r="I487" s="150">
        <f>H487-G487</f>
        <v>-27896.262999999999</v>
      </c>
      <c r="J487">
        <v>90406.34</v>
      </c>
      <c r="K487" s="156">
        <f>J487-G487</f>
        <v>-2455.323000000004</v>
      </c>
    </row>
    <row r="488" spans="1:11" s="131" customFormat="1" ht="38.25" customHeight="1" x14ac:dyDescent="0.25">
      <c r="A488" s="17" t="s">
        <v>814</v>
      </c>
      <c r="B488" s="18" t="s">
        <v>743</v>
      </c>
      <c r="C488" s="7"/>
      <c r="D488" s="7"/>
      <c r="E488" s="7"/>
      <c r="F488" s="3"/>
      <c r="G488" s="38">
        <f>G505+G489+G524</f>
        <v>77066.913</v>
      </c>
      <c r="H488" s="132"/>
    </row>
    <row r="489" spans="1:11" s="131" customFormat="1" ht="18.75" customHeight="1" x14ac:dyDescent="0.25">
      <c r="A489" s="19" t="s">
        <v>186</v>
      </c>
      <c r="B489" s="15" t="s">
        <v>743</v>
      </c>
      <c r="C489" s="28" t="s">
        <v>187</v>
      </c>
      <c r="D489" s="28"/>
      <c r="E489" s="28"/>
      <c r="F489" s="2"/>
      <c r="G489" s="10">
        <f>G490</f>
        <v>18740.359999999997</v>
      </c>
      <c r="H489" s="132"/>
      <c r="J489" s="16">
        <f>G489+G537+G564+G587</f>
        <v>19750.659999999996</v>
      </c>
      <c r="K489" s="16">
        <v>16998.7</v>
      </c>
    </row>
    <row r="490" spans="1:11" s="131" customFormat="1" ht="19.5" customHeight="1" x14ac:dyDescent="0.25">
      <c r="A490" s="19" t="s">
        <v>188</v>
      </c>
      <c r="B490" s="15" t="s">
        <v>743</v>
      </c>
      <c r="C490" s="28" t="s">
        <v>187</v>
      </c>
      <c r="D490" s="28" t="s">
        <v>159</v>
      </c>
      <c r="E490" s="28"/>
      <c r="F490" s="2"/>
      <c r="G490" s="10">
        <f>G491+G501</f>
        <v>18740.359999999997</v>
      </c>
      <c r="H490" s="132"/>
    </row>
    <row r="491" spans="1:11" s="131" customFormat="1" ht="18" customHeight="1" x14ac:dyDescent="0.25">
      <c r="A491" s="19" t="s">
        <v>378</v>
      </c>
      <c r="B491" s="15" t="s">
        <v>744</v>
      </c>
      <c r="C491" s="28" t="s">
        <v>187</v>
      </c>
      <c r="D491" s="28" t="s">
        <v>159</v>
      </c>
      <c r="E491" s="28"/>
      <c r="F491" s="2"/>
      <c r="G491" s="10">
        <f>G492+G495+G498</f>
        <v>18740.359999999997</v>
      </c>
      <c r="H491" s="132"/>
    </row>
    <row r="492" spans="1:11" s="131" customFormat="1" ht="81" customHeight="1" x14ac:dyDescent="0.25">
      <c r="A492" s="19" t="s">
        <v>119</v>
      </c>
      <c r="B492" s="15" t="s">
        <v>744</v>
      </c>
      <c r="C492" s="28" t="s">
        <v>187</v>
      </c>
      <c r="D492" s="28" t="s">
        <v>159</v>
      </c>
      <c r="E492" s="15" t="s">
        <v>120</v>
      </c>
      <c r="F492" s="2"/>
      <c r="G492" s="10">
        <f>G493</f>
        <v>16693.199999999997</v>
      </c>
      <c r="H492" s="132"/>
    </row>
    <row r="493" spans="1:11" s="131" customFormat="1" ht="20.25" customHeight="1" x14ac:dyDescent="0.25">
      <c r="A493" s="32" t="s">
        <v>212</v>
      </c>
      <c r="B493" s="15" t="s">
        <v>744</v>
      </c>
      <c r="C493" s="28" t="s">
        <v>187</v>
      </c>
      <c r="D493" s="28" t="s">
        <v>159</v>
      </c>
      <c r="E493" s="15" t="s">
        <v>156</v>
      </c>
      <c r="F493" s="2"/>
      <c r="G493" s="10">
        <f>'Пр.4 ведом.22'!G308</f>
        <v>16693.199999999997</v>
      </c>
      <c r="H493" s="132"/>
    </row>
    <row r="494" spans="1:11" s="131" customFormat="1" ht="51.75" customHeight="1" x14ac:dyDescent="0.25">
      <c r="A494" s="31" t="s">
        <v>185</v>
      </c>
      <c r="B494" s="15" t="s">
        <v>744</v>
      </c>
      <c r="C494" s="28" t="s">
        <v>187</v>
      </c>
      <c r="D494" s="28" t="s">
        <v>159</v>
      </c>
      <c r="E494" s="15" t="s">
        <v>156</v>
      </c>
      <c r="F494" s="2">
        <v>903</v>
      </c>
      <c r="G494" s="10">
        <f>G493</f>
        <v>16693.199999999997</v>
      </c>
      <c r="H494" s="132"/>
    </row>
    <row r="495" spans="1:11" s="131" customFormat="1" ht="38.25" customHeight="1" x14ac:dyDescent="0.25">
      <c r="A495" s="19" t="s">
        <v>123</v>
      </c>
      <c r="B495" s="15" t="s">
        <v>744</v>
      </c>
      <c r="C495" s="28" t="s">
        <v>187</v>
      </c>
      <c r="D495" s="28" t="s">
        <v>159</v>
      </c>
      <c r="E495" s="15" t="s">
        <v>124</v>
      </c>
      <c r="F495" s="2"/>
      <c r="G495" s="10">
        <f>G496</f>
        <v>1974.16</v>
      </c>
      <c r="H495" s="132"/>
    </row>
    <row r="496" spans="1:11" s="131" customFormat="1" ht="33.75" customHeight="1" x14ac:dyDescent="0.25">
      <c r="A496" s="19" t="s">
        <v>125</v>
      </c>
      <c r="B496" s="15" t="s">
        <v>744</v>
      </c>
      <c r="C496" s="28" t="s">
        <v>187</v>
      </c>
      <c r="D496" s="28" t="s">
        <v>159</v>
      </c>
      <c r="E496" s="15" t="s">
        <v>126</v>
      </c>
      <c r="F496" s="2"/>
      <c r="G496" s="10">
        <f>'Пр.4 ведом.22'!G310</f>
        <v>1974.16</v>
      </c>
      <c r="H496" s="132"/>
    </row>
    <row r="497" spans="1:11" s="131" customFormat="1" ht="55.5" customHeight="1" x14ac:dyDescent="0.25">
      <c r="A497" s="31" t="s">
        <v>185</v>
      </c>
      <c r="B497" s="15" t="s">
        <v>744</v>
      </c>
      <c r="C497" s="28" t="s">
        <v>187</v>
      </c>
      <c r="D497" s="28" t="s">
        <v>159</v>
      </c>
      <c r="E497" s="15" t="s">
        <v>126</v>
      </c>
      <c r="F497" s="2">
        <v>903</v>
      </c>
      <c r="G497" s="10">
        <f>G496</f>
        <v>1974.16</v>
      </c>
      <c r="H497" s="132"/>
    </row>
    <row r="498" spans="1:11" s="131" customFormat="1" ht="19.5" customHeight="1" x14ac:dyDescent="0.25">
      <c r="A498" s="19" t="s">
        <v>127</v>
      </c>
      <c r="B498" s="15" t="s">
        <v>744</v>
      </c>
      <c r="C498" s="28" t="s">
        <v>187</v>
      </c>
      <c r="D498" s="28" t="s">
        <v>159</v>
      </c>
      <c r="E498" s="15" t="s">
        <v>134</v>
      </c>
      <c r="F498" s="2"/>
      <c r="G498" s="10">
        <f>G499</f>
        <v>73</v>
      </c>
      <c r="H498" s="132"/>
    </row>
    <row r="499" spans="1:11" s="131" customFormat="1" ht="17.45" customHeight="1" x14ac:dyDescent="0.25">
      <c r="A499" s="19" t="s">
        <v>338</v>
      </c>
      <c r="B499" s="15" t="s">
        <v>744</v>
      </c>
      <c r="C499" s="28" t="s">
        <v>187</v>
      </c>
      <c r="D499" s="28" t="s">
        <v>159</v>
      </c>
      <c r="E499" s="15" t="s">
        <v>130</v>
      </c>
      <c r="F499" s="2"/>
      <c r="G499" s="10">
        <f>'Пр.4 ведом.22'!G312</f>
        <v>73</v>
      </c>
      <c r="H499" s="132"/>
    </row>
    <row r="500" spans="1:11" s="131" customFormat="1" ht="56.25" customHeight="1" x14ac:dyDescent="0.25">
      <c r="A500" s="31" t="s">
        <v>185</v>
      </c>
      <c r="B500" s="15" t="s">
        <v>744</v>
      </c>
      <c r="C500" s="28" t="s">
        <v>187</v>
      </c>
      <c r="D500" s="28" t="s">
        <v>159</v>
      </c>
      <c r="E500" s="15" t="s">
        <v>130</v>
      </c>
      <c r="F500" s="2">
        <v>903</v>
      </c>
      <c r="G500" s="10">
        <f>G499</f>
        <v>73</v>
      </c>
      <c r="H500" s="132"/>
    </row>
    <row r="501" spans="1:11" s="131" customFormat="1" ht="31.5" hidden="1" x14ac:dyDescent="0.25">
      <c r="A501" s="24" t="s">
        <v>968</v>
      </c>
      <c r="B501" s="15" t="s">
        <v>962</v>
      </c>
      <c r="C501" s="28" t="s">
        <v>187</v>
      </c>
      <c r="D501" s="28" t="s">
        <v>159</v>
      </c>
      <c r="E501" s="15"/>
      <c r="F501" s="2"/>
      <c r="G501" s="10">
        <f>G502</f>
        <v>0</v>
      </c>
      <c r="H501" s="132"/>
    </row>
    <row r="502" spans="1:11" s="131" customFormat="1" ht="78.75" hidden="1" x14ac:dyDescent="0.25">
      <c r="A502" s="19" t="s">
        <v>119</v>
      </c>
      <c r="B502" s="15" t="s">
        <v>962</v>
      </c>
      <c r="C502" s="28" t="s">
        <v>187</v>
      </c>
      <c r="D502" s="28" t="s">
        <v>159</v>
      </c>
      <c r="E502" s="15" t="s">
        <v>120</v>
      </c>
      <c r="F502" s="2"/>
      <c r="G502" s="10">
        <f>G503</f>
        <v>0</v>
      </c>
      <c r="H502" s="132"/>
    </row>
    <row r="503" spans="1:11" s="131" customFormat="1" ht="15.75" hidden="1" x14ac:dyDescent="0.25">
      <c r="A503" s="19" t="s">
        <v>155</v>
      </c>
      <c r="B503" s="15" t="s">
        <v>962</v>
      </c>
      <c r="C503" s="28" t="s">
        <v>187</v>
      </c>
      <c r="D503" s="28" t="s">
        <v>159</v>
      </c>
      <c r="E503" s="15" t="s">
        <v>156</v>
      </c>
      <c r="F503" s="2"/>
      <c r="G503" s="10">
        <f>'Пр.4 ведом.22'!G315</f>
        <v>0</v>
      </c>
      <c r="H503" s="132"/>
    </row>
    <row r="504" spans="1:11" s="131" customFormat="1" ht="47.25" hidden="1" x14ac:dyDescent="0.25">
      <c r="A504" s="31" t="s">
        <v>185</v>
      </c>
      <c r="B504" s="15" t="s">
        <v>962</v>
      </c>
      <c r="C504" s="28" t="s">
        <v>187</v>
      </c>
      <c r="D504" s="28" t="s">
        <v>159</v>
      </c>
      <c r="E504" s="15" t="s">
        <v>156</v>
      </c>
      <c r="F504" s="2">
        <v>903</v>
      </c>
      <c r="G504" s="10">
        <f>G501</f>
        <v>0</v>
      </c>
      <c r="H504" s="132"/>
    </row>
    <row r="505" spans="1:11" ht="15.75" x14ac:dyDescent="0.25">
      <c r="A505" s="48" t="s">
        <v>202</v>
      </c>
      <c r="B505" s="15" t="s">
        <v>743</v>
      </c>
      <c r="C505" s="28" t="s">
        <v>203</v>
      </c>
      <c r="D505" s="48"/>
      <c r="E505" s="48"/>
      <c r="F505" s="2"/>
      <c r="G505" s="10">
        <f>G506</f>
        <v>52501.3</v>
      </c>
      <c r="J505" s="16" t="e">
        <f>G505+G550+G570+G597+G610+G617+G635+#REF!</f>
        <v>#REF!</v>
      </c>
      <c r="K505">
        <f>67542.4</f>
        <v>67542.399999999994</v>
      </c>
    </row>
    <row r="506" spans="1:11" ht="15.75" x14ac:dyDescent="0.25">
      <c r="A506" s="48" t="s">
        <v>204</v>
      </c>
      <c r="B506" s="15" t="s">
        <v>743</v>
      </c>
      <c r="C506" s="28" t="s">
        <v>203</v>
      </c>
      <c r="D506" s="28" t="s">
        <v>116</v>
      </c>
      <c r="E506" s="48"/>
      <c r="F506" s="2"/>
      <c r="G506" s="10">
        <f>G507+G511</f>
        <v>52501.3</v>
      </c>
    </row>
    <row r="507" spans="1:11" s="362" customFormat="1" ht="31.5" x14ac:dyDescent="0.25">
      <c r="A507" s="364" t="s">
        <v>205</v>
      </c>
      <c r="B507" s="402" t="s">
        <v>1192</v>
      </c>
      <c r="C507" s="360" t="s">
        <v>203</v>
      </c>
      <c r="D507" s="360" t="s">
        <v>116</v>
      </c>
      <c r="E507" s="2"/>
      <c r="F507" s="2"/>
      <c r="G507" s="10">
        <f>G508</f>
        <v>28655.7</v>
      </c>
      <c r="H507" s="363"/>
    </row>
    <row r="508" spans="1:11" s="362" customFormat="1" ht="31.5" x14ac:dyDescent="0.25">
      <c r="A508" s="364" t="s">
        <v>191</v>
      </c>
      <c r="B508" s="402" t="s">
        <v>1192</v>
      </c>
      <c r="C508" s="360" t="s">
        <v>203</v>
      </c>
      <c r="D508" s="360" t="s">
        <v>116</v>
      </c>
      <c r="E508" s="2">
        <v>600</v>
      </c>
      <c r="F508" s="2"/>
      <c r="G508" s="10">
        <f>G509</f>
        <v>28655.7</v>
      </c>
      <c r="H508" s="363"/>
    </row>
    <row r="509" spans="1:11" s="362" customFormat="1" ht="15.75" x14ac:dyDescent="0.25">
      <c r="A509" s="364" t="s">
        <v>193</v>
      </c>
      <c r="B509" s="402" t="s">
        <v>1192</v>
      </c>
      <c r="C509" s="360" t="s">
        <v>203</v>
      </c>
      <c r="D509" s="360" t="s">
        <v>116</v>
      </c>
      <c r="E509" s="2">
        <v>610</v>
      </c>
      <c r="F509" s="2"/>
      <c r="G509" s="10">
        <f>'Пр.4 ведом.22'!G377</f>
        <v>28655.7</v>
      </c>
      <c r="H509" s="363"/>
    </row>
    <row r="510" spans="1:11" s="362" customFormat="1" ht="47.25" x14ac:dyDescent="0.25">
      <c r="A510" s="31" t="s">
        <v>185</v>
      </c>
      <c r="B510" s="402" t="s">
        <v>1192</v>
      </c>
      <c r="C510" s="360" t="s">
        <v>203</v>
      </c>
      <c r="D510" s="360" t="s">
        <v>116</v>
      </c>
      <c r="E510" s="2">
        <v>610</v>
      </c>
      <c r="F510" s="2">
        <v>903</v>
      </c>
      <c r="G510" s="10">
        <f>G509</f>
        <v>28655.7</v>
      </c>
      <c r="H510" s="363"/>
    </row>
    <row r="511" spans="1:11" s="362" customFormat="1" ht="15.75" x14ac:dyDescent="0.25">
      <c r="A511" s="399" t="s">
        <v>378</v>
      </c>
      <c r="B511" s="365" t="s">
        <v>744</v>
      </c>
      <c r="C511" s="360" t="s">
        <v>203</v>
      </c>
      <c r="D511" s="360" t="s">
        <v>116</v>
      </c>
      <c r="E511" s="2"/>
      <c r="F511" s="2"/>
      <c r="G511" s="10">
        <f>G512+G514+G517</f>
        <v>23845.599999999999</v>
      </c>
      <c r="H511" s="363"/>
    </row>
    <row r="512" spans="1:11" s="362" customFormat="1" ht="78.75" x14ac:dyDescent="0.25">
      <c r="A512" s="399" t="s">
        <v>119</v>
      </c>
      <c r="B512" s="365" t="s">
        <v>744</v>
      </c>
      <c r="C512" s="360" t="s">
        <v>203</v>
      </c>
      <c r="D512" s="360" t="s">
        <v>116</v>
      </c>
      <c r="E512" s="2">
        <v>100</v>
      </c>
      <c r="F512" s="2"/>
      <c r="G512" s="10">
        <f>G513</f>
        <v>19863.7</v>
      </c>
      <c r="H512" s="363"/>
    </row>
    <row r="513" spans="1:8" s="362" customFormat="1" ht="15.75" x14ac:dyDescent="0.25">
      <c r="A513" s="399" t="s">
        <v>155</v>
      </c>
      <c r="B513" s="365" t="s">
        <v>744</v>
      </c>
      <c r="C513" s="360" t="s">
        <v>203</v>
      </c>
      <c r="D513" s="360" t="s">
        <v>116</v>
      </c>
      <c r="E513" s="2">
        <v>110</v>
      </c>
      <c r="F513" s="2"/>
      <c r="G513" s="10">
        <f>'Пр.4 ведом.22'!G380</f>
        <v>19863.7</v>
      </c>
      <c r="H513" s="363"/>
    </row>
    <row r="514" spans="1:8" ht="31.5" x14ac:dyDescent="0.25">
      <c r="A514" s="19" t="s">
        <v>123</v>
      </c>
      <c r="B514" s="15" t="s">
        <v>744</v>
      </c>
      <c r="C514" s="28" t="s">
        <v>203</v>
      </c>
      <c r="D514" s="28" t="s">
        <v>116</v>
      </c>
      <c r="E514" s="28" t="s">
        <v>124</v>
      </c>
      <c r="F514" s="2"/>
      <c r="G514" s="10">
        <f>G515</f>
        <v>3955.8999999999996</v>
      </c>
    </row>
    <row r="515" spans="1:8" ht="31.5" x14ac:dyDescent="0.25">
      <c r="A515" s="19" t="s">
        <v>125</v>
      </c>
      <c r="B515" s="15" t="s">
        <v>744</v>
      </c>
      <c r="C515" s="28" t="s">
        <v>203</v>
      </c>
      <c r="D515" s="28" t="s">
        <v>116</v>
      </c>
      <c r="E515" s="28" t="s">
        <v>126</v>
      </c>
      <c r="F515" s="2"/>
      <c r="G515" s="10">
        <f>'Пр.4 ведом.22'!G382</f>
        <v>3955.8999999999996</v>
      </c>
    </row>
    <row r="516" spans="1:8" s="131" customFormat="1" ht="47.25" x14ac:dyDescent="0.25">
      <c r="A516" s="31" t="s">
        <v>185</v>
      </c>
      <c r="B516" s="15" t="s">
        <v>744</v>
      </c>
      <c r="C516" s="28" t="s">
        <v>203</v>
      </c>
      <c r="D516" s="28" t="s">
        <v>116</v>
      </c>
      <c r="E516" s="28" t="s">
        <v>126</v>
      </c>
      <c r="F516" s="2">
        <v>903</v>
      </c>
      <c r="G516" s="10">
        <f>G515</f>
        <v>3955.8999999999996</v>
      </c>
      <c r="H516" s="132"/>
    </row>
    <row r="517" spans="1:8" ht="15.75" customHeight="1" x14ac:dyDescent="0.25">
      <c r="A517" s="19" t="s">
        <v>127</v>
      </c>
      <c r="B517" s="15" t="s">
        <v>744</v>
      </c>
      <c r="C517" s="28" t="s">
        <v>203</v>
      </c>
      <c r="D517" s="28" t="s">
        <v>116</v>
      </c>
      <c r="E517" s="28" t="s">
        <v>134</v>
      </c>
      <c r="F517" s="2"/>
      <c r="G517" s="10">
        <f>G518</f>
        <v>26</v>
      </c>
    </row>
    <row r="518" spans="1:8" ht="15.75" customHeight="1" x14ac:dyDescent="0.25">
      <c r="A518" s="19" t="s">
        <v>129</v>
      </c>
      <c r="B518" s="15" t="s">
        <v>744</v>
      </c>
      <c r="C518" s="28" t="s">
        <v>203</v>
      </c>
      <c r="D518" s="28" t="s">
        <v>116</v>
      </c>
      <c r="E518" s="28" t="s">
        <v>130</v>
      </c>
      <c r="F518" s="2"/>
      <c r="G518" s="10">
        <f>'Пр.4 ведом.22'!G384</f>
        <v>26</v>
      </c>
    </row>
    <row r="519" spans="1:8" s="131" customFormat="1" ht="50.25" customHeight="1" x14ac:dyDescent="0.25">
      <c r="A519" s="31" t="s">
        <v>185</v>
      </c>
      <c r="B519" s="15" t="s">
        <v>744</v>
      </c>
      <c r="C519" s="28" t="s">
        <v>203</v>
      </c>
      <c r="D519" s="28" t="s">
        <v>116</v>
      </c>
      <c r="E519" s="28" t="s">
        <v>130</v>
      </c>
      <c r="F519" s="2">
        <v>903</v>
      </c>
      <c r="G519" s="10">
        <f>G518</f>
        <v>26</v>
      </c>
      <c r="H519" s="132"/>
    </row>
    <row r="520" spans="1:8" s="131" customFormat="1" ht="31.5" hidden="1" x14ac:dyDescent="0.25">
      <c r="A520" s="24" t="s">
        <v>968</v>
      </c>
      <c r="B520" s="15" t="s">
        <v>962</v>
      </c>
      <c r="C520" s="28" t="s">
        <v>203</v>
      </c>
      <c r="D520" s="28" t="s">
        <v>116</v>
      </c>
      <c r="E520" s="15"/>
      <c r="F520" s="2"/>
      <c r="G520" s="10">
        <f>G521</f>
        <v>0</v>
      </c>
      <c r="H520" s="132"/>
    </row>
    <row r="521" spans="1:8" s="131" customFormat="1" ht="78.75" hidden="1" x14ac:dyDescent="0.25">
      <c r="A521" s="19" t="s">
        <v>119</v>
      </c>
      <c r="B521" s="15" t="s">
        <v>962</v>
      </c>
      <c r="C521" s="28" t="s">
        <v>203</v>
      </c>
      <c r="D521" s="28" t="s">
        <v>116</v>
      </c>
      <c r="E521" s="15" t="s">
        <v>120</v>
      </c>
      <c r="F521" s="2"/>
      <c r="G521" s="10">
        <f>G522</f>
        <v>0</v>
      </c>
      <c r="H521" s="132"/>
    </row>
    <row r="522" spans="1:8" s="131" customFormat="1" ht="15.75" hidden="1" x14ac:dyDescent="0.25">
      <c r="A522" s="19" t="s">
        <v>155</v>
      </c>
      <c r="B522" s="15" t="s">
        <v>962</v>
      </c>
      <c r="C522" s="28" t="s">
        <v>203</v>
      </c>
      <c r="D522" s="28" t="s">
        <v>116</v>
      </c>
      <c r="E522" s="15" t="s">
        <v>156</v>
      </c>
      <c r="F522" s="2"/>
      <c r="G522" s="10">
        <f>'Пр.4 ведом.22'!G387</f>
        <v>0</v>
      </c>
      <c r="H522" s="132"/>
    </row>
    <row r="523" spans="1:8" s="131" customFormat="1" ht="47.25" hidden="1" x14ac:dyDescent="0.25">
      <c r="A523" s="31" t="s">
        <v>185</v>
      </c>
      <c r="B523" s="15" t="s">
        <v>962</v>
      </c>
      <c r="C523" s="28" t="s">
        <v>203</v>
      </c>
      <c r="D523" s="28" t="s">
        <v>116</v>
      </c>
      <c r="E523" s="15" t="s">
        <v>156</v>
      </c>
      <c r="F523" s="2">
        <v>903</v>
      </c>
      <c r="G523" s="10">
        <f>G520</f>
        <v>0</v>
      </c>
      <c r="H523" s="132"/>
    </row>
    <row r="524" spans="1:8" s="131" customFormat="1" ht="19.5" customHeight="1" x14ac:dyDescent="0.25">
      <c r="A524" s="19" t="s">
        <v>288</v>
      </c>
      <c r="B524" s="15" t="s">
        <v>743</v>
      </c>
      <c r="C524" s="28" t="s">
        <v>171</v>
      </c>
      <c r="D524" s="48"/>
      <c r="E524" s="48"/>
      <c r="F524" s="2"/>
      <c r="G524" s="10">
        <f>G525</f>
        <v>5825.2529999999997</v>
      </c>
      <c r="H524" s="132"/>
    </row>
    <row r="525" spans="1:8" s="131" customFormat="1" ht="23.25" customHeight="1" x14ac:dyDescent="0.25">
      <c r="A525" s="19" t="s">
        <v>289</v>
      </c>
      <c r="B525" s="15" t="s">
        <v>743</v>
      </c>
      <c r="C525" s="28" t="s">
        <v>171</v>
      </c>
      <c r="D525" s="28" t="s">
        <v>158</v>
      </c>
      <c r="E525" s="48"/>
      <c r="F525" s="2"/>
      <c r="G525" s="10">
        <f>G526</f>
        <v>5825.2529999999997</v>
      </c>
      <c r="H525" s="132"/>
    </row>
    <row r="526" spans="1:8" s="131" customFormat="1" ht="20.25" customHeight="1" x14ac:dyDescent="0.25">
      <c r="A526" s="19" t="s">
        <v>378</v>
      </c>
      <c r="B526" s="15" t="s">
        <v>744</v>
      </c>
      <c r="C526" s="28" t="s">
        <v>171</v>
      </c>
      <c r="D526" s="28" t="s">
        <v>158</v>
      </c>
      <c r="E526" s="28"/>
      <c r="F526" s="2"/>
      <c r="G526" s="10">
        <f>G527+G530+G533</f>
        <v>5825.2529999999997</v>
      </c>
      <c r="H526" s="132"/>
    </row>
    <row r="527" spans="1:8" s="131" customFormat="1" ht="79.5" customHeight="1" x14ac:dyDescent="0.25">
      <c r="A527" s="19" t="s">
        <v>119</v>
      </c>
      <c r="B527" s="15" t="s">
        <v>744</v>
      </c>
      <c r="C527" s="28" t="s">
        <v>171</v>
      </c>
      <c r="D527" s="28" t="s">
        <v>158</v>
      </c>
      <c r="E527" s="28" t="s">
        <v>120</v>
      </c>
      <c r="F527" s="2"/>
      <c r="G527" s="10">
        <f>G528</f>
        <v>4894.5</v>
      </c>
      <c r="H527" s="132"/>
    </row>
    <row r="528" spans="1:8" s="131" customFormat="1" ht="20.25" customHeight="1" x14ac:dyDescent="0.25">
      <c r="A528" s="19" t="s">
        <v>155</v>
      </c>
      <c r="B528" s="15" t="s">
        <v>744</v>
      </c>
      <c r="C528" s="28" t="s">
        <v>171</v>
      </c>
      <c r="D528" s="28" t="s">
        <v>158</v>
      </c>
      <c r="E528" s="28" t="s">
        <v>156</v>
      </c>
      <c r="F528" s="2"/>
      <c r="G528" s="10">
        <f>'Пр.4 ведом.22'!G527</f>
        <v>4894.5</v>
      </c>
      <c r="H528" s="132"/>
    </row>
    <row r="529" spans="1:8" s="131" customFormat="1" ht="50.25" customHeight="1" x14ac:dyDescent="0.25">
      <c r="A529" s="31" t="s">
        <v>185</v>
      </c>
      <c r="B529" s="15" t="s">
        <v>744</v>
      </c>
      <c r="C529" s="28" t="s">
        <v>171</v>
      </c>
      <c r="D529" s="28" t="s">
        <v>158</v>
      </c>
      <c r="E529" s="28" t="s">
        <v>156</v>
      </c>
      <c r="F529" s="2">
        <v>903</v>
      </c>
      <c r="G529" s="10">
        <f>G528</f>
        <v>4894.5</v>
      </c>
      <c r="H529" s="132"/>
    </row>
    <row r="530" spans="1:8" s="131" customFormat="1" ht="42.75" customHeight="1" x14ac:dyDescent="0.25">
      <c r="A530" s="19" t="s">
        <v>123</v>
      </c>
      <c r="B530" s="15" t="s">
        <v>744</v>
      </c>
      <c r="C530" s="28" t="s">
        <v>171</v>
      </c>
      <c r="D530" s="28" t="s">
        <v>158</v>
      </c>
      <c r="E530" s="28" t="s">
        <v>124</v>
      </c>
      <c r="F530" s="2"/>
      <c r="G530" s="10">
        <f>G531</f>
        <v>920.25300000000004</v>
      </c>
      <c r="H530" s="132"/>
    </row>
    <row r="531" spans="1:8" s="131" customFormat="1" ht="36" customHeight="1" x14ac:dyDescent="0.25">
      <c r="A531" s="19" t="s">
        <v>125</v>
      </c>
      <c r="B531" s="15" t="s">
        <v>744</v>
      </c>
      <c r="C531" s="28" t="s">
        <v>171</v>
      </c>
      <c r="D531" s="28" t="s">
        <v>158</v>
      </c>
      <c r="E531" s="28" t="s">
        <v>126</v>
      </c>
      <c r="F531" s="2"/>
      <c r="G531" s="10">
        <f>'Пр.4 ведом.22'!G529</f>
        <v>920.25300000000004</v>
      </c>
      <c r="H531" s="132"/>
    </row>
    <row r="532" spans="1:8" s="131" customFormat="1" ht="50.25" customHeight="1" x14ac:dyDescent="0.25">
      <c r="A532" s="31" t="s">
        <v>185</v>
      </c>
      <c r="B532" s="15" t="s">
        <v>744</v>
      </c>
      <c r="C532" s="28" t="s">
        <v>171</v>
      </c>
      <c r="D532" s="28" t="s">
        <v>158</v>
      </c>
      <c r="E532" s="28" t="s">
        <v>126</v>
      </c>
      <c r="F532" s="2">
        <v>903</v>
      </c>
      <c r="G532" s="10">
        <f>G531</f>
        <v>920.25300000000004</v>
      </c>
      <c r="H532" s="132"/>
    </row>
    <row r="533" spans="1:8" s="131" customFormat="1" ht="19.5" customHeight="1" x14ac:dyDescent="0.25">
      <c r="A533" s="19" t="s">
        <v>127</v>
      </c>
      <c r="B533" s="15" t="s">
        <v>744</v>
      </c>
      <c r="C533" s="28" t="s">
        <v>171</v>
      </c>
      <c r="D533" s="28" t="s">
        <v>158</v>
      </c>
      <c r="E533" s="28" t="s">
        <v>134</v>
      </c>
      <c r="F533" s="2"/>
      <c r="G533" s="10">
        <f>G534</f>
        <v>10.5</v>
      </c>
      <c r="H533" s="132"/>
    </row>
    <row r="534" spans="1:8" s="131" customFormat="1" ht="23.25" customHeight="1" x14ac:dyDescent="0.25">
      <c r="A534" s="19" t="s">
        <v>129</v>
      </c>
      <c r="B534" s="15" t="s">
        <v>744</v>
      </c>
      <c r="C534" s="28" t="s">
        <v>171</v>
      </c>
      <c r="D534" s="28" t="s">
        <v>158</v>
      </c>
      <c r="E534" s="28" t="s">
        <v>130</v>
      </c>
      <c r="F534" s="2"/>
      <c r="G534" s="10">
        <f>'Пр.4 ведом.22'!G531</f>
        <v>10.5</v>
      </c>
      <c r="H534" s="132"/>
    </row>
    <row r="535" spans="1:8" s="131" customFormat="1" ht="50.25" customHeight="1" x14ac:dyDescent="0.25">
      <c r="A535" s="31" t="s">
        <v>185</v>
      </c>
      <c r="B535" s="15" t="s">
        <v>744</v>
      </c>
      <c r="C535" s="28" t="s">
        <v>171</v>
      </c>
      <c r="D535" s="28" t="s">
        <v>158</v>
      </c>
      <c r="E535" s="28" t="s">
        <v>130</v>
      </c>
      <c r="F535" s="2">
        <v>903</v>
      </c>
      <c r="G535" s="10">
        <f>G534</f>
        <v>10.5</v>
      </c>
      <c r="H535" s="132"/>
    </row>
    <row r="536" spans="1:8" s="131" customFormat="1" ht="31.7" customHeight="1" x14ac:dyDescent="0.25">
      <c r="A536" s="143" t="s">
        <v>816</v>
      </c>
      <c r="B536" s="18" t="s">
        <v>745</v>
      </c>
      <c r="C536" s="7"/>
      <c r="D536" s="7"/>
      <c r="E536" s="7"/>
      <c r="F536" s="3"/>
      <c r="G536" s="38">
        <f>G537+G550</f>
        <v>1017.3</v>
      </c>
      <c r="H536" s="132"/>
    </row>
    <row r="537" spans="1:8" s="131" customFormat="1" ht="21.2" customHeight="1" x14ac:dyDescent="0.25">
      <c r="A537" s="19" t="s">
        <v>186</v>
      </c>
      <c r="B537" s="15" t="s">
        <v>745</v>
      </c>
      <c r="C537" s="28" t="s">
        <v>187</v>
      </c>
      <c r="D537" s="28"/>
      <c r="E537" s="28"/>
      <c r="F537" s="2"/>
      <c r="G537" s="10">
        <f>G538</f>
        <v>292</v>
      </c>
      <c r="H537" s="132"/>
    </row>
    <row r="538" spans="1:8" s="131" customFormat="1" ht="20.25" customHeight="1" x14ac:dyDescent="0.25">
      <c r="A538" s="19" t="s">
        <v>188</v>
      </c>
      <c r="B538" s="15" t="s">
        <v>745</v>
      </c>
      <c r="C538" s="28" t="s">
        <v>187</v>
      </c>
      <c r="D538" s="28" t="s">
        <v>159</v>
      </c>
      <c r="E538" s="28"/>
      <c r="F538" s="2"/>
      <c r="G538" s="10">
        <f>G539</f>
        <v>292</v>
      </c>
      <c r="H538" s="132"/>
    </row>
    <row r="539" spans="1:8" s="131" customFormat="1" ht="30.6" customHeight="1" x14ac:dyDescent="0.25">
      <c r="A539" s="123" t="s">
        <v>377</v>
      </c>
      <c r="B539" s="15" t="s">
        <v>746</v>
      </c>
      <c r="C539" s="28" t="s">
        <v>187</v>
      </c>
      <c r="D539" s="28" t="s">
        <v>159</v>
      </c>
      <c r="E539" s="15"/>
      <c r="F539" s="2"/>
      <c r="G539" s="10">
        <f>G540+G543</f>
        <v>292</v>
      </c>
      <c r="H539" s="132"/>
    </row>
    <row r="540" spans="1:8" s="131" customFormat="1" ht="21.2" customHeight="1" x14ac:dyDescent="0.25">
      <c r="A540" s="19" t="s">
        <v>177</v>
      </c>
      <c r="B540" s="15" t="s">
        <v>746</v>
      </c>
      <c r="C540" s="28" t="s">
        <v>187</v>
      </c>
      <c r="D540" s="28" t="s">
        <v>159</v>
      </c>
      <c r="E540" s="15" t="s">
        <v>178</v>
      </c>
      <c r="F540" s="2"/>
      <c r="G540" s="10">
        <f>G541</f>
        <v>42</v>
      </c>
      <c r="H540" s="132"/>
    </row>
    <row r="541" spans="1:8" s="131" customFormat="1" ht="19.5" customHeight="1" x14ac:dyDescent="0.25">
      <c r="A541" s="19" t="s">
        <v>398</v>
      </c>
      <c r="B541" s="15" t="s">
        <v>746</v>
      </c>
      <c r="C541" s="28" t="s">
        <v>187</v>
      </c>
      <c r="D541" s="28" t="s">
        <v>159</v>
      </c>
      <c r="E541" s="15" t="s">
        <v>397</v>
      </c>
      <c r="F541" s="2"/>
      <c r="G541" s="10">
        <f>'Пр.4 ведом.22'!G319</f>
        <v>42</v>
      </c>
      <c r="H541" s="132"/>
    </row>
    <row r="542" spans="1:8" s="131" customFormat="1" ht="54" customHeight="1" x14ac:dyDescent="0.25">
      <c r="A542" s="31" t="s">
        <v>185</v>
      </c>
      <c r="B542" s="15" t="s">
        <v>746</v>
      </c>
      <c r="C542" s="28" t="s">
        <v>187</v>
      </c>
      <c r="D542" s="28" t="s">
        <v>159</v>
      </c>
      <c r="E542" s="15" t="s">
        <v>397</v>
      </c>
      <c r="F542" s="2">
        <v>903</v>
      </c>
      <c r="G542" s="10">
        <f>G541</f>
        <v>42</v>
      </c>
      <c r="H542" s="132"/>
    </row>
    <row r="543" spans="1:8" s="131" customFormat="1" ht="31.7" customHeight="1" x14ac:dyDescent="0.25">
      <c r="A543" s="24" t="s">
        <v>394</v>
      </c>
      <c r="B543" s="15" t="s">
        <v>747</v>
      </c>
      <c r="C543" s="28" t="s">
        <v>187</v>
      </c>
      <c r="D543" s="28" t="s">
        <v>159</v>
      </c>
      <c r="E543" s="15"/>
      <c r="F543" s="2"/>
      <c r="G543" s="10">
        <f>G544+G547</f>
        <v>250</v>
      </c>
      <c r="H543" s="132"/>
    </row>
    <row r="544" spans="1:8" s="131" customFormat="1" ht="31.7" customHeight="1" x14ac:dyDescent="0.25">
      <c r="A544" s="19" t="s">
        <v>119</v>
      </c>
      <c r="B544" s="15" t="s">
        <v>747</v>
      </c>
      <c r="C544" s="28" t="s">
        <v>187</v>
      </c>
      <c r="D544" s="28" t="s">
        <v>159</v>
      </c>
      <c r="E544" s="15" t="s">
        <v>120</v>
      </c>
      <c r="F544" s="2"/>
      <c r="G544" s="10">
        <f>G545</f>
        <v>250</v>
      </c>
      <c r="H544" s="132"/>
    </row>
    <row r="545" spans="1:8" s="131" customFormat="1" ht="21.2" customHeight="1" x14ac:dyDescent="0.25">
      <c r="A545" s="32" t="s">
        <v>212</v>
      </c>
      <c r="B545" s="15" t="s">
        <v>747</v>
      </c>
      <c r="C545" s="28" t="s">
        <v>187</v>
      </c>
      <c r="D545" s="28" t="s">
        <v>159</v>
      </c>
      <c r="E545" s="15" t="s">
        <v>156</v>
      </c>
      <c r="F545" s="2"/>
      <c r="G545" s="10">
        <f>'Пр.4 ведом.22'!G322</f>
        <v>250</v>
      </c>
      <c r="H545" s="132"/>
    </row>
    <row r="546" spans="1:8" s="131" customFormat="1" ht="52.5" customHeight="1" x14ac:dyDescent="0.25">
      <c r="A546" s="31" t="s">
        <v>185</v>
      </c>
      <c r="B546" s="15" t="s">
        <v>747</v>
      </c>
      <c r="C546" s="28" t="s">
        <v>187</v>
      </c>
      <c r="D546" s="28" t="s">
        <v>159</v>
      </c>
      <c r="E546" s="15" t="s">
        <v>156</v>
      </c>
      <c r="F546" s="2">
        <v>903</v>
      </c>
      <c r="G546" s="10">
        <f>G545</f>
        <v>250</v>
      </c>
      <c r="H546" s="132"/>
    </row>
    <row r="547" spans="1:8" s="131" customFormat="1" ht="31.7" hidden="1" customHeight="1" x14ac:dyDescent="0.25">
      <c r="A547" s="19" t="s">
        <v>123</v>
      </c>
      <c r="B547" s="15" t="s">
        <v>747</v>
      </c>
      <c r="C547" s="28" t="s">
        <v>187</v>
      </c>
      <c r="D547" s="28" t="s">
        <v>159</v>
      </c>
      <c r="E547" s="15" t="s">
        <v>124</v>
      </c>
      <c r="F547" s="2"/>
      <c r="G547" s="10">
        <f>G548</f>
        <v>0</v>
      </c>
      <c r="H547" s="132"/>
    </row>
    <row r="548" spans="1:8" s="131" customFormat="1" ht="31.7" hidden="1" customHeight="1" x14ac:dyDescent="0.25">
      <c r="A548" s="19" t="s">
        <v>125</v>
      </c>
      <c r="B548" s="15" t="s">
        <v>747</v>
      </c>
      <c r="C548" s="28" t="s">
        <v>187</v>
      </c>
      <c r="D548" s="28" t="s">
        <v>159</v>
      </c>
      <c r="E548" s="15" t="s">
        <v>126</v>
      </c>
      <c r="F548" s="2"/>
      <c r="G548" s="10">
        <f>'Пр.4 ведом.22'!G324</f>
        <v>0</v>
      </c>
      <c r="H548" s="132"/>
    </row>
    <row r="549" spans="1:8" s="131" customFormat="1" ht="55.5" hidden="1" customHeight="1" x14ac:dyDescent="0.25">
      <c r="A549" s="31" t="s">
        <v>185</v>
      </c>
      <c r="B549" s="15" t="s">
        <v>747</v>
      </c>
      <c r="C549" s="28" t="s">
        <v>187</v>
      </c>
      <c r="D549" s="28" t="s">
        <v>159</v>
      </c>
      <c r="E549" s="15" t="s">
        <v>126</v>
      </c>
      <c r="F549" s="2">
        <v>903</v>
      </c>
      <c r="G549" s="10">
        <f>G548</f>
        <v>0</v>
      </c>
      <c r="H549" s="132"/>
    </row>
    <row r="550" spans="1:8" s="131" customFormat="1" ht="16.5" customHeight="1" x14ac:dyDescent="0.25">
      <c r="A550" s="48" t="s">
        <v>202</v>
      </c>
      <c r="B550" s="15" t="s">
        <v>745</v>
      </c>
      <c r="C550" s="28" t="s">
        <v>203</v>
      </c>
      <c r="D550" s="48"/>
      <c r="E550" s="48"/>
      <c r="F550" s="2"/>
      <c r="G550" s="10">
        <f>G551</f>
        <v>725.3</v>
      </c>
      <c r="H550" s="132"/>
    </row>
    <row r="551" spans="1:8" s="131" customFormat="1" ht="16.5" customHeight="1" x14ac:dyDescent="0.25">
      <c r="A551" s="48" t="s">
        <v>204</v>
      </c>
      <c r="B551" s="15" t="s">
        <v>745</v>
      </c>
      <c r="C551" s="28" t="s">
        <v>203</v>
      </c>
      <c r="D551" s="28" t="s">
        <v>116</v>
      </c>
      <c r="E551" s="48"/>
      <c r="F551" s="2"/>
      <c r="G551" s="10">
        <f>G552+G556+G559</f>
        <v>725.3</v>
      </c>
      <c r="H551" s="132"/>
    </row>
    <row r="552" spans="1:8" s="131" customFormat="1" ht="41.25" hidden="1" customHeight="1" x14ac:dyDescent="0.25">
      <c r="A552" s="24" t="s">
        <v>394</v>
      </c>
      <c r="B552" s="15" t="s">
        <v>747</v>
      </c>
      <c r="C552" s="28" t="s">
        <v>203</v>
      </c>
      <c r="D552" s="28" t="s">
        <v>116</v>
      </c>
      <c r="E552" s="28"/>
      <c r="F552" s="2"/>
      <c r="G552" s="10">
        <f>G553</f>
        <v>0</v>
      </c>
      <c r="H552" s="132"/>
    </row>
    <row r="553" spans="1:8" s="131" customFormat="1" ht="83.25" hidden="1" customHeight="1" x14ac:dyDescent="0.25">
      <c r="A553" s="19" t="s">
        <v>119</v>
      </c>
      <c r="B553" s="15" t="s">
        <v>747</v>
      </c>
      <c r="C553" s="28" t="s">
        <v>203</v>
      </c>
      <c r="D553" s="28" t="s">
        <v>116</v>
      </c>
      <c r="E553" s="28" t="s">
        <v>120</v>
      </c>
      <c r="F553" s="2"/>
      <c r="G553" s="10">
        <f>G554</f>
        <v>0</v>
      </c>
      <c r="H553" s="132"/>
    </row>
    <row r="554" spans="1:8" s="131" customFormat="1" ht="15.75" hidden="1" customHeight="1" x14ac:dyDescent="0.25">
      <c r="A554" s="19" t="s">
        <v>155</v>
      </c>
      <c r="B554" s="15" t="s">
        <v>747</v>
      </c>
      <c r="C554" s="28" t="s">
        <v>203</v>
      </c>
      <c r="D554" s="28" t="s">
        <v>116</v>
      </c>
      <c r="E554" s="28" t="s">
        <v>156</v>
      </c>
      <c r="F554" s="2"/>
      <c r="G554" s="10">
        <f>'Пр.3 Рд,пр, ЦС,ВР 22'!F827</f>
        <v>0</v>
      </c>
      <c r="H554" s="132"/>
    </row>
    <row r="555" spans="1:8" s="131" customFormat="1" ht="40.15" hidden="1" customHeight="1" x14ac:dyDescent="0.25">
      <c r="A555" s="31" t="s">
        <v>185</v>
      </c>
      <c r="B555" s="15" t="s">
        <v>747</v>
      </c>
      <c r="C555" s="28" t="s">
        <v>203</v>
      </c>
      <c r="D555" s="28" t="s">
        <v>116</v>
      </c>
      <c r="E555" s="28" t="s">
        <v>156</v>
      </c>
      <c r="F555" s="2">
        <v>903</v>
      </c>
      <c r="G555" s="10">
        <f>G554</f>
        <v>0</v>
      </c>
      <c r="H555" s="132"/>
    </row>
    <row r="556" spans="1:8" s="131" customFormat="1" ht="40.700000000000003" hidden="1" customHeight="1" x14ac:dyDescent="0.25">
      <c r="A556" s="19" t="s">
        <v>123</v>
      </c>
      <c r="B556" s="15" t="s">
        <v>747</v>
      </c>
      <c r="C556" s="28" t="s">
        <v>203</v>
      </c>
      <c r="D556" s="28" t="s">
        <v>116</v>
      </c>
      <c r="E556" s="28" t="s">
        <v>124</v>
      </c>
      <c r="F556" s="2"/>
      <c r="G556" s="10">
        <f>G557</f>
        <v>0</v>
      </c>
      <c r="H556" s="132"/>
    </row>
    <row r="557" spans="1:8" s="131" customFormat="1" ht="40.700000000000003" hidden="1" customHeight="1" x14ac:dyDescent="0.25">
      <c r="A557" s="19" t="s">
        <v>125</v>
      </c>
      <c r="B557" s="15" t="s">
        <v>747</v>
      </c>
      <c r="C557" s="28" t="s">
        <v>203</v>
      </c>
      <c r="D557" s="28" t="s">
        <v>116</v>
      </c>
      <c r="E557" s="28" t="s">
        <v>126</v>
      </c>
      <c r="F557" s="2"/>
      <c r="G557" s="10">
        <f>'Пр.3 Рд,пр, ЦС,ВР 22'!F829</f>
        <v>0</v>
      </c>
      <c r="H557" s="132"/>
    </row>
    <row r="558" spans="1:8" s="131" customFormat="1" ht="46.5" hidden="1" customHeight="1" x14ac:dyDescent="0.25">
      <c r="A558" s="31" t="s">
        <v>185</v>
      </c>
      <c r="B558" s="15" t="s">
        <v>747</v>
      </c>
      <c r="C558" s="28" t="s">
        <v>203</v>
      </c>
      <c r="D558" s="28" t="s">
        <v>116</v>
      </c>
      <c r="E558" s="28" t="s">
        <v>126</v>
      </c>
      <c r="F558" s="2">
        <v>903</v>
      </c>
      <c r="G558" s="10">
        <f>G557</f>
        <v>0</v>
      </c>
      <c r="H558" s="132"/>
    </row>
    <row r="559" spans="1:8" s="362" customFormat="1" ht="31.5" x14ac:dyDescent="0.25">
      <c r="A559" s="399" t="s">
        <v>1193</v>
      </c>
      <c r="B559" s="402" t="s">
        <v>1194</v>
      </c>
      <c r="C559" s="360" t="s">
        <v>203</v>
      </c>
      <c r="D559" s="360" t="s">
        <v>116</v>
      </c>
      <c r="E559" s="360"/>
      <c r="F559" s="2"/>
      <c r="G559" s="10">
        <f>G560</f>
        <v>725.3</v>
      </c>
      <c r="H559" s="363"/>
    </row>
    <row r="560" spans="1:8" s="362" customFormat="1" ht="31.5" x14ac:dyDescent="0.25">
      <c r="A560" s="399" t="s">
        <v>191</v>
      </c>
      <c r="B560" s="402" t="s">
        <v>1194</v>
      </c>
      <c r="C560" s="360" t="s">
        <v>203</v>
      </c>
      <c r="D560" s="360" t="s">
        <v>116</v>
      </c>
      <c r="E560" s="360" t="s">
        <v>192</v>
      </c>
      <c r="F560" s="2"/>
      <c r="G560" s="10">
        <f>G561</f>
        <v>725.3</v>
      </c>
      <c r="H560" s="363"/>
    </row>
    <row r="561" spans="1:8" s="362" customFormat="1" ht="15.75" x14ac:dyDescent="0.25">
      <c r="A561" s="364" t="s">
        <v>193</v>
      </c>
      <c r="B561" s="402" t="s">
        <v>1194</v>
      </c>
      <c r="C561" s="360" t="s">
        <v>203</v>
      </c>
      <c r="D561" s="360" t="s">
        <v>116</v>
      </c>
      <c r="E561" s="360" t="s">
        <v>194</v>
      </c>
      <c r="F561" s="2"/>
      <c r="G561" s="10">
        <f>'Пр.4 ведом.22'!G396</f>
        <v>725.3</v>
      </c>
      <c r="H561" s="363"/>
    </row>
    <row r="562" spans="1:8" s="362" customFormat="1" ht="47.25" x14ac:dyDescent="0.25">
      <c r="A562" s="31" t="s">
        <v>185</v>
      </c>
      <c r="B562" s="402" t="s">
        <v>1194</v>
      </c>
      <c r="C562" s="360" t="s">
        <v>203</v>
      </c>
      <c r="D562" s="360" t="s">
        <v>116</v>
      </c>
      <c r="E562" s="360" t="s">
        <v>194</v>
      </c>
      <c r="F562" s="2">
        <v>903</v>
      </c>
      <c r="G562" s="10">
        <f>G561</f>
        <v>725.3</v>
      </c>
      <c r="H562" s="363"/>
    </row>
    <row r="563" spans="1:8" s="131" customFormat="1" ht="35.450000000000003" customHeight="1" x14ac:dyDescent="0.25">
      <c r="A563" s="17" t="s">
        <v>514</v>
      </c>
      <c r="B563" s="18" t="s">
        <v>748</v>
      </c>
      <c r="C563" s="7"/>
      <c r="D563" s="7"/>
      <c r="E563" s="7"/>
      <c r="F563" s="3"/>
      <c r="G563" s="38">
        <f>G571+G565+G580</f>
        <v>1634</v>
      </c>
      <c r="H563" s="132"/>
    </row>
    <row r="564" spans="1:8" s="131" customFormat="1" ht="18" customHeight="1" x14ac:dyDescent="0.25">
      <c r="A564" s="19" t="s">
        <v>186</v>
      </c>
      <c r="B564" s="15" t="s">
        <v>748</v>
      </c>
      <c r="C564" s="28" t="s">
        <v>187</v>
      </c>
      <c r="D564" s="28"/>
      <c r="E564" s="28"/>
      <c r="F564" s="2"/>
      <c r="G564" s="10">
        <f>G565</f>
        <v>473</v>
      </c>
      <c r="H564" s="132"/>
    </row>
    <row r="565" spans="1:8" s="131" customFormat="1" ht="22.7" customHeight="1" x14ac:dyDescent="0.25">
      <c r="A565" s="19" t="s">
        <v>188</v>
      </c>
      <c r="B565" s="15" t="s">
        <v>748</v>
      </c>
      <c r="C565" s="28" t="s">
        <v>187</v>
      </c>
      <c r="D565" s="28" t="s">
        <v>159</v>
      </c>
      <c r="E565" s="28"/>
      <c r="F565" s="2"/>
      <c r="G565" s="10">
        <f>G566</f>
        <v>473</v>
      </c>
      <c r="H565" s="132"/>
    </row>
    <row r="566" spans="1:8" s="131" customFormat="1" ht="49.7" customHeight="1" x14ac:dyDescent="0.25">
      <c r="A566" s="19" t="s">
        <v>416</v>
      </c>
      <c r="B566" s="15" t="s">
        <v>749</v>
      </c>
      <c r="C566" s="28" t="s">
        <v>187</v>
      </c>
      <c r="D566" s="28" t="s">
        <v>159</v>
      </c>
      <c r="E566" s="15"/>
      <c r="F566" s="2"/>
      <c r="G566" s="10">
        <f>G567</f>
        <v>473</v>
      </c>
      <c r="H566" s="132"/>
    </row>
    <row r="567" spans="1:8" s="131" customFormat="1" ht="88.5" customHeight="1" x14ac:dyDescent="0.25">
      <c r="A567" s="19" t="s">
        <v>119</v>
      </c>
      <c r="B567" s="15" t="s">
        <v>749</v>
      </c>
      <c r="C567" s="28" t="s">
        <v>187</v>
      </c>
      <c r="D567" s="28" t="s">
        <v>159</v>
      </c>
      <c r="E567" s="15" t="s">
        <v>120</v>
      </c>
      <c r="F567" s="2"/>
      <c r="G567" s="10">
        <f>G568</f>
        <v>473</v>
      </c>
      <c r="H567" s="132"/>
    </row>
    <row r="568" spans="1:8" s="131" customFormat="1" ht="36.75" customHeight="1" x14ac:dyDescent="0.25">
      <c r="A568" s="19" t="s">
        <v>121</v>
      </c>
      <c r="B568" s="15" t="s">
        <v>749</v>
      </c>
      <c r="C568" s="28" t="s">
        <v>187</v>
      </c>
      <c r="D568" s="28" t="s">
        <v>159</v>
      </c>
      <c r="E568" s="15" t="s">
        <v>156</v>
      </c>
      <c r="F568" s="2"/>
      <c r="G568" s="10">
        <f>'Пр.4 ведом.22'!G328</f>
        <v>473</v>
      </c>
      <c r="H568" s="132"/>
    </row>
    <row r="569" spans="1:8" s="131" customFormat="1" ht="58.7" customHeight="1" x14ac:dyDescent="0.25">
      <c r="A569" s="31" t="s">
        <v>185</v>
      </c>
      <c r="B569" s="15" t="s">
        <v>749</v>
      </c>
      <c r="C569" s="28" t="s">
        <v>187</v>
      </c>
      <c r="D569" s="28" t="s">
        <v>159</v>
      </c>
      <c r="E569" s="15" t="s">
        <v>156</v>
      </c>
      <c r="F569" s="2">
        <v>903</v>
      </c>
      <c r="G569" s="10">
        <f>G568</f>
        <v>473</v>
      </c>
      <c r="H569" s="132"/>
    </row>
    <row r="570" spans="1:8" s="131" customFormat="1" ht="16.5" customHeight="1" x14ac:dyDescent="0.25">
      <c r="A570" s="48" t="s">
        <v>202</v>
      </c>
      <c r="B570" s="15" t="s">
        <v>748</v>
      </c>
      <c r="C570" s="28" t="s">
        <v>203</v>
      </c>
      <c r="D570" s="48"/>
      <c r="E570" s="48"/>
      <c r="F570" s="2"/>
      <c r="G570" s="10">
        <f>G571</f>
        <v>903</v>
      </c>
      <c r="H570" s="132"/>
    </row>
    <row r="571" spans="1:8" s="131" customFormat="1" ht="18.75" customHeight="1" x14ac:dyDescent="0.25">
      <c r="A571" s="48" t="s">
        <v>204</v>
      </c>
      <c r="B571" s="15" t="s">
        <v>748</v>
      </c>
      <c r="C571" s="28" t="s">
        <v>203</v>
      </c>
      <c r="D571" s="28" t="s">
        <v>116</v>
      </c>
      <c r="E571" s="48"/>
      <c r="F571" s="2"/>
      <c r="G571" s="10">
        <f>G572+G576</f>
        <v>903</v>
      </c>
      <c r="H571" s="132"/>
    </row>
    <row r="572" spans="1:8" s="131" customFormat="1" ht="43.5" customHeight="1" x14ac:dyDescent="0.25">
      <c r="A572" s="19" t="s">
        <v>416</v>
      </c>
      <c r="B572" s="15" t="s">
        <v>749</v>
      </c>
      <c r="C572" s="28" t="s">
        <v>203</v>
      </c>
      <c r="D572" s="28" t="s">
        <v>116</v>
      </c>
      <c r="E572" s="28"/>
      <c r="F572" s="2"/>
      <c r="G572" s="10">
        <f>G573</f>
        <v>473</v>
      </c>
      <c r="H572" s="132"/>
    </row>
    <row r="573" spans="1:8" s="131" customFormat="1" ht="81" customHeight="1" x14ac:dyDescent="0.25">
      <c r="A573" s="19" t="s">
        <v>119</v>
      </c>
      <c r="B573" s="15" t="s">
        <v>749</v>
      </c>
      <c r="C573" s="28" t="s">
        <v>203</v>
      </c>
      <c r="D573" s="28" t="s">
        <v>116</v>
      </c>
      <c r="E573" s="28" t="s">
        <v>120</v>
      </c>
      <c r="F573" s="2"/>
      <c r="G573" s="10">
        <f>G574</f>
        <v>473</v>
      </c>
      <c r="H573" s="132"/>
    </row>
    <row r="574" spans="1:8" s="131" customFormat="1" ht="38.25" customHeight="1" x14ac:dyDescent="0.25">
      <c r="A574" s="19" t="s">
        <v>121</v>
      </c>
      <c r="B574" s="15" t="s">
        <v>749</v>
      </c>
      <c r="C574" s="28" t="s">
        <v>203</v>
      </c>
      <c r="D574" s="28" t="s">
        <v>116</v>
      </c>
      <c r="E574" s="28" t="s">
        <v>156</v>
      </c>
      <c r="F574" s="2"/>
      <c r="G574" s="10">
        <f>'Пр.3 Рд,пр, ЦС,ВР 22'!F836</f>
        <v>473</v>
      </c>
      <c r="H574" s="132"/>
    </row>
    <row r="575" spans="1:8" s="131" customFormat="1" ht="47.25" customHeight="1" x14ac:dyDescent="0.25">
      <c r="A575" s="31" t="s">
        <v>185</v>
      </c>
      <c r="B575" s="15" t="s">
        <v>749</v>
      </c>
      <c r="C575" s="28" t="s">
        <v>203</v>
      </c>
      <c r="D575" s="28" t="s">
        <v>116</v>
      </c>
      <c r="E575" s="28" t="s">
        <v>156</v>
      </c>
      <c r="F575" s="2">
        <v>903</v>
      </c>
      <c r="G575" s="10">
        <f>G574</f>
        <v>473</v>
      </c>
      <c r="H575" s="132"/>
    </row>
    <row r="576" spans="1:8" s="362" customFormat="1" ht="31.5" x14ac:dyDescent="0.25">
      <c r="A576" s="364" t="s">
        <v>344</v>
      </c>
      <c r="B576" s="402" t="s">
        <v>1195</v>
      </c>
      <c r="C576" s="360" t="s">
        <v>203</v>
      </c>
      <c r="D576" s="360" t="s">
        <v>116</v>
      </c>
      <c r="E576" s="360"/>
      <c r="F576" s="2"/>
      <c r="G576" s="10">
        <f>G577</f>
        <v>430</v>
      </c>
      <c r="H576" s="363"/>
    </row>
    <row r="577" spans="1:10" s="362" customFormat="1" ht="31.5" x14ac:dyDescent="0.25">
      <c r="A577" s="364" t="s">
        <v>191</v>
      </c>
      <c r="B577" s="402" t="s">
        <v>1195</v>
      </c>
      <c r="C577" s="360" t="s">
        <v>203</v>
      </c>
      <c r="D577" s="360" t="s">
        <v>116</v>
      </c>
      <c r="E577" s="360" t="s">
        <v>192</v>
      </c>
      <c r="F577" s="2"/>
      <c r="G577" s="10">
        <f>G578</f>
        <v>430</v>
      </c>
      <c r="H577" s="363"/>
    </row>
    <row r="578" spans="1:10" s="362" customFormat="1" ht="15.75" x14ac:dyDescent="0.25">
      <c r="A578" s="364" t="s">
        <v>193</v>
      </c>
      <c r="B578" s="402" t="s">
        <v>1195</v>
      </c>
      <c r="C578" s="360" t="s">
        <v>203</v>
      </c>
      <c r="D578" s="360" t="s">
        <v>116</v>
      </c>
      <c r="E578" s="360" t="s">
        <v>194</v>
      </c>
      <c r="F578" s="2"/>
      <c r="G578" s="10">
        <f>'Пр.4 ведом.22'!G403</f>
        <v>430</v>
      </c>
      <c r="H578" s="363"/>
    </row>
    <row r="579" spans="1:10" s="362" customFormat="1" ht="47.25" x14ac:dyDescent="0.25">
      <c r="A579" s="31" t="s">
        <v>185</v>
      </c>
      <c r="B579" s="402" t="s">
        <v>1195</v>
      </c>
      <c r="C579" s="360" t="s">
        <v>203</v>
      </c>
      <c r="D579" s="360" t="s">
        <v>116</v>
      </c>
      <c r="E579" s="360" t="s">
        <v>194</v>
      </c>
      <c r="F579" s="2">
        <v>903</v>
      </c>
      <c r="G579" s="10">
        <f>G578</f>
        <v>430</v>
      </c>
      <c r="H579" s="363"/>
    </row>
    <row r="580" spans="1:10" s="131" customFormat="1" ht="16.5" customHeight="1" x14ac:dyDescent="0.25">
      <c r="A580" s="45" t="s">
        <v>288</v>
      </c>
      <c r="B580" s="15" t="s">
        <v>748</v>
      </c>
      <c r="C580" s="28" t="s">
        <v>171</v>
      </c>
      <c r="D580" s="48"/>
      <c r="E580" s="48"/>
      <c r="F580" s="2"/>
      <c r="G580" s="10">
        <f>G581</f>
        <v>258</v>
      </c>
      <c r="H580" s="132"/>
    </row>
    <row r="581" spans="1:10" s="131" customFormat="1" ht="18" customHeight="1" x14ac:dyDescent="0.25">
      <c r="A581" s="19" t="s">
        <v>289</v>
      </c>
      <c r="B581" s="15" t="s">
        <v>748</v>
      </c>
      <c r="C581" s="28" t="s">
        <v>171</v>
      </c>
      <c r="D581" s="28" t="s">
        <v>158</v>
      </c>
      <c r="E581" s="48"/>
      <c r="F581" s="2"/>
      <c r="G581" s="10">
        <f>G582</f>
        <v>258</v>
      </c>
      <c r="H581" s="132"/>
    </row>
    <row r="582" spans="1:10" s="131" customFormat="1" ht="47.25" customHeight="1" x14ac:dyDescent="0.25">
      <c r="A582" s="19" t="s">
        <v>416</v>
      </c>
      <c r="B582" s="15" t="s">
        <v>749</v>
      </c>
      <c r="C582" s="28" t="s">
        <v>171</v>
      </c>
      <c r="D582" s="28" t="s">
        <v>158</v>
      </c>
      <c r="E582" s="28"/>
      <c r="F582" s="2"/>
      <c r="G582" s="10">
        <f>G583</f>
        <v>258</v>
      </c>
      <c r="H582" s="132"/>
    </row>
    <row r="583" spans="1:10" s="131" customFormat="1" ht="47.25" customHeight="1" x14ac:dyDescent="0.25">
      <c r="A583" s="19" t="s">
        <v>119</v>
      </c>
      <c r="B583" s="15" t="s">
        <v>749</v>
      </c>
      <c r="C583" s="28" t="s">
        <v>171</v>
      </c>
      <c r="D583" s="28" t="s">
        <v>158</v>
      </c>
      <c r="E583" s="28" t="s">
        <v>120</v>
      </c>
      <c r="F583" s="2"/>
      <c r="G583" s="10">
        <f>G584</f>
        <v>258</v>
      </c>
      <c r="H583" s="132"/>
    </row>
    <row r="584" spans="1:10" s="131" customFormat="1" ht="47.25" customHeight="1" x14ac:dyDescent="0.25">
      <c r="A584" s="19" t="s">
        <v>121</v>
      </c>
      <c r="B584" s="15" t="s">
        <v>749</v>
      </c>
      <c r="C584" s="28" t="s">
        <v>171</v>
      </c>
      <c r="D584" s="28" t="s">
        <v>158</v>
      </c>
      <c r="E584" s="28" t="s">
        <v>156</v>
      </c>
      <c r="F584" s="2"/>
      <c r="G584" s="10">
        <f>'Пр.4 ведом.22'!G535</f>
        <v>258</v>
      </c>
      <c r="H584" s="132"/>
    </row>
    <row r="585" spans="1:10" s="131" customFormat="1" ht="47.25" customHeight="1" x14ac:dyDescent="0.25">
      <c r="A585" s="31" t="s">
        <v>185</v>
      </c>
      <c r="B585" s="15" t="s">
        <v>749</v>
      </c>
      <c r="C585" s="28" t="s">
        <v>171</v>
      </c>
      <c r="D585" s="28" t="s">
        <v>158</v>
      </c>
      <c r="E585" s="28" t="s">
        <v>156</v>
      </c>
      <c r="F585" s="2">
        <v>903</v>
      </c>
      <c r="G585" s="10">
        <f>G584</f>
        <v>258</v>
      </c>
      <c r="H585" s="132"/>
    </row>
    <row r="586" spans="1:10" s="131" customFormat="1" ht="48.2" customHeight="1" x14ac:dyDescent="0.25">
      <c r="A586" s="144" t="s">
        <v>471</v>
      </c>
      <c r="B586" s="18" t="s">
        <v>750</v>
      </c>
      <c r="C586" s="7"/>
      <c r="D586" s="7"/>
      <c r="E586" s="7"/>
      <c r="F586" s="3"/>
      <c r="G586" s="38">
        <f>G587+G598</f>
        <v>2730.3</v>
      </c>
      <c r="H586" s="132"/>
    </row>
    <row r="587" spans="1:10" s="131" customFormat="1" ht="21.75" customHeight="1" x14ac:dyDescent="0.25">
      <c r="A587" s="19" t="s">
        <v>186</v>
      </c>
      <c r="B587" s="15" t="s">
        <v>750</v>
      </c>
      <c r="C587" s="28" t="s">
        <v>187</v>
      </c>
      <c r="D587" s="28"/>
      <c r="E587" s="28"/>
      <c r="F587" s="2"/>
      <c r="G587" s="10">
        <f>G588</f>
        <v>245.29999999999998</v>
      </c>
      <c r="H587" s="132"/>
    </row>
    <row r="588" spans="1:10" s="131" customFormat="1" ht="18" customHeight="1" x14ac:dyDescent="0.25">
      <c r="A588" s="19" t="s">
        <v>188</v>
      </c>
      <c r="B588" s="15" t="s">
        <v>750</v>
      </c>
      <c r="C588" s="28" t="s">
        <v>187</v>
      </c>
      <c r="D588" s="28" t="s">
        <v>159</v>
      </c>
      <c r="E588" s="28"/>
      <c r="F588" s="2"/>
      <c r="G588" s="10">
        <f>G589+G593</f>
        <v>245.29999999999998</v>
      </c>
      <c r="H588" s="132"/>
    </row>
    <row r="589" spans="1:10" s="131" customFormat="1" ht="97.15" customHeight="1" x14ac:dyDescent="0.25">
      <c r="A589" s="24" t="s">
        <v>200</v>
      </c>
      <c r="B589" s="15" t="s">
        <v>897</v>
      </c>
      <c r="C589" s="28" t="s">
        <v>187</v>
      </c>
      <c r="D589" s="28" t="s">
        <v>159</v>
      </c>
      <c r="E589" s="15"/>
      <c r="F589" s="2"/>
      <c r="G589" s="10">
        <f>G590</f>
        <v>0</v>
      </c>
      <c r="H589" s="132"/>
      <c r="J589" s="156">
        <f>G589+G599</f>
        <v>2100.5</v>
      </c>
    </row>
    <row r="590" spans="1:10" s="131" customFormat="1" ht="84.2" customHeight="1" x14ac:dyDescent="0.25">
      <c r="A590" s="19" t="s">
        <v>119</v>
      </c>
      <c r="B590" s="15" t="s">
        <v>897</v>
      </c>
      <c r="C590" s="28" t="s">
        <v>187</v>
      </c>
      <c r="D590" s="28" t="s">
        <v>159</v>
      </c>
      <c r="E590" s="15" t="s">
        <v>120</v>
      </c>
      <c r="F590" s="2"/>
      <c r="G590" s="10">
        <f>G591</f>
        <v>0</v>
      </c>
      <c r="H590" s="132"/>
    </row>
    <row r="591" spans="1:10" s="131" customFormat="1" ht="15" customHeight="1" x14ac:dyDescent="0.25">
      <c r="A591" s="32" t="s">
        <v>212</v>
      </c>
      <c r="B591" s="15" t="s">
        <v>897</v>
      </c>
      <c r="C591" s="28" t="s">
        <v>187</v>
      </c>
      <c r="D591" s="28" t="s">
        <v>159</v>
      </c>
      <c r="E591" s="15" t="s">
        <v>156</v>
      </c>
      <c r="F591" s="2"/>
      <c r="G591" s="10">
        <f>'Пр.4 ведом.22'!G332</f>
        <v>0</v>
      </c>
      <c r="H591" s="132"/>
    </row>
    <row r="592" spans="1:10" s="131" customFormat="1" ht="57.75" customHeight="1" x14ac:dyDescent="0.25">
      <c r="A592" s="31" t="s">
        <v>185</v>
      </c>
      <c r="B592" s="15" t="s">
        <v>897</v>
      </c>
      <c r="C592" s="28" t="s">
        <v>187</v>
      </c>
      <c r="D592" s="28" t="s">
        <v>159</v>
      </c>
      <c r="E592" s="15" t="s">
        <v>156</v>
      </c>
      <c r="F592" s="2">
        <v>903</v>
      </c>
      <c r="G592" s="10">
        <f>G591</f>
        <v>0</v>
      </c>
      <c r="H592" s="132"/>
    </row>
    <row r="593" spans="1:8" s="131" customFormat="1" ht="47.25" x14ac:dyDescent="0.25">
      <c r="A593" s="399" t="s">
        <v>1147</v>
      </c>
      <c r="B593" s="15" t="s">
        <v>1149</v>
      </c>
      <c r="C593" s="28" t="s">
        <v>187</v>
      </c>
      <c r="D593" s="28" t="s">
        <v>159</v>
      </c>
      <c r="E593" s="15"/>
      <c r="F593" s="2"/>
      <c r="G593" s="10">
        <f>G594</f>
        <v>245.29999999999998</v>
      </c>
      <c r="H593" s="132"/>
    </row>
    <row r="594" spans="1:8" s="131" customFormat="1" ht="86.25" customHeight="1" x14ac:dyDescent="0.25">
      <c r="A594" s="19" t="s">
        <v>119</v>
      </c>
      <c r="B594" s="365" t="s">
        <v>1149</v>
      </c>
      <c r="C594" s="28" t="s">
        <v>187</v>
      </c>
      <c r="D594" s="28" t="s">
        <v>159</v>
      </c>
      <c r="E594" s="15" t="s">
        <v>120</v>
      </c>
      <c r="F594" s="2"/>
      <c r="G594" s="10">
        <f>G595</f>
        <v>245.29999999999998</v>
      </c>
      <c r="H594" s="132"/>
    </row>
    <row r="595" spans="1:8" s="131" customFormat="1" ht="23.25" customHeight="1" x14ac:dyDescent="0.25">
      <c r="A595" s="32" t="s">
        <v>212</v>
      </c>
      <c r="B595" s="365" t="s">
        <v>1149</v>
      </c>
      <c r="C595" s="28" t="s">
        <v>187</v>
      </c>
      <c r="D595" s="28" t="s">
        <v>159</v>
      </c>
      <c r="E595" s="15" t="s">
        <v>156</v>
      </c>
      <c r="F595" s="2"/>
      <c r="G595" s="10">
        <f>'Пр.4 ведом.22'!G335</f>
        <v>245.29999999999998</v>
      </c>
      <c r="H595" s="132"/>
    </row>
    <row r="596" spans="1:8" s="131" customFormat="1" ht="55.5" customHeight="1" x14ac:dyDescent="0.25">
      <c r="A596" s="31" t="s">
        <v>185</v>
      </c>
      <c r="B596" s="365" t="s">
        <v>1149</v>
      </c>
      <c r="C596" s="28" t="s">
        <v>187</v>
      </c>
      <c r="D596" s="28" t="s">
        <v>159</v>
      </c>
      <c r="E596" s="15" t="s">
        <v>156</v>
      </c>
      <c r="F596" s="2">
        <v>903</v>
      </c>
      <c r="G596" s="10">
        <f>G595</f>
        <v>245.29999999999998</v>
      </c>
      <c r="H596" s="132"/>
    </row>
    <row r="597" spans="1:8" s="131" customFormat="1" ht="17.45" customHeight="1" x14ac:dyDescent="0.25">
      <c r="A597" s="48" t="s">
        <v>202</v>
      </c>
      <c r="B597" s="15" t="s">
        <v>750</v>
      </c>
      <c r="C597" s="28" t="s">
        <v>203</v>
      </c>
      <c r="D597" s="48"/>
      <c r="E597" s="48"/>
      <c r="F597" s="2"/>
      <c r="G597" s="10">
        <f>G598</f>
        <v>2485</v>
      </c>
      <c r="H597" s="132"/>
    </row>
    <row r="598" spans="1:8" s="131" customFormat="1" ht="18" customHeight="1" x14ac:dyDescent="0.25">
      <c r="A598" s="48" t="s">
        <v>204</v>
      </c>
      <c r="B598" s="15" t="s">
        <v>750</v>
      </c>
      <c r="C598" s="28" t="s">
        <v>203</v>
      </c>
      <c r="D598" s="28" t="s">
        <v>116</v>
      </c>
      <c r="E598" s="48"/>
      <c r="F598" s="2"/>
      <c r="G598" s="10">
        <f>G599+G605</f>
        <v>2485</v>
      </c>
      <c r="H598" s="132"/>
    </row>
    <row r="599" spans="1:8" s="131" customFormat="1" ht="103.9" customHeight="1" x14ac:dyDescent="0.25">
      <c r="A599" s="24" t="s">
        <v>200</v>
      </c>
      <c r="B599" s="15" t="s">
        <v>897</v>
      </c>
      <c r="C599" s="28" t="s">
        <v>203</v>
      </c>
      <c r="D599" s="28" t="s">
        <v>116</v>
      </c>
      <c r="E599" s="28"/>
      <c r="F599" s="2"/>
      <c r="G599" s="10">
        <f>G600+G602</f>
        <v>2100.5</v>
      </c>
      <c r="H599" s="132"/>
    </row>
    <row r="600" spans="1:8" s="131" customFormat="1" ht="79.5" customHeight="1" x14ac:dyDescent="0.25">
      <c r="A600" s="19" t="s">
        <v>119</v>
      </c>
      <c r="B600" s="15" t="s">
        <v>897</v>
      </c>
      <c r="C600" s="28" t="s">
        <v>203</v>
      </c>
      <c r="D600" s="28" t="s">
        <v>116</v>
      </c>
      <c r="E600" s="28" t="s">
        <v>120</v>
      </c>
      <c r="F600" s="2"/>
      <c r="G600" s="10">
        <f>G601</f>
        <v>1204.3</v>
      </c>
      <c r="H600" s="132"/>
    </row>
    <row r="601" spans="1:8" s="131" customFormat="1" ht="19.149999999999999" customHeight="1" x14ac:dyDescent="0.25">
      <c r="A601" s="19" t="s">
        <v>155</v>
      </c>
      <c r="B601" s="15" t="s">
        <v>897</v>
      </c>
      <c r="C601" s="28" t="s">
        <v>203</v>
      </c>
      <c r="D601" s="28" t="s">
        <v>116</v>
      </c>
      <c r="E601" s="28" t="s">
        <v>156</v>
      </c>
      <c r="F601" s="2"/>
      <c r="G601" s="10">
        <f>'Пр.3 Рд,пр, ЦС,ВР 22'!F843</f>
        <v>1204.3</v>
      </c>
      <c r="H601" s="132"/>
    </row>
    <row r="602" spans="1:8" s="362" customFormat="1" ht="31.5" x14ac:dyDescent="0.25">
      <c r="A602" s="399" t="s">
        <v>191</v>
      </c>
      <c r="B602" s="365" t="s">
        <v>897</v>
      </c>
      <c r="C602" s="360" t="s">
        <v>203</v>
      </c>
      <c r="D602" s="360" t="s">
        <v>116</v>
      </c>
      <c r="E602" s="360" t="s">
        <v>192</v>
      </c>
      <c r="F602" s="2"/>
      <c r="G602" s="10">
        <f>G603</f>
        <v>896.19999999999993</v>
      </c>
      <c r="H602" s="363"/>
    </row>
    <row r="603" spans="1:8" s="362" customFormat="1" ht="19.149999999999999" customHeight="1" x14ac:dyDescent="0.25">
      <c r="A603" s="364" t="s">
        <v>193</v>
      </c>
      <c r="B603" s="365" t="s">
        <v>897</v>
      </c>
      <c r="C603" s="360" t="s">
        <v>203</v>
      </c>
      <c r="D603" s="360" t="s">
        <v>116</v>
      </c>
      <c r="E603" s="360" t="s">
        <v>194</v>
      </c>
      <c r="F603" s="2"/>
      <c r="G603" s="10">
        <f>'Пр.4 ведом.22'!G409</f>
        <v>896.19999999999993</v>
      </c>
      <c r="H603" s="363"/>
    </row>
    <row r="604" spans="1:8" s="131" customFormat="1" ht="44.1" customHeight="1" x14ac:dyDescent="0.25">
      <c r="A604" s="31" t="s">
        <v>185</v>
      </c>
      <c r="B604" s="15" t="s">
        <v>897</v>
      </c>
      <c r="C604" s="28" t="s">
        <v>203</v>
      </c>
      <c r="D604" s="28" t="s">
        <v>116</v>
      </c>
      <c r="E604" s="28" t="s">
        <v>156</v>
      </c>
      <c r="F604" s="2">
        <v>903</v>
      </c>
      <c r="G604" s="10">
        <f>G599</f>
        <v>2100.5</v>
      </c>
      <c r="H604" s="132"/>
    </row>
    <row r="605" spans="1:8" s="131" customFormat="1" ht="70.5" customHeight="1" x14ac:dyDescent="0.25">
      <c r="A605" s="19" t="s">
        <v>207</v>
      </c>
      <c r="B605" s="15" t="s">
        <v>808</v>
      </c>
      <c r="C605" s="15" t="s">
        <v>203</v>
      </c>
      <c r="D605" s="15" t="s">
        <v>116</v>
      </c>
      <c r="E605" s="15"/>
      <c r="F605" s="15"/>
      <c r="G605" s="10">
        <f>G606</f>
        <v>384.5</v>
      </c>
      <c r="H605" s="132"/>
    </row>
    <row r="606" spans="1:8" s="131" customFormat="1" ht="82.5" customHeight="1" x14ac:dyDescent="0.25">
      <c r="A606" s="19" t="s">
        <v>119</v>
      </c>
      <c r="B606" s="15" t="s">
        <v>808</v>
      </c>
      <c r="C606" s="15" t="s">
        <v>203</v>
      </c>
      <c r="D606" s="15" t="s">
        <v>116</v>
      </c>
      <c r="E606" s="15" t="s">
        <v>120</v>
      </c>
      <c r="F606" s="15"/>
      <c r="G606" s="10">
        <f>G607</f>
        <v>384.5</v>
      </c>
      <c r="H606" s="132"/>
    </row>
    <row r="607" spans="1:8" s="131" customFormat="1" ht="21.75" customHeight="1" x14ac:dyDescent="0.25">
      <c r="A607" s="19" t="s">
        <v>155</v>
      </c>
      <c r="B607" s="15" t="s">
        <v>808</v>
      </c>
      <c r="C607" s="15" t="s">
        <v>203</v>
      </c>
      <c r="D607" s="15" t="s">
        <v>116</v>
      </c>
      <c r="E607" s="15" t="s">
        <v>156</v>
      </c>
      <c r="F607" s="15"/>
      <c r="G607" s="10">
        <f>'Пр.4 ведом.22'!G412</f>
        <v>384.5</v>
      </c>
      <c r="H607" s="132"/>
    </row>
    <row r="608" spans="1:8" s="131" customFormat="1" ht="51" customHeight="1" x14ac:dyDescent="0.25">
      <c r="A608" s="31" t="s">
        <v>185</v>
      </c>
      <c r="B608" s="15" t="s">
        <v>808</v>
      </c>
      <c r="C608" s="15" t="s">
        <v>203</v>
      </c>
      <c r="D608" s="15" t="s">
        <v>116</v>
      </c>
      <c r="E608" s="15" t="s">
        <v>156</v>
      </c>
      <c r="F608" s="15" t="s">
        <v>305</v>
      </c>
      <c r="G608" s="10">
        <f>G607</f>
        <v>384.5</v>
      </c>
      <c r="H608" s="132"/>
    </row>
    <row r="609" spans="1:8" s="131" customFormat="1" ht="36" customHeight="1" x14ac:dyDescent="0.25">
      <c r="A609" s="17" t="s">
        <v>473</v>
      </c>
      <c r="B609" s="18" t="s">
        <v>753</v>
      </c>
      <c r="C609" s="28"/>
      <c r="D609" s="28"/>
      <c r="E609" s="28"/>
      <c r="F609" s="2"/>
      <c r="G609" s="38">
        <f>G610</f>
        <v>50</v>
      </c>
      <c r="H609" s="132"/>
    </row>
    <row r="610" spans="1:8" s="131" customFormat="1" ht="20.100000000000001" customHeight="1" x14ac:dyDescent="0.25">
      <c r="A610" s="48" t="s">
        <v>202</v>
      </c>
      <c r="B610" s="15" t="s">
        <v>753</v>
      </c>
      <c r="C610" s="28" t="s">
        <v>203</v>
      </c>
      <c r="D610" s="28"/>
      <c r="E610" s="28"/>
      <c r="F610" s="2"/>
      <c r="G610" s="10">
        <f>G611</f>
        <v>50</v>
      </c>
      <c r="H610" s="132"/>
    </row>
    <row r="611" spans="1:8" s="131" customFormat="1" ht="20.100000000000001" customHeight="1" x14ac:dyDescent="0.25">
      <c r="A611" s="48" t="s">
        <v>204</v>
      </c>
      <c r="B611" s="15" t="s">
        <v>753</v>
      </c>
      <c r="C611" s="28" t="s">
        <v>203</v>
      </c>
      <c r="D611" s="28" t="s">
        <v>116</v>
      </c>
      <c r="E611" s="28"/>
      <c r="F611" s="2"/>
      <c r="G611" s="10">
        <f>G612</f>
        <v>50</v>
      </c>
      <c r="H611" s="132"/>
    </row>
    <row r="612" spans="1:8" s="131" customFormat="1" ht="35.450000000000003" customHeight="1" x14ac:dyDescent="0.25">
      <c r="A612" s="19" t="s">
        <v>399</v>
      </c>
      <c r="B612" s="15" t="s">
        <v>754</v>
      </c>
      <c r="C612" s="28" t="s">
        <v>203</v>
      </c>
      <c r="D612" s="28" t="s">
        <v>116</v>
      </c>
      <c r="E612" s="28"/>
      <c r="F612" s="2"/>
      <c r="G612" s="10">
        <f>G613</f>
        <v>50</v>
      </c>
      <c r="H612" s="132"/>
    </row>
    <row r="613" spans="1:8" s="131" customFormat="1" ht="36.75" customHeight="1" x14ac:dyDescent="0.25">
      <c r="A613" s="19" t="s">
        <v>123</v>
      </c>
      <c r="B613" s="15" t="s">
        <v>754</v>
      </c>
      <c r="C613" s="28" t="s">
        <v>203</v>
      </c>
      <c r="D613" s="28" t="s">
        <v>116</v>
      </c>
      <c r="E613" s="28" t="s">
        <v>124</v>
      </c>
      <c r="F613" s="2"/>
      <c r="G613" s="10">
        <f>G614</f>
        <v>50</v>
      </c>
      <c r="H613" s="132"/>
    </row>
    <row r="614" spans="1:8" s="131" customFormat="1" ht="33" customHeight="1" x14ac:dyDescent="0.25">
      <c r="A614" s="19" t="s">
        <v>125</v>
      </c>
      <c r="B614" s="15" t="s">
        <v>754</v>
      </c>
      <c r="C614" s="28" t="s">
        <v>203</v>
      </c>
      <c r="D614" s="28" t="s">
        <v>116</v>
      </c>
      <c r="E614" s="28" t="s">
        <v>126</v>
      </c>
      <c r="F614" s="2"/>
      <c r="G614" s="10">
        <f>'Пр.4 ведом.22'!G416</f>
        <v>50</v>
      </c>
      <c r="H614" s="132"/>
    </row>
    <row r="615" spans="1:8" s="131" customFormat="1" ht="51" customHeight="1" x14ac:dyDescent="0.25">
      <c r="A615" s="31" t="s">
        <v>185</v>
      </c>
      <c r="B615" s="15" t="s">
        <v>754</v>
      </c>
      <c r="C615" s="28" t="s">
        <v>203</v>
      </c>
      <c r="D615" s="28" t="s">
        <v>116</v>
      </c>
      <c r="E615" s="28" t="s">
        <v>126</v>
      </c>
      <c r="F615" s="2">
        <v>903</v>
      </c>
      <c r="G615" s="10">
        <f>G614</f>
        <v>50</v>
      </c>
      <c r="H615" s="132"/>
    </row>
    <row r="616" spans="1:8" s="131" customFormat="1" ht="39.200000000000003" customHeight="1" x14ac:dyDescent="0.25">
      <c r="A616" s="17" t="s">
        <v>573</v>
      </c>
      <c r="B616" s="18" t="s">
        <v>755</v>
      </c>
      <c r="C616" s="7"/>
      <c r="D616" s="7"/>
      <c r="E616" s="7"/>
      <c r="F616" s="3"/>
      <c r="G616" s="38">
        <f>G617+G623</f>
        <v>63.95</v>
      </c>
      <c r="H616" s="132"/>
    </row>
    <row r="617" spans="1:8" s="131" customFormat="1" ht="20.100000000000001" customHeight="1" x14ac:dyDescent="0.25">
      <c r="A617" s="45" t="s">
        <v>202</v>
      </c>
      <c r="B617" s="15" t="s">
        <v>755</v>
      </c>
      <c r="C617" s="28" t="s">
        <v>203</v>
      </c>
      <c r="D617" s="28"/>
      <c r="E617" s="28"/>
      <c r="F617" s="49"/>
      <c r="G617" s="10">
        <f t="shared" ref="G617" si="45">G618</f>
        <v>3.5</v>
      </c>
      <c r="H617" s="132"/>
    </row>
    <row r="618" spans="1:8" s="131" customFormat="1" ht="20.100000000000001" customHeight="1" x14ac:dyDescent="0.25">
      <c r="A618" s="45" t="s">
        <v>204</v>
      </c>
      <c r="B618" s="15" t="s">
        <v>755</v>
      </c>
      <c r="C618" s="28" t="s">
        <v>203</v>
      </c>
      <c r="D618" s="28" t="s">
        <v>116</v>
      </c>
      <c r="E618" s="28"/>
      <c r="F618" s="49"/>
      <c r="G618" s="10">
        <f>G619</f>
        <v>3.5</v>
      </c>
      <c r="H618" s="132"/>
    </row>
    <row r="619" spans="1:8" s="131" customFormat="1" ht="31.5" x14ac:dyDescent="0.25">
      <c r="A619" s="19" t="s">
        <v>963</v>
      </c>
      <c r="B619" s="15" t="s">
        <v>756</v>
      </c>
      <c r="C619" s="28" t="s">
        <v>203</v>
      </c>
      <c r="D619" s="28" t="s">
        <v>116</v>
      </c>
      <c r="E619" s="28"/>
      <c r="F619" s="2"/>
      <c r="G619" s="10">
        <f>G620</f>
        <v>3.5</v>
      </c>
      <c r="H619" s="132"/>
    </row>
    <row r="620" spans="1:8" s="131" customFormat="1" ht="39.200000000000003" customHeight="1" x14ac:dyDescent="0.25">
      <c r="A620" s="19" t="s">
        <v>123</v>
      </c>
      <c r="B620" s="15" t="s">
        <v>756</v>
      </c>
      <c r="C620" s="28" t="s">
        <v>203</v>
      </c>
      <c r="D620" s="28" t="s">
        <v>116</v>
      </c>
      <c r="E620" s="28" t="s">
        <v>124</v>
      </c>
      <c r="F620" s="2"/>
      <c r="G620" s="10">
        <f>G621</f>
        <v>3.5</v>
      </c>
      <c r="H620" s="132"/>
    </row>
    <row r="621" spans="1:8" s="131" customFormat="1" ht="36.75" customHeight="1" x14ac:dyDescent="0.25">
      <c r="A621" s="19" t="s">
        <v>125</v>
      </c>
      <c r="B621" s="15" t="s">
        <v>756</v>
      </c>
      <c r="C621" s="28" t="s">
        <v>203</v>
      </c>
      <c r="D621" s="28" t="s">
        <v>116</v>
      </c>
      <c r="E621" s="28" t="s">
        <v>126</v>
      </c>
      <c r="F621" s="2"/>
      <c r="G621" s="10">
        <f>'Пр.4 ведом.22'!G420</f>
        <v>3.5</v>
      </c>
      <c r="H621" s="132"/>
    </row>
    <row r="622" spans="1:8" s="131" customFormat="1" ht="54.75" customHeight="1" x14ac:dyDescent="0.25">
      <c r="A622" s="31" t="s">
        <v>185</v>
      </c>
      <c r="B622" s="15" t="s">
        <v>756</v>
      </c>
      <c r="C622" s="28" t="s">
        <v>203</v>
      </c>
      <c r="D622" s="28" t="s">
        <v>116</v>
      </c>
      <c r="E622" s="28" t="s">
        <v>126</v>
      </c>
      <c r="F622" s="2">
        <v>903</v>
      </c>
      <c r="G622" s="10">
        <f>G621</f>
        <v>3.5</v>
      </c>
      <c r="H622" s="132"/>
    </row>
    <row r="623" spans="1:8" s="362" customFormat="1" ht="31.5" x14ac:dyDescent="0.25">
      <c r="A623" s="364" t="s">
        <v>1137</v>
      </c>
      <c r="B623" s="365" t="s">
        <v>1138</v>
      </c>
      <c r="C623" s="360" t="s">
        <v>203</v>
      </c>
      <c r="D623" s="360" t="s">
        <v>116</v>
      </c>
      <c r="E623" s="360"/>
      <c r="F623" s="2"/>
      <c r="G623" s="10">
        <f>G624</f>
        <v>60.45</v>
      </c>
      <c r="H623" s="363"/>
    </row>
    <row r="624" spans="1:8" s="362" customFormat="1" ht="31.5" x14ac:dyDescent="0.25">
      <c r="A624" s="364" t="s">
        <v>123</v>
      </c>
      <c r="B624" s="365" t="s">
        <v>1138</v>
      </c>
      <c r="C624" s="360" t="s">
        <v>203</v>
      </c>
      <c r="D624" s="360" t="s">
        <v>116</v>
      </c>
      <c r="E624" s="360" t="s">
        <v>124</v>
      </c>
      <c r="F624" s="2"/>
      <c r="G624" s="10">
        <f>G625</f>
        <v>60.45</v>
      </c>
      <c r="H624" s="363"/>
    </row>
    <row r="625" spans="1:8" s="362" customFormat="1" ht="31.5" x14ac:dyDescent="0.25">
      <c r="A625" s="364" t="s">
        <v>125</v>
      </c>
      <c r="B625" s="365" t="s">
        <v>1138</v>
      </c>
      <c r="C625" s="360" t="s">
        <v>203</v>
      </c>
      <c r="D625" s="360" t="s">
        <v>116</v>
      </c>
      <c r="E625" s="360" t="s">
        <v>126</v>
      </c>
      <c r="F625" s="2"/>
      <c r="G625" s="10">
        <f>'Пр.4 ведом.22'!G423</f>
        <v>60.45</v>
      </c>
      <c r="H625" s="363"/>
    </row>
    <row r="626" spans="1:8" s="362" customFormat="1" ht="47.25" x14ac:dyDescent="0.25">
      <c r="A626" s="31" t="s">
        <v>185</v>
      </c>
      <c r="B626" s="365" t="s">
        <v>1138</v>
      </c>
      <c r="C626" s="360" t="s">
        <v>203</v>
      </c>
      <c r="D626" s="360" t="s">
        <v>116</v>
      </c>
      <c r="E626" s="360" t="s">
        <v>126</v>
      </c>
      <c r="F626" s="2">
        <v>903</v>
      </c>
      <c r="G626" s="10">
        <f>G625</f>
        <v>60.45</v>
      </c>
      <c r="H626" s="363"/>
    </row>
    <row r="627" spans="1:8" s="309" customFormat="1" ht="31.5" hidden="1" x14ac:dyDescent="0.25">
      <c r="A627" s="26" t="s">
        <v>1039</v>
      </c>
      <c r="B627" s="316" t="s">
        <v>1041</v>
      </c>
      <c r="C627" s="320"/>
      <c r="D627" s="320"/>
      <c r="E627" s="320"/>
      <c r="F627" s="2"/>
      <c r="G627" s="38">
        <f>G628</f>
        <v>0</v>
      </c>
      <c r="H627" s="132"/>
    </row>
    <row r="628" spans="1:8" s="309" customFormat="1" ht="15.75" hidden="1" x14ac:dyDescent="0.25">
      <c r="A628" s="45" t="s">
        <v>202</v>
      </c>
      <c r="B628" s="313" t="s">
        <v>1041</v>
      </c>
      <c r="C628" s="320" t="s">
        <v>203</v>
      </c>
      <c r="D628" s="320"/>
      <c r="E628" s="320"/>
      <c r="F628" s="2"/>
      <c r="G628" s="10">
        <f>G629</f>
        <v>0</v>
      </c>
      <c r="H628" s="132"/>
    </row>
    <row r="629" spans="1:8" s="309" customFormat="1" ht="15.75" hidden="1" x14ac:dyDescent="0.25">
      <c r="A629" s="45" t="s">
        <v>204</v>
      </c>
      <c r="B629" s="313" t="s">
        <v>1041</v>
      </c>
      <c r="C629" s="320" t="s">
        <v>203</v>
      </c>
      <c r="D629" s="320" t="s">
        <v>116</v>
      </c>
      <c r="E629" s="320"/>
      <c r="F629" s="2"/>
      <c r="G629" s="10">
        <f>G630</f>
        <v>0</v>
      </c>
      <c r="H629" s="132"/>
    </row>
    <row r="630" spans="1:8" s="309" customFormat="1" ht="63" hidden="1" x14ac:dyDescent="0.25">
      <c r="A630" s="24" t="s">
        <v>1040</v>
      </c>
      <c r="B630" s="313" t="s">
        <v>1042</v>
      </c>
      <c r="C630" s="320" t="s">
        <v>203</v>
      </c>
      <c r="D630" s="320" t="s">
        <v>116</v>
      </c>
      <c r="E630" s="320"/>
      <c r="F630" s="2"/>
      <c r="G630" s="10">
        <f>G631</f>
        <v>0</v>
      </c>
      <c r="H630" s="132"/>
    </row>
    <row r="631" spans="1:8" s="309" customFormat="1" ht="31.5" hidden="1" x14ac:dyDescent="0.25">
      <c r="A631" s="317" t="s">
        <v>123</v>
      </c>
      <c r="B631" s="313" t="s">
        <v>1042</v>
      </c>
      <c r="C631" s="320" t="s">
        <v>203</v>
      </c>
      <c r="D631" s="320" t="s">
        <v>116</v>
      </c>
      <c r="E631" s="320" t="s">
        <v>124</v>
      </c>
      <c r="F631" s="2"/>
      <c r="G631" s="10">
        <f>G632</f>
        <v>0</v>
      </c>
      <c r="H631" s="132"/>
    </row>
    <row r="632" spans="1:8" s="309" customFormat="1" ht="31.5" hidden="1" x14ac:dyDescent="0.25">
      <c r="A632" s="317" t="s">
        <v>125</v>
      </c>
      <c r="B632" s="313" t="s">
        <v>1042</v>
      </c>
      <c r="C632" s="320" t="s">
        <v>203</v>
      </c>
      <c r="D632" s="320" t="s">
        <v>116</v>
      </c>
      <c r="E632" s="320" t="s">
        <v>126</v>
      </c>
      <c r="F632" s="2"/>
      <c r="G632" s="10">
        <f>'Пр.4 ведом.22'!G427</f>
        <v>0</v>
      </c>
      <c r="H632" s="132"/>
    </row>
    <row r="633" spans="1:8" s="309" customFormat="1" ht="47.25" hidden="1" x14ac:dyDescent="0.25">
      <c r="A633" s="31" t="s">
        <v>185</v>
      </c>
      <c r="B633" s="313" t="s">
        <v>1042</v>
      </c>
      <c r="C633" s="320" t="s">
        <v>203</v>
      </c>
      <c r="D633" s="320" t="s">
        <v>116</v>
      </c>
      <c r="E633" s="320" t="s">
        <v>126</v>
      </c>
      <c r="F633" s="2">
        <v>903</v>
      </c>
      <c r="G633" s="10">
        <f>G632</f>
        <v>0</v>
      </c>
      <c r="H633" s="132"/>
    </row>
    <row r="634" spans="1:8" s="131" customFormat="1" ht="33.75" customHeight="1" x14ac:dyDescent="0.25">
      <c r="A634" s="177" t="s">
        <v>725</v>
      </c>
      <c r="B634" s="18" t="s">
        <v>751</v>
      </c>
      <c r="C634" s="18"/>
      <c r="D634" s="18"/>
      <c r="E634" s="28"/>
      <c r="F634" s="2"/>
      <c r="G634" s="38">
        <f>G635</f>
        <v>10178.300000000001</v>
      </c>
      <c r="H634" s="132"/>
    </row>
    <row r="635" spans="1:8" s="131" customFormat="1" ht="19.5" customHeight="1" x14ac:dyDescent="0.25">
      <c r="A635" s="45" t="s">
        <v>202</v>
      </c>
      <c r="B635" s="15" t="s">
        <v>751</v>
      </c>
      <c r="C635" s="15" t="s">
        <v>203</v>
      </c>
      <c r="D635" s="15"/>
      <c r="E635" s="28"/>
      <c r="F635" s="2"/>
      <c r="G635" s="10">
        <f>G636</f>
        <v>10178.300000000001</v>
      </c>
      <c r="H635" s="132"/>
    </row>
    <row r="636" spans="1:8" s="131" customFormat="1" ht="18" customHeight="1" x14ac:dyDescent="0.25">
      <c r="A636" s="45" t="s">
        <v>204</v>
      </c>
      <c r="B636" s="15" t="s">
        <v>751</v>
      </c>
      <c r="C636" s="15" t="s">
        <v>203</v>
      </c>
      <c r="D636" s="15" t="s">
        <v>116</v>
      </c>
      <c r="E636" s="28"/>
      <c r="F636" s="2"/>
      <c r="G636" s="10">
        <f>G637</f>
        <v>10178.300000000001</v>
      </c>
      <c r="H636" s="132"/>
    </row>
    <row r="637" spans="1:8" s="362" customFormat="1" ht="18" customHeight="1" x14ac:dyDescent="0.25">
      <c r="A637" s="361" t="s">
        <v>1134</v>
      </c>
      <c r="B637" s="365" t="s">
        <v>1135</v>
      </c>
      <c r="C637" s="365" t="s">
        <v>203</v>
      </c>
      <c r="D637" s="365" t="s">
        <v>116</v>
      </c>
      <c r="E637" s="360"/>
      <c r="F637" s="2"/>
      <c r="G637" s="10">
        <f>G638</f>
        <v>10178.300000000001</v>
      </c>
      <c r="H637" s="363"/>
    </row>
    <row r="638" spans="1:8" s="362" customFormat="1" ht="31.5" x14ac:dyDescent="0.25">
      <c r="A638" s="364" t="s">
        <v>191</v>
      </c>
      <c r="B638" s="365" t="s">
        <v>1135</v>
      </c>
      <c r="C638" s="365" t="s">
        <v>203</v>
      </c>
      <c r="D638" s="365" t="s">
        <v>116</v>
      </c>
      <c r="E638" s="360" t="s">
        <v>192</v>
      </c>
      <c r="F638" s="2"/>
      <c r="G638" s="10">
        <f>G639</f>
        <v>10178.300000000001</v>
      </c>
      <c r="H638" s="363"/>
    </row>
    <row r="639" spans="1:8" s="362" customFormat="1" ht="15.75" x14ac:dyDescent="0.25">
      <c r="A639" s="364" t="s">
        <v>193</v>
      </c>
      <c r="B639" s="365" t="s">
        <v>1135</v>
      </c>
      <c r="C639" s="365" t="s">
        <v>203</v>
      </c>
      <c r="D639" s="365" t="s">
        <v>116</v>
      </c>
      <c r="E639" s="360" t="s">
        <v>194</v>
      </c>
      <c r="F639" s="2"/>
      <c r="G639" s="10">
        <f>'Пр.4 ведом.22'!G434</f>
        <v>10178.300000000001</v>
      </c>
      <c r="H639" s="363"/>
    </row>
    <row r="640" spans="1:8" s="362" customFormat="1" ht="47.25" x14ac:dyDescent="0.25">
      <c r="A640" s="31" t="s">
        <v>185</v>
      </c>
      <c r="B640" s="365" t="s">
        <v>1135</v>
      </c>
      <c r="C640" s="365" t="s">
        <v>203</v>
      </c>
      <c r="D640" s="365" t="s">
        <v>116</v>
      </c>
      <c r="E640" s="360" t="s">
        <v>194</v>
      </c>
      <c r="F640" s="2">
        <v>903</v>
      </c>
      <c r="G640" s="10">
        <f>G639</f>
        <v>10178.300000000001</v>
      </c>
      <c r="H640" s="363"/>
    </row>
    <row r="641" spans="1:8" s="362" customFormat="1" ht="31.5" x14ac:dyDescent="0.25">
      <c r="A641" s="37" t="s">
        <v>1190</v>
      </c>
      <c r="B641" s="316" t="s">
        <v>1188</v>
      </c>
      <c r="C641" s="316"/>
      <c r="D641" s="316"/>
      <c r="E641" s="7"/>
      <c r="F641" s="3"/>
      <c r="G641" s="38">
        <f>G642</f>
        <v>120.9</v>
      </c>
      <c r="H641" s="363"/>
    </row>
    <row r="642" spans="1:8" s="131" customFormat="1" ht="18" customHeight="1" x14ac:dyDescent="0.25">
      <c r="A642" s="70" t="s">
        <v>727</v>
      </c>
      <c r="B642" s="15" t="s">
        <v>1189</v>
      </c>
      <c r="C642" s="15" t="s">
        <v>203</v>
      </c>
      <c r="D642" s="15" t="s">
        <v>116</v>
      </c>
      <c r="E642" s="28"/>
      <c r="F642" s="2"/>
      <c r="G642" s="10">
        <f>G643</f>
        <v>120.9</v>
      </c>
      <c r="H642" s="132"/>
    </row>
    <row r="643" spans="1:8" s="131" customFormat="1" ht="35.450000000000003" customHeight="1" x14ac:dyDescent="0.25">
      <c r="A643" s="19" t="s">
        <v>123</v>
      </c>
      <c r="B643" s="365" t="s">
        <v>1189</v>
      </c>
      <c r="C643" s="15" t="s">
        <v>203</v>
      </c>
      <c r="D643" s="15" t="s">
        <v>116</v>
      </c>
      <c r="E643" s="28" t="s">
        <v>124</v>
      </c>
      <c r="F643" s="2"/>
      <c r="G643" s="10">
        <f>G644</f>
        <v>120.9</v>
      </c>
      <c r="H643" s="132"/>
    </row>
    <row r="644" spans="1:8" s="131" customFormat="1" ht="36" customHeight="1" x14ac:dyDescent="0.25">
      <c r="A644" s="19" t="s">
        <v>125</v>
      </c>
      <c r="B644" s="365" t="s">
        <v>1189</v>
      </c>
      <c r="C644" s="15" t="s">
        <v>203</v>
      </c>
      <c r="D644" s="15" t="s">
        <v>116</v>
      </c>
      <c r="E644" s="28" t="s">
        <v>126</v>
      </c>
      <c r="F644" s="2"/>
      <c r="G644" s="10">
        <f>'Пр.4 ведом.22'!G438</f>
        <v>120.9</v>
      </c>
      <c r="H644" s="132"/>
    </row>
    <row r="645" spans="1:8" s="131" customFormat="1" ht="50.25" customHeight="1" x14ac:dyDescent="0.25">
      <c r="A645" s="31" t="s">
        <v>185</v>
      </c>
      <c r="B645" s="365" t="s">
        <v>1189</v>
      </c>
      <c r="C645" s="15" t="s">
        <v>203</v>
      </c>
      <c r="D645" s="15" t="s">
        <v>116</v>
      </c>
      <c r="E645" s="28" t="s">
        <v>126</v>
      </c>
      <c r="F645" s="2">
        <v>903</v>
      </c>
      <c r="G645" s="10">
        <f>G644</f>
        <v>120.9</v>
      </c>
      <c r="H645" s="132"/>
    </row>
    <row r="646" spans="1:8" s="1" customFormat="1" ht="51" customHeight="1" x14ac:dyDescent="0.25">
      <c r="A646" s="29" t="s">
        <v>859</v>
      </c>
      <c r="B646" s="7" t="s">
        <v>206</v>
      </c>
      <c r="C646" s="47"/>
      <c r="D646" s="47"/>
      <c r="E646" s="47"/>
      <c r="F646" s="47"/>
      <c r="G646" s="38">
        <f>G647</f>
        <v>168</v>
      </c>
      <c r="H646" s="132"/>
    </row>
    <row r="647" spans="1:8" s="132" customFormat="1" ht="64.5" customHeight="1" x14ac:dyDescent="0.25">
      <c r="A647" s="26" t="s">
        <v>588</v>
      </c>
      <c r="B647" s="7" t="s">
        <v>504</v>
      </c>
      <c r="C647" s="7"/>
      <c r="D647" s="7"/>
      <c r="E647" s="47"/>
      <c r="F647" s="47"/>
      <c r="G647" s="38">
        <f>G648+G654+G660+G676</f>
        <v>168</v>
      </c>
    </row>
    <row r="648" spans="1:8" s="363" customFormat="1" ht="15.75" x14ac:dyDescent="0.25">
      <c r="A648" s="31" t="s">
        <v>115</v>
      </c>
      <c r="B648" s="365" t="s">
        <v>504</v>
      </c>
      <c r="C648" s="360" t="s">
        <v>116</v>
      </c>
      <c r="D648" s="360"/>
      <c r="E648" s="2"/>
      <c r="F648" s="2"/>
      <c r="G648" s="10">
        <f>G649</f>
        <v>12</v>
      </c>
    </row>
    <row r="649" spans="1:8" s="363" customFormat="1" ht="15.75" x14ac:dyDescent="0.25">
      <c r="A649" s="31" t="s">
        <v>131</v>
      </c>
      <c r="B649" s="365" t="s">
        <v>504</v>
      </c>
      <c r="C649" s="360" t="s">
        <v>116</v>
      </c>
      <c r="D649" s="360" t="s">
        <v>132</v>
      </c>
      <c r="E649" s="2"/>
      <c r="F649" s="2"/>
      <c r="G649" s="10">
        <f>G650</f>
        <v>12</v>
      </c>
    </row>
    <row r="650" spans="1:8" s="363" customFormat="1" ht="47.25" x14ac:dyDescent="0.25">
      <c r="A650" s="364" t="s">
        <v>634</v>
      </c>
      <c r="B650" s="365" t="s">
        <v>589</v>
      </c>
      <c r="C650" s="360" t="s">
        <v>116</v>
      </c>
      <c r="D650" s="360" t="s">
        <v>132</v>
      </c>
      <c r="E650" s="2"/>
      <c r="F650" s="2"/>
      <c r="G650" s="10">
        <f>G651</f>
        <v>12</v>
      </c>
    </row>
    <row r="651" spans="1:8" s="363" customFormat="1" ht="31.5" x14ac:dyDescent="0.25">
      <c r="A651" s="364" t="s">
        <v>153</v>
      </c>
      <c r="B651" s="365" t="s">
        <v>589</v>
      </c>
      <c r="C651" s="360" t="s">
        <v>116</v>
      </c>
      <c r="D651" s="360" t="s">
        <v>132</v>
      </c>
      <c r="E651" s="2">
        <v>200</v>
      </c>
      <c r="F651" s="2"/>
      <c r="G651" s="10">
        <f>G652</f>
        <v>12</v>
      </c>
    </row>
    <row r="652" spans="1:8" s="363" customFormat="1" ht="31.5" x14ac:dyDescent="0.25">
      <c r="A652" s="364" t="s">
        <v>125</v>
      </c>
      <c r="B652" s="365" t="s">
        <v>589</v>
      </c>
      <c r="C652" s="360" t="s">
        <v>116</v>
      </c>
      <c r="D652" s="360" t="s">
        <v>132</v>
      </c>
      <c r="E652" s="2">
        <v>240</v>
      </c>
      <c r="F652" s="2"/>
      <c r="G652" s="10">
        <f>'Пр.4 ведом.22'!G138</f>
        <v>12</v>
      </c>
    </row>
    <row r="653" spans="1:8" s="363" customFormat="1" ht="15.75" x14ac:dyDescent="0.25">
      <c r="A653" s="24" t="s">
        <v>137</v>
      </c>
      <c r="B653" s="365" t="s">
        <v>589</v>
      </c>
      <c r="C653" s="360" t="s">
        <v>116</v>
      </c>
      <c r="D653" s="360" t="s">
        <v>132</v>
      </c>
      <c r="E653" s="2">
        <v>240</v>
      </c>
      <c r="F653" s="412">
        <v>902</v>
      </c>
      <c r="G653" s="10">
        <f>G652</f>
        <v>12</v>
      </c>
    </row>
    <row r="654" spans="1:8" s="132" customFormat="1" ht="18.75" hidden="1" customHeight="1" x14ac:dyDescent="0.25">
      <c r="A654" s="24" t="s">
        <v>231</v>
      </c>
      <c r="B654" s="28" t="s">
        <v>504</v>
      </c>
      <c r="C654" s="28" t="s">
        <v>168</v>
      </c>
      <c r="D654" s="28"/>
      <c r="E654" s="47"/>
      <c r="F654" s="47"/>
      <c r="G654" s="10">
        <f>G655</f>
        <v>0</v>
      </c>
    </row>
    <row r="655" spans="1:8" s="132" customFormat="1" ht="37.5" hidden="1" customHeight="1" x14ac:dyDescent="0.25">
      <c r="A655" s="24" t="s">
        <v>281</v>
      </c>
      <c r="B655" s="28" t="s">
        <v>504</v>
      </c>
      <c r="C655" s="28" t="s">
        <v>168</v>
      </c>
      <c r="D655" s="28" t="s">
        <v>168</v>
      </c>
      <c r="E655" s="47"/>
      <c r="F655" s="47"/>
      <c r="G655" s="10">
        <f>G656</f>
        <v>0</v>
      </c>
    </row>
    <row r="656" spans="1:8" s="132" customFormat="1" ht="51.75" hidden="1" customHeight="1" x14ac:dyDescent="0.25">
      <c r="A656" s="24" t="s">
        <v>634</v>
      </c>
      <c r="B656" s="15" t="s">
        <v>589</v>
      </c>
      <c r="C656" s="28" t="s">
        <v>168</v>
      </c>
      <c r="D656" s="28" t="s">
        <v>168</v>
      </c>
      <c r="E656" s="47"/>
      <c r="F656" s="47"/>
      <c r="G656" s="10">
        <f>G657</f>
        <v>0</v>
      </c>
    </row>
    <row r="657" spans="1:8" s="132" customFormat="1" ht="35.450000000000003" hidden="1" customHeight="1" x14ac:dyDescent="0.25">
      <c r="A657" s="19" t="s">
        <v>123</v>
      </c>
      <c r="B657" s="15" t="s">
        <v>589</v>
      </c>
      <c r="C657" s="28" t="s">
        <v>168</v>
      </c>
      <c r="D657" s="28" t="s">
        <v>168</v>
      </c>
      <c r="E657" s="2">
        <v>200</v>
      </c>
      <c r="F657" s="47"/>
      <c r="G657" s="10">
        <f>G658</f>
        <v>0</v>
      </c>
    </row>
    <row r="658" spans="1:8" s="132" customFormat="1" ht="34.5" hidden="1" customHeight="1" x14ac:dyDescent="0.25">
      <c r="A658" s="19" t="s">
        <v>125</v>
      </c>
      <c r="B658" s="15" t="s">
        <v>589</v>
      </c>
      <c r="C658" s="28" t="s">
        <v>168</v>
      </c>
      <c r="D658" s="28" t="s">
        <v>168</v>
      </c>
      <c r="E658" s="2">
        <v>240</v>
      </c>
      <c r="F658" s="47"/>
      <c r="G658" s="10">
        <f>G659</f>
        <v>0</v>
      </c>
    </row>
    <row r="659" spans="1:8" s="132" customFormat="1" ht="37.35" hidden="1" customHeight="1" x14ac:dyDescent="0.25">
      <c r="A659" s="31" t="s">
        <v>302</v>
      </c>
      <c r="B659" s="15" t="s">
        <v>589</v>
      </c>
      <c r="C659" s="28" t="s">
        <v>168</v>
      </c>
      <c r="D659" s="28" t="s">
        <v>168</v>
      </c>
      <c r="E659" s="2">
        <v>240</v>
      </c>
      <c r="F659" s="2">
        <v>908</v>
      </c>
      <c r="G659" s="10">
        <f>'Пр.4 ведом.22'!G1185</f>
        <v>0</v>
      </c>
    </row>
    <row r="660" spans="1:8" s="1" customFormat="1" ht="15.75" x14ac:dyDescent="0.25">
      <c r="A660" s="19" t="s">
        <v>186</v>
      </c>
      <c r="B660" s="28" t="s">
        <v>504</v>
      </c>
      <c r="C660" s="28" t="s">
        <v>187</v>
      </c>
      <c r="D660" s="48"/>
      <c r="E660" s="48"/>
      <c r="F660" s="48"/>
      <c r="G660" s="10">
        <f>G661+G666+G671</f>
        <v>146</v>
      </c>
      <c r="H660" s="132"/>
    </row>
    <row r="661" spans="1:8" s="1" customFormat="1" ht="15.75" x14ac:dyDescent="0.25">
      <c r="A661" s="19" t="s">
        <v>236</v>
      </c>
      <c r="B661" s="28" t="s">
        <v>504</v>
      </c>
      <c r="C661" s="28" t="s">
        <v>187</v>
      </c>
      <c r="D661" s="28" t="s">
        <v>116</v>
      </c>
      <c r="E661" s="48"/>
      <c r="F661" s="48"/>
      <c r="G661" s="10">
        <f>G662</f>
        <v>80</v>
      </c>
      <c r="H661" s="132"/>
    </row>
    <row r="662" spans="1:8" s="1" customFormat="1" ht="47.25" x14ac:dyDescent="0.25">
      <c r="A662" s="24" t="s">
        <v>635</v>
      </c>
      <c r="B662" s="15" t="s">
        <v>505</v>
      </c>
      <c r="C662" s="28" t="s">
        <v>187</v>
      </c>
      <c r="D662" s="28" t="s">
        <v>116</v>
      </c>
      <c r="E662" s="47"/>
      <c r="F662" s="47"/>
      <c r="G662" s="10">
        <f>G663</f>
        <v>80</v>
      </c>
      <c r="H662" s="132"/>
    </row>
    <row r="663" spans="1:8" s="1" customFormat="1" ht="31.5" x14ac:dyDescent="0.25">
      <c r="A663" s="24" t="s">
        <v>191</v>
      </c>
      <c r="B663" s="15" t="s">
        <v>505</v>
      </c>
      <c r="C663" s="28" t="s">
        <v>187</v>
      </c>
      <c r="D663" s="28" t="s">
        <v>116</v>
      </c>
      <c r="E663" s="28" t="s">
        <v>192</v>
      </c>
      <c r="F663" s="47"/>
      <c r="G663" s="10">
        <f>G664</f>
        <v>80</v>
      </c>
      <c r="H663" s="132"/>
    </row>
    <row r="664" spans="1:8" s="1" customFormat="1" ht="15.75" x14ac:dyDescent="0.25">
      <c r="A664" s="24" t="s">
        <v>193</v>
      </c>
      <c r="B664" s="15" t="s">
        <v>505</v>
      </c>
      <c r="C664" s="28" t="s">
        <v>187</v>
      </c>
      <c r="D664" s="28" t="s">
        <v>116</v>
      </c>
      <c r="E664" s="28" t="s">
        <v>194</v>
      </c>
      <c r="F664" s="47"/>
      <c r="G664" s="10">
        <f>'Пр.4 ведом.22'!G673</f>
        <v>80</v>
      </c>
      <c r="H664" s="132"/>
    </row>
    <row r="665" spans="1:8" s="132" customFormat="1" ht="31.5" x14ac:dyDescent="0.25">
      <c r="A665" s="24" t="s">
        <v>235</v>
      </c>
      <c r="B665" s="15" t="s">
        <v>505</v>
      </c>
      <c r="C665" s="28" t="s">
        <v>187</v>
      </c>
      <c r="D665" s="28" t="s">
        <v>116</v>
      </c>
      <c r="E665" s="28" t="s">
        <v>194</v>
      </c>
      <c r="F665" s="2">
        <v>906</v>
      </c>
      <c r="G665" s="10">
        <f>G664</f>
        <v>80</v>
      </c>
    </row>
    <row r="666" spans="1:8" s="363" customFormat="1" ht="15.75" x14ac:dyDescent="0.25">
      <c r="A666" s="24" t="s">
        <v>239</v>
      </c>
      <c r="B666" s="365" t="s">
        <v>505</v>
      </c>
      <c r="C666" s="360" t="s">
        <v>187</v>
      </c>
      <c r="D666" s="360" t="s">
        <v>158</v>
      </c>
      <c r="E666" s="360"/>
      <c r="F666" s="2"/>
      <c r="G666" s="10">
        <f>G667</f>
        <v>60</v>
      </c>
    </row>
    <row r="667" spans="1:8" s="363" customFormat="1" ht="47.25" x14ac:dyDescent="0.25">
      <c r="A667" s="24" t="s">
        <v>635</v>
      </c>
      <c r="B667" s="365" t="s">
        <v>505</v>
      </c>
      <c r="C667" s="360" t="s">
        <v>187</v>
      </c>
      <c r="D667" s="360" t="s">
        <v>158</v>
      </c>
      <c r="E667" s="360"/>
      <c r="F667" s="2"/>
      <c r="G667" s="10">
        <f>G668</f>
        <v>60</v>
      </c>
    </row>
    <row r="668" spans="1:8" s="363" customFormat="1" ht="31.5" x14ac:dyDescent="0.25">
      <c r="A668" s="24" t="s">
        <v>191</v>
      </c>
      <c r="B668" s="365" t="s">
        <v>505</v>
      </c>
      <c r="C668" s="360" t="s">
        <v>187</v>
      </c>
      <c r="D668" s="360" t="s">
        <v>158</v>
      </c>
      <c r="E668" s="360" t="s">
        <v>192</v>
      </c>
      <c r="F668" s="2"/>
      <c r="G668" s="10">
        <f>G669</f>
        <v>60</v>
      </c>
    </row>
    <row r="669" spans="1:8" s="363" customFormat="1" ht="15.75" x14ac:dyDescent="0.25">
      <c r="A669" s="24" t="s">
        <v>193</v>
      </c>
      <c r="B669" s="365" t="s">
        <v>505</v>
      </c>
      <c r="C669" s="360" t="s">
        <v>187</v>
      </c>
      <c r="D669" s="360" t="s">
        <v>158</v>
      </c>
      <c r="E669" s="360" t="s">
        <v>194</v>
      </c>
      <c r="F669" s="2"/>
      <c r="G669" s="10">
        <f>'Пр.4 ведом.22'!G762</f>
        <v>60</v>
      </c>
    </row>
    <row r="670" spans="1:8" s="363" customFormat="1" ht="31.5" x14ac:dyDescent="0.25">
      <c r="A670" s="24" t="s">
        <v>235</v>
      </c>
      <c r="B670" s="365" t="s">
        <v>505</v>
      </c>
      <c r="C670" s="360" t="s">
        <v>187</v>
      </c>
      <c r="D670" s="360" t="s">
        <v>158</v>
      </c>
      <c r="E670" s="360" t="s">
        <v>194</v>
      </c>
      <c r="F670" s="2">
        <v>906</v>
      </c>
      <c r="G670" s="10">
        <f>G669</f>
        <v>60</v>
      </c>
    </row>
    <row r="671" spans="1:8" s="1" customFormat="1" ht="15.75" x14ac:dyDescent="0.25">
      <c r="A671" s="22" t="s">
        <v>188</v>
      </c>
      <c r="B671" s="28" t="s">
        <v>504</v>
      </c>
      <c r="C671" s="28" t="s">
        <v>187</v>
      </c>
      <c r="D671" s="28" t="s">
        <v>159</v>
      </c>
      <c r="E671" s="28"/>
      <c r="F671" s="48"/>
      <c r="G671" s="10">
        <f>G672</f>
        <v>6</v>
      </c>
      <c r="H671" s="132"/>
    </row>
    <row r="672" spans="1:8" s="1" customFormat="1" ht="47.25" x14ac:dyDescent="0.25">
      <c r="A672" s="24" t="s">
        <v>634</v>
      </c>
      <c r="B672" s="15" t="s">
        <v>589</v>
      </c>
      <c r="C672" s="28" t="s">
        <v>187</v>
      </c>
      <c r="D672" s="28" t="s">
        <v>159</v>
      </c>
      <c r="E672" s="28"/>
      <c r="F672" s="47"/>
      <c r="G672" s="10">
        <f>G673</f>
        <v>6</v>
      </c>
      <c r="H672" s="132"/>
    </row>
    <row r="673" spans="1:8" s="1" customFormat="1" ht="31.5" x14ac:dyDescent="0.25">
      <c r="A673" s="24" t="s">
        <v>191</v>
      </c>
      <c r="B673" s="15" t="s">
        <v>589</v>
      </c>
      <c r="C673" s="28" t="s">
        <v>187</v>
      </c>
      <c r="D673" s="28" t="s">
        <v>159</v>
      </c>
      <c r="E673" s="28" t="s">
        <v>124</v>
      </c>
      <c r="F673" s="47"/>
      <c r="G673" s="10">
        <f>G674</f>
        <v>6</v>
      </c>
      <c r="H673" s="132"/>
    </row>
    <row r="674" spans="1:8" s="1" customFormat="1" ht="15.75" x14ac:dyDescent="0.25">
      <c r="A674" s="24" t="s">
        <v>193</v>
      </c>
      <c r="B674" s="15" t="s">
        <v>589</v>
      </c>
      <c r="C674" s="28" t="s">
        <v>187</v>
      </c>
      <c r="D674" s="28" t="s">
        <v>159</v>
      </c>
      <c r="E674" s="28" t="s">
        <v>126</v>
      </c>
      <c r="F674" s="47"/>
      <c r="G674" s="10">
        <f>'Пр.4 ведом.22'!G340</f>
        <v>6</v>
      </c>
      <c r="H674" s="132"/>
    </row>
    <row r="675" spans="1:8" s="1" customFormat="1" ht="47.25" x14ac:dyDescent="0.25">
      <c r="A675" s="31" t="s">
        <v>185</v>
      </c>
      <c r="B675" s="15" t="s">
        <v>589</v>
      </c>
      <c r="C675" s="28" t="s">
        <v>187</v>
      </c>
      <c r="D675" s="28" t="s">
        <v>159</v>
      </c>
      <c r="E675" s="28" t="s">
        <v>126</v>
      </c>
      <c r="F675" s="2">
        <v>903</v>
      </c>
      <c r="G675" s="10">
        <f>G674</f>
        <v>6</v>
      </c>
      <c r="H675" s="132"/>
    </row>
    <row r="676" spans="1:8" s="132" customFormat="1" ht="15.75" x14ac:dyDescent="0.25">
      <c r="A676" s="24" t="s">
        <v>202</v>
      </c>
      <c r="B676" s="15" t="s">
        <v>504</v>
      </c>
      <c r="C676" s="28" t="s">
        <v>203</v>
      </c>
      <c r="D676" s="28"/>
      <c r="E676" s="28"/>
      <c r="F676" s="2"/>
      <c r="G676" s="10">
        <f>G677+G686</f>
        <v>10</v>
      </c>
    </row>
    <row r="677" spans="1:8" s="363" customFormat="1" ht="15.75" x14ac:dyDescent="0.25">
      <c r="A677" s="45" t="s">
        <v>204</v>
      </c>
      <c r="B677" s="365" t="s">
        <v>504</v>
      </c>
      <c r="C677" s="360" t="s">
        <v>203</v>
      </c>
      <c r="D677" s="360" t="s">
        <v>116</v>
      </c>
      <c r="E677" s="360"/>
      <c r="F677" s="2"/>
      <c r="G677" s="10">
        <f>G678+G682</f>
        <v>10</v>
      </c>
    </row>
    <row r="678" spans="1:8" s="363" customFormat="1" ht="47.25" x14ac:dyDescent="0.25">
      <c r="A678" s="24" t="s">
        <v>634</v>
      </c>
      <c r="B678" s="365" t="s">
        <v>589</v>
      </c>
      <c r="C678" s="360" t="s">
        <v>203</v>
      </c>
      <c r="D678" s="360" t="s">
        <v>116</v>
      </c>
      <c r="E678" s="360"/>
      <c r="F678" s="2"/>
      <c r="G678" s="10">
        <f>G679</f>
        <v>4</v>
      </c>
    </row>
    <row r="679" spans="1:8" s="363" customFormat="1" ht="31.5" x14ac:dyDescent="0.25">
      <c r="A679" s="364" t="s">
        <v>123</v>
      </c>
      <c r="B679" s="365" t="s">
        <v>589</v>
      </c>
      <c r="C679" s="360" t="s">
        <v>203</v>
      </c>
      <c r="D679" s="360" t="s">
        <v>116</v>
      </c>
      <c r="E679" s="360" t="s">
        <v>124</v>
      </c>
      <c r="F679" s="2"/>
      <c r="G679" s="10">
        <f>G680</f>
        <v>4</v>
      </c>
    </row>
    <row r="680" spans="1:8" s="363" customFormat="1" ht="31.5" x14ac:dyDescent="0.25">
      <c r="A680" s="364" t="s">
        <v>125</v>
      </c>
      <c r="B680" s="365" t="s">
        <v>589</v>
      </c>
      <c r="C680" s="360" t="s">
        <v>203</v>
      </c>
      <c r="D680" s="360" t="s">
        <v>116</v>
      </c>
      <c r="E680" s="360" t="s">
        <v>126</v>
      </c>
      <c r="F680" s="2"/>
      <c r="G680" s="10">
        <f>'Пр.4 ведом.22'!G443</f>
        <v>4</v>
      </c>
    </row>
    <row r="681" spans="1:8" s="363" customFormat="1" ht="47.25" x14ac:dyDescent="0.25">
      <c r="A681" s="31" t="s">
        <v>185</v>
      </c>
      <c r="B681" s="365" t="s">
        <v>589</v>
      </c>
      <c r="C681" s="360" t="s">
        <v>203</v>
      </c>
      <c r="D681" s="360" t="s">
        <v>116</v>
      </c>
      <c r="E681" s="360" t="s">
        <v>126</v>
      </c>
      <c r="F681" s="2">
        <v>903</v>
      </c>
      <c r="G681" s="10">
        <f>G680</f>
        <v>4</v>
      </c>
    </row>
    <row r="682" spans="1:8" s="363" customFormat="1" ht="47.25" x14ac:dyDescent="0.25">
      <c r="A682" s="399" t="s">
        <v>571</v>
      </c>
      <c r="B682" s="402" t="s">
        <v>505</v>
      </c>
      <c r="C682" s="360" t="s">
        <v>203</v>
      </c>
      <c r="D682" s="360" t="s">
        <v>116</v>
      </c>
      <c r="E682" s="360"/>
      <c r="F682" s="2"/>
      <c r="G682" s="10">
        <f>G683</f>
        <v>6</v>
      </c>
    </row>
    <row r="683" spans="1:8" s="363" customFormat="1" ht="31.5" x14ac:dyDescent="0.25">
      <c r="A683" s="399" t="s">
        <v>191</v>
      </c>
      <c r="B683" s="402" t="s">
        <v>505</v>
      </c>
      <c r="C683" s="360" t="s">
        <v>203</v>
      </c>
      <c r="D683" s="360" t="s">
        <v>116</v>
      </c>
      <c r="E683" s="360" t="s">
        <v>192</v>
      </c>
      <c r="F683" s="2"/>
      <c r="G683" s="10">
        <f>G684</f>
        <v>6</v>
      </c>
    </row>
    <row r="684" spans="1:8" s="363" customFormat="1" ht="15.75" x14ac:dyDescent="0.25">
      <c r="A684" s="364" t="s">
        <v>193</v>
      </c>
      <c r="B684" s="402" t="s">
        <v>505</v>
      </c>
      <c r="C684" s="360" t="s">
        <v>203</v>
      </c>
      <c r="D684" s="360" t="s">
        <v>116</v>
      </c>
      <c r="E684" s="360" t="s">
        <v>194</v>
      </c>
      <c r="F684" s="2"/>
      <c r="G684" s="10">
        <f>'Пр.4 ведом.22'!G446</f>
        <v>6</v>
      </c>
    </row>
    <row r="685" spans="1:8" s="363" customFormat="1" ht="47.25" x14ac:dyDescent="0.25">
      <c r="A685" s="31" t="s">
        <v>185</v>
      </c>
      <c r="B685" s="402" t="s">
        <v>505</v>
      </c>
      <c r="C685" s="360" t="s">
        <v>203</v>
      </c>
      <c r="D685" s="360" t="s">
        <v>116</v>
      </c>
      <c r="E685" s="360" t="s">
        <v>194</v>
      </c>
      <c r="F685" s="2">
        <v>903</v>
      </c>
      <c r="G685" s="10">
        <f>G684</f>
        <v>6</v>
      </c>
    </row>
    <row r="686" spans="1:8" s="132" customFormat="1" ht="15.75" hidden="1" x14ac:dyDescent="0.25">
      <c r="A686" s="364" t="s">
        <v>208</v>
      </c>
      <c r="B686" s="15" t="s">
        <v>504</v>
      </c>
      <c r="C686" s="28" t="s">
        <v>203</v>
      </c>
      <c r="D686" s="28" t="s">
        <v>139</v>
      </c>
      <c r="E686" s="28"/>
      <c r="F686" s="2"/>
      <c r="G686" s="10">
        <f>G687</f>
        <v>0</v>
      </c>
    </row>
    <row r="687" spans="1:8" s="132" customFormat="1" ht="47.25" hidden="1" x14ac:dyDescent="0.25">
      <c r="A687" s="24" t="s">
        <v>634</v>
      </c>
      <c r="B687" s="15" t="s">
        <v>589</v>
      </c>
      <c r="C687" s="28" t="s">
        <v>203</v>
      </c>
      <c r="D687" s="28" t="s">
        <v>139</v>
      </c>
      <c r="E687" s="28"/>
      <c r="F687" s="2"/>
      <c r="G687" s="10">
        <f>G688</f>
        <v>0</v>
      </c>
    </row>
    <row r="688" spans="1:8" s="132" customFormat="1" ht="31.5" hidden="1" x14ac:dyDescent="0.25">
      <c r="A688" s="19" t="s">
        <v>123</v>
      </c>
      <c r="B688" s="15" t="s">
        <v>589</v>
      </c>
      <c r="C688" s="28" t="s">
        <v>203</v>
      </c>
      <c r="D688" s="28" t="s">
        <v>139</v>
      </c>
      <c r="E688" s="28" t="s">
        <v>124</v>
      </c>
      <c r="F688" s="2"/>
      <c r="G688" s="10">
        <f>G689</f>
        <v>0</v>
      </c>
    </row>
    <row r="689" spans="1:8" s="132" customFormat="1" ht="31.5" hidden="1" x14ac:dyDescent="0.25">
      <c r="A689" s="19" t="s">
        <v>125</v>
      </c>
      <c r="B689" s="15" t="s">
        <v>589</v>
      </c>
      <c r="C689" s="28" t="s">
        <v>203</v>
      </c>
      <c r="D689" s="28" t="s">
        <v>139</v>
      </c>
      <c r="E689" s="28" t="s">
        <v>126</v>
      </c>
      <c r="F689" s="2"/>
      <c r="G689" s="10">
        <f>'Пр.4 ведом.22'!G495</f>
        <v>0</v>
      </c>
    </row>
    <row r="690" spans="1:8" s="132" customFormat="1" ht="47.25" hidden="1" x14ac:dyDescent="0.25">
      <c r="A690" s="31" t="s">
        <v>185</v>
      </c>
      <c r="B690" s="15" t="s">
        <v>589</v>
      </c>
      <c r="C690" s="28" t="s">
        <v>203</v>
      </c>
      <c r="D690" s="28" t="s">
        <v>139</v>
      </c>
      <c r="E690" s="28" t="s">
        <v>126</v>
      </c>
      <c r="F690" s="2">
        <v>903</v>
      </c>
      <c r="G690" s="261">
        <f>G687</f>
        <v>0</v>
      </c>
    </row>
    <row r="691" spans="1:8" s="1" customFormat="1" ht="15.75" hidden="1" customHeight="1" x14ac:dyDescent="0.25">
      <c r="A691" s="48" t="s">
        <v>250</v>
      </c>
      <c r="B691" s="28" t="s">
        <v>504</v>
      </c>
      <c r="C691" s="28" t="s">
        <v>251</v>
      </c>
      <c r="D691" s="48"/>
      <c r="E691" s="48"/>
      <c r="F691" s="48"/>
      <c r="G691" s="10">
        <f t="shared" ref="G691" si="46">G692</f>
        <v>0</v>
      </c>
      <c r="H691" s="132"/>
    </row>
    <row r="692" spans="1:8" s="1" customFormat="1" ht="15.75" hidden="1" customHeight="1" x14ac:dyDescent="0.25">
      <c r="A692" s="48" t="s">
        <v>252</v>
      </c>
      <c r="B692" s="28" t="s">
        <v>504</v>
      </c>
      <c r="C692" s="28" t="s">
        <v>251</v>
      </c>
      <c r="D692" s="28" t="s">
        <v>116</v>
      </c>
      <c r="E692" s="48"/>
      <c r="F692" s="48"/>
      <c r="G692" s="10">
        <f t="shared" ref="G692" si="47">G693</f>
        <v>0</v>
      </c>
      <c r="H692" s="132"/>
    </row>
    <row r="693" spans="1:8" s="1" customFormat="1" ht="47.25" hidden="1" customHeight="1" x14ac:dyDescent="0.25">
      <c r="A693" s="24" t="s">
        <v>635</v>
      </c>
      <c r="B693" s="28" t="s">
        <v>505</v>
      </c>
      <c r="C693" s="28" t="s">
        <v>251</v>
      </c>
      <c r="D693" s="28" t="s">
        <v>116</v>
      </c>
      <c r="E693" s="48"/>
      <c r="F693" s="48"/>
      <c r="G693" s="10">
        <f>G694</f>
        <v>0</v>
      </c>
      <c r="H693" s="132"/>
    </row>
    <row r="694" spans="1:8" s="1" customFormat="1" ht="31.7" hidden="1" customHeight="1" x14ac:dyDescent="0.25">
      <c r="A694" s="19" t="s">
        <v>191</v>
      </c>
      <c r="B694" s="28" t="s">
        <v>505</v>
      </c>
      <c r="C694" s="28" t="s">
        <v>251</v>
      </c>
      <c r="D694" s="28" t="s">
        <v>116</v>
      </c>
      <c r="E694" s="28" t="s">
        <v>192</v>
      </c>
      <c r="F694" s="48"/>
      <c r="G694" s="10">
        <f>G695</f>
        <v>0</v>
      </c>
      <c r="H694" s="132"/>
    </row>
    <row r="695" spans="1:8" s="1" customFormat="1" ht="15.75" hidden="1" customHeight="1" x14ac:dyDescent="0.25">
      <c r="A695" s="19" t="s">
        <v>193</v>
      </c>
      <c r="B695" s="28" t="s">
        <v>505</v>
      </c>
      <c r="C695" s="28" t="s">
        <v>251</v>
      </c>
      <c r="D695" s="28" t="s">
        <v>116</v>
      </c>
      <c r="E695" s="28" t="s">
        <v>194</v>
      </c>
      <c r="F695" s="48"/>
      <c r="G695" s="10"/>
      <c r="H695" s="132"/>
    </row>
    <row r="696" spans="1:8" s="1" customFormat="1" ht="31.7" hidden="1" customHeight="1" x14ac:dyDescent="0.25">
      <c r="A696" s="31" t="s">
        <v>248</v>
      </c>
      <c r="B696" s="28" t="s">
        <v>505</v>
      </c>
      <c r="C696" s="28" t="s">
        <v>251</v>
      </c>
      <c r="D696" s="28" t="s">
        <v>116</v>
      </c>
      <c r="E696" s="28" t="s">
        <v>194</v>
      </c>
      <c r="F696" s="2">
        <v>907</v>
      </c>
      <c r="G696" s="10">
        <f>G695</f>
        <v>0</v>
      </c>
      <c r="H696" s="132"/>
    </row>
    <row r="697" spans="1:8" ht="37.5" customHeight="1" x14ac:dyDescent="0.25">
      <c r="A697" s="29" t="s">
        <v>864</v>
      </c>
      <c r="B697" s="7" t="s">
        <v>273</v>
      </c>
      <c r="C697" s="2"/>
      <c r="D697" s="2"/>
      <c r="E697" s="2"/>
      <c r="F697" s="2"/>
      <c r="G697" s="38">
        <f>G698+G705+G745+G756+G763</f>
        <v>8881.4599999999991</v>
      </c>
      <c r="H697" s="132">
        <v>4921.6000000000004</v>
      </c>
    </row>
    <row r="698" spans="1:8" s="131" customFormat="1" ht="47.25" hidden="1" x14ac:dyDescent="0.25">
      <c r="A698" s="17" t="s">
        <v>918</v>
      </c>
      <c r="B698" s="7" t="s">
        <v>800</v>
      </c>
      <c r="C698" s="7"/>
      <c r="D698" s="7"/>
      <c r="E698" s="3"/>
      <c r="F698" s="3"/>
      <c r="G698" s="38">
        <f>G699</f>
        <v>0</v>
      </c>
      <c r="H698" s="132"/>
    </row>
    <row r="699" spans="1:8" ht="15.75" hidden="1" x14ac:dyDescent="0.25">
      <c r="A699" s="48" t="s">
        <v>231</v>
      </c>
      <c r="B699" s="28" t="s">
        <v>800</v>
      </c>
      <c r="C699" s="28" t="s">
        <v>168</v>
      </c>
      <c r="D699" s="28"/>
      <c r="E699" s="2"/>
      <c r="F699" s="2"/>
      <c r="G699" s="10">
        <f>G700</f>
        <v>0</v>
      </c>
    </row>
    <row r="700" spans="1:8" ht="15.75" hidden="1" x14ac:dyDescent="0.25">
      <c r="A700" s="48" t="s">
        <v>272</v>
      </c>
      <c r="B700" s="28" t="s">
        <v>800</v>
      </c>
      <c r="C700" s="28" t="s">
        <v>168</v>
      </c>
      <c r="D700" s="28" t="s">
        <v>159</v>
      </c>
      <c r="E700" s="2"/>
      <c r="F700" s="2"/>
      <c r="G700" s="10">
        <f>G701</f>
        <v>0</v>
      </c>
    </row>
    <row r="701" spans="1:8" s="131" customFormat="1" ht="31.5" hidden="1" x14ac:dyDescent="0.25">
      <c r="A701" s="213" t="s">
        <v>919</v>
      </c>
      <c r="B701" s="15" t="s">
        <v>909</v>
      </c>
      <c r="C701" s="28" t="s">
        <v>168</v>
      </c>
      <c r="D701" s="28" t="s">
        <v>159</v>
      </c>
      <c r="E701" s="2"/>
      <c r="F701" s="2"/>
      <c r="G701" s="10">
        <f>G702</f>
        <v>0</v>
      </c>
      <c r="H701" s="132"/>
    </row>
    <row r="702" spans="1:8" s="131" customFormat="1" ht="31.5" hidden="1" x14ac:dyDescent="0.25">
      <c r="A702" s="19" t="s">
        <v>123</v>
      </c>
      <c r="B702" s="15" t="s">
        <v>909</v>
      </c>
      <c r="C702" s="28" t="s">
        <v>168</v>
      </c>
      <c r="D702" s="28" t="s">
        <v>159</v>
      </c>
      <c r="E702" s="2">
        <v>200</v>
      </c>
      <c r="F702" s="2"/>
      <c r="G702" s="10">
        <f>G703</f>
        <v>0</v>
      </c>
      <c r="H702" s="132"/>
    </row>
    <row r="703" spans="1:8" s="131" customFormat="1" ht="31.5" hidden="1" x14ac:dyDescent="0.25">
      <c r="A703" s="19" t="s">
        <v>125</v>
      </c>
      <c r="B703" s="15" t="s">
        <v>909</v>
      </c>
      <c r="C703" s="28" t="s">
        <v>168</v>
      </c>
      <c r="D703" s="28" t="s">
        <v>159</v>
      </c>
      <c r="E703" s="2">
        <v>240</v>
      </c>
      <c r="F703" s="2"/>
      <c r="G703" s="10">
        <f>'Пр.4 ведом.22'!G1088</f>
        <v>0</v>
      </c>
      <c r="H703" s="132"/>
    </row>
    <row r="704" spans="1:8" s="131" customFormat="1" ht="31.5" hidden="1" x14ac:dyDescent="0.25">
      <c r="A704" s="31" t="s">
        <v>302</v>
      </c>
      <c r="B704" s="15" t="s">
        <v>909</v>
      </c>
      <c r="C704" s="28" t="s">
        <v>168</v>
      </c>
      <c r="D704" s="28" t="s">
        <v>159</v>
      </c>
      <c r="E704" s="2">
        <v>240</v>
      </c>
      <c r="F704" s="2">
        <v>908</v>
      </c>
      <c r="G704" s="10">
        <f>G701</f>
        <v>0</v>
      </c>
      <c r="H704" s="132"/>
    </row>
    <row r="705" spans="1:8" s="131" customFormat="1" ht="31.5" x14ac:dyDescent="0.25">
      <c r="A705" s="17" t="s">
        <v>921</v>
      </c>
      <c r="B705" s="7" t="s">
        <v>801</v>
      </c>
      <c r="C705" s="28"/>
      <c r="D705" s="28"/>
      <c r="E705" s="2"/>
      <c r="F705" s="2"/>
      <c r="G705" s="38">
        <f>G706</f>
        <v>2248.02</v>
      </c>
      <c r="H705" s="132"/>
    </row>
    <row r="706" spans="1:8" s="131" customFormat="1" ht="15.75" x14ac:dyDescent="0.25">
      <c r="A706" s="48" t="s">
        <v>231</v>
      </c>
      <c r="B706" s="28" t="s">
        <v>801</v>
      </c>
      <c r="C706" s="28"/>
      <c r="D706" s="28"/>
      <c r="E706" s="2"/>
      <c r="F706" s="2"/>
      <c r="G706" s="10">
        <f>G707</f>
        <v>2248.02</v>
      </c>
      <c r="H706" s="132"/>
    </row>
    <row r="707" spans="1:8" s="131" customFormat="1" ht="15.75" x14ac:dyDescent="0.25">
      <c r="A707" s="48" t="s">
        <v>272</v>
      </c>
      <c r="B707" s="28" t="s">
        <v>801</v>
      </c>
      <c r="C707" s="28"/>
      <c r="D707" s="28"/>
      <c r="E707" s="2"/>
      <c r="F707" s="2"/>
      <c r="G707" s="10">
        <f>G708+G712+G722+G726+G730+G737+G741</f>
        <v>2248.02</v>
      </c>
      <c r="H707" s="132"/>
    </row>
    <row r="708" spans="1:8" ht="15.75" customHeight="1" x14ac:dyDescent="0.25">
      <c r="A708" s="19" t="s">
        <v>274</v>
      </c>
      <c r="B708" s="15" t="s">
        <v>917</v>
      </c>
      <c r="C708" s="28" t="s">
        <v>168</v>
      </c>
      <c r="D708" s="28" t="s">
        <v>159</v>
      </c>
      <c r="E708" s="2"/>
      <c r="F708" s="2"/>
      <c r="G708" s="10">
        <f t="shared" ref="G708:G709" si="48">G709</f>
        <v>365</v>
      </c>
    </row>
    <row r="709" spans="1:8" ht="41.25" customHeight="1" x14ac:dyDescent="0.25">
      <c r="A709" s="19" t="s">
        <v>123</v>
      </c>
      <c r="B709" s="15" t="s">
        <v>917</v>
      </c>
      <c r="C709" s="28" t="s">
        <v>168</v>
      </c>
      <c r="D709" s="28" t="s">
        <v>159</v>
      </c>
      <c r="E709" s="2">
        <v>200</v>
      </c>
      <c r="F709" s="2"/>
      <c r="G709" s="10">
        <f t="shared" si="48"/>
        <v>365</v>
      </c>
    </row>
    <row r="710" spans="1:8" ht="31.7" customHeight="1" x14ac:dyDescent="0.25">
      <c r="A710" s="19" t="s">
        <v>125</v>
      </c>
      <c r="B710" s="15" t="s">
        <v>917</v>
      </c>
      <c r="C710" s="28" t="s">
        <v>168</v>
      </c>
      <c r="D710" s="28" t="s">
        <v>159</v>
      </c>
      <c r="E710" s="2">
        <v>240</v>
      </c>
      <c r="F710" s="2"/>
      <c r="G710" s="10">
        <f>'Пр.4 ведом.22'!G1092</f>
        <v>365</v>
      </c>
    </row>
    <row r="711" spans="1:8" s="131" customFormat="1" ht="31.7" customHeight="1" x14ac:dyDescent="0.25">
      <c r="A711" s="31" t="s">
        <v>302</v>
      </c>
      <c r="B711" s="15" t="s">
        <v>917</v>
      </c>
      <c r="C711" s="28" t="s">
        <v>168</v>
      </c>
      <c r="D711" s="28" t="s">
        <v>159</v>
      </c>
      <c r="E711" s="2">
        <v>240</v>
      </c>
      <c r="F711" s="2">
        <v>908</v>
      </c>
      <c r="G711" s="10">
        <f>G710</f>
        <v>365</v>
      </c>
      <c r="H711" s="132"/>
    </row>
    <row r="712" spans="1:8" ht="17.45" customHeight="1" x14ac:dyDescent="0.25">
      <c r="A712" s="19" t="s">
        <v>275</v>
      </c>
      <c r="B712" s="15" t="s">
        <v>908</v>
      </c>
      <c r="C712" s="28" t="s">
        <v>168</v>
      </c>
      <c r="D712" s="28" t="s">
        <v>159</v>
      </c>
      <c r="E712" s="2"/>
      <c r="F712" s="2"/>
      <c r="G712" s="10">
        <f>G713+G716+G719</f>
        <v>1408.02</v>
      </c>
    </row>
    <row r="713" spans="1:8" ht="31.5" x14ac:dyDescent="0.25">
      <c r="A713" s="19" t="s">
        <v>123</v>
      </c>
      <c r="B713" s="15" t="s">
        <v>908</v>
      </c>
      <c r="C713" s="28" t="s">
        <v>168</v>
      </c>
      <c r="D713" s="28" t="s">
        <v>159</v>
      </c>
      <c r="E713" s="2">
        <v>200</v>
      </c>
      <c r="F713" s="2"/>
      <c r="G713" s="10">
        <f t="shared" ref="G713" si="49">G714</f>
        <v>1408.02</v>
      </c>
    </row>
    <row r="714" spans="1:8" ht="31.5" x14ac:dyDescent="0.25">
      <c r="A714" s="19" t="s">
        <v>125</v>
      </c>
      <c r="B714" s="15" t="s">
        <v>908</v>
      </c>
      <c r="C714" s="28" t="s">
        <v>168</v>
      </c>
      <c r="D714" s="28" t="s">
        <v>159</v>
      </c>
      <c r="E714" s="2">
        <v>240</v>
      </c>
      <c r="F714" s="2"/>
      <c r="G714" s="10">
        <f>'Пр.4 ведом.22'!G1095</f>
        <v>1408.02</v>
      </c>
    </row>
    <row r="715" spans="1:8" s="131" customFormat="1" ht="37.5" customHeight="1" x14ac:dyDescent="0.25">
      <c r="A715" s="31" t="s">
        <v>302</v>
      </c>
      <c r="B715" s="15" t="s">
        <v>908</v>
      </c>
      <c r="C715" s="28" t="s">
        <v>168</v>
      </c>
      <c r="D715" s="28" t="s">
        <v>159</v>
      </c>
      <c r="E715" s="2">
        <v>240</v>
      </c>
      <c r="F715" s="2">
        <v>908</v>
      </c>
      <c r="G715" s="10">
        <f>G714</f>
        <v>1408.02</v>
      </c>
      <c r="H715" s="132"/>
    </row>
    <row r="716" spans="1:8" ht="15.75" hidden="1" x14ac:dyDescent="0.25">
      <c r="A716" s="19" t="s">
        <v>127</v>
      </c>
      <c r="B716" s="15" t="s">
        <v>908</v>
      </c>
      <c r="C716" s="28" t="s">
        <v>168</v>
      </c>
      <c r="D716" s="28" t="s">
        <v>159</v>
      </c>
      <c r="E716" s="2">
        <v>800</v>
      </c>
      <c r="F716" s="2"/>
      <c r="G716" s="10">
        <f>G717</f>
        <v>0</v>
      </c>
    </row>
    <row r="717" spans="1:8" s="131" customFormat="1" ht="47.25" hidden="1" x14ac:dyDescent="0.25">
      <c r="A717" s="19" t="s">
        <v>413</v>
      </c>
      <c r="B717" s="15" t="s">
        <v>908</v>
      </c>
      <c r="C717" s="28" t="s">
        <v>168</v>
      </c>
      <c r="D717" s="28" t="s">
        <v>159</v>
      </c>
      <c r="E717" s="2">
        <v>830</v>
      </c>
      <c r="F717" s="2"/>
      <c r="G717" s="10">
        <f>'Пр.3 Рд,пр, ЦС,ВР 22'!F432</f>
        <v>0</v>
      </c>
      <c r="H717" s="132"/>
    </row>
    <row r="718" spans="1:8" s="131" customFormat="1" ht="31.5" hidden="1" x14ac:dyDescent="0.25">
      <c r="A718" s="31" t="s">
        <v>302</v>
      </c>
      <c r="B718" s="15" t="s">
        <v>908</v>
      </c>
      <c r="C718" s="28" t="s">
        <v>168</v>
      </c>
      <c r="D718" s="28" t="s">
        <v>159</v>
      </c>
      <c r="E718" s="2">
        <v>830</v>
      </c>
      <c r="F718" s="2">
        <v>908</v>
      </c>
      <c r="G718" s="10">
        <f>G717</f>
        <v>0</v>
      </c>
      <c r="H718" s="132"/>
    </row>
    <row r="719" spans="1:8" s="131" customFormat="1" ht="15.75" hidden="1" x14ac:dyDescent="0.25">
      <c r="A719" s="19" t="s">
        <v>127</v>
      </c>
      <c r="B719" s="15" t="s">
        <v>908</v>
      </c>
      <c r="C719" s="28" t="s">
        <v>168</v>
      </c>
      <c r="D719" s="28" t="s">
        <v>159</v>
      </c>
      <c r="E719" s="2">
        <v>800</v>
      </c>
      <c r="F719" s="2"/>
      <c r="G719" s="10">
        <f>G720</f>
        <v>0</v>
      </c>
      <c r="H719" s="132"/>
    </row>
    <row r="720" spans="1:8" ht="15.75" hidden="1" x14ac:dyDescent="0.25">
      <c r="A720" s="19" t="s">
        <v>631</v>
      </c>
      <c r="B720" s="15" t="s">
        <v>908</v>
      </c>
      <c r="C720" s="28" t="s">
        <v>168</v>
      </c>
      <c r="D720" s="28" t="s">
        <v>159</v>
      </c>
      <c r="E720" s="2">
        <v>850</v>
      </c>
      <c r="F720" s="2"/>
      <c r="G720" s="10">
        <f>'Пр.3 Рд,пр, ЦС,ВР 22'!F433</f>
        <v>0</v>
      </c>
    </row>
    <row r="721" spans="1:8" s="131" customFormat="1" ht="31.5" hidden="1" x14ac:dyDescent="0.25">
      <c r="A721" s="31" t="s">
        <v>302</v>
      </c>
      <c r="B721" s="15" t="s">
        <v>908</v>
      </c>
      <c r="C721" s="28" t="s">
        <v>168</v>
      </c>
      <c r="D721" s="28" t="s">
        <v>159</v>
      </c>
      <c r="E721" s="2">
        <v>850</v>
      </c>
      <c r="F721" s="2">
        <v>908</v>
      </c>
      <c r="G721" s="10">
        <f>G720</f>
        <v>0</v>
      </c>
      <c r="H721" s="132"/>
    </row>
    <row r="722" spans="1:8" ht="15.75" hidden="1" x14ac:dyDescent="0.25">
      <c r="A722" s="19" t="s">
        <v>276</v>
      </c>
      <c r="B722" s="15" t="s">
        <v>813</v>
      </c>
      <c r="C722" s="28" t="s">
        <v>168</v>
      </c>
      <c r="D722" s="28" t="s">
        <v>159</v>
      </c>
      <c r="E722" s="2"/>
      <c r="F722" s="2"/>
      <c r="G722" s="10">
        <f t="shared" ref="G722" si="50">G723</f>
        <v>0</v>
      </c>
    </row>
    <row r="723" spans="1:8" ht="31.5" hidden="1" x14ac:dyDescent="0.25">
      <c r="A723" s="19" t="s">
        <v>123</v>
      </c>
      <c r="B723" s="15" t="s">
        <v>813</v>
      </c>
      <c r="C723" s="28" t="s">
        <v>168</v>
      </c>
      <c r="D723" s="28" t="s">
        <v>159</v>
      </c>
      <c r="E723" s="2">
        <v>200</v>
      </c>
      <c r="F723" s="2"/>
      <c r="G723" s="10">
        <f>G724</f>
        <v>0</v>
      </c>
    </row>
    <row r="724" spans="1:8" ht="31.5" hidden="1" x14ac:dyDescent="0.25">
      <c r="A724" s="19" t="s">
        <v>125</v>
      </c>
      <c r="B724" s="15" t="s">
        <v>813</v>
      </c>
      <c r="C724" s="28" t="s">
        <v>168</v>
      </c>
      <c r="D724" s="28" t="s">
        <v>159</v>
      </c>
      <c r="E724" s="2">
        <v>240</v>
      </c>
      <c r="F724" s="2"/>
      <c r="G724" s="10">
        <f>'Пр.4 ведом.22'!G1101</f>
        <v>0</v>
      </c>
    </row>
    <row r="725" spans="1:8" ht="37.5" hidden="1" customHeight="1" x14ac:dyDescent="0.25">
      <c r="A725" s="31" t="s">
        <v>302</v>
      </c>
      <c r="B725" s="15" t="s">
        <v>813</v>
      </c>
      <c r="C725" s="28" t="s">
        <v>168</v>
      </c>
      <c r="D725" s="28" t="s">
        <v>159</v>
      </c>
      <c r="E725" s="2">
        <v>240</v>
      </c>
      <c r="F725" s="2">
        <v>908</v>
      </c>
      <c r="G725" s="10">
        <f>G724</f>
        <v>0</v>
      </c>
    </row>
    <row r="726" spans="1:8" ht="15.75" x14ac:dyDescent="0.25">
      <c r="A726" s="19" t="s">
        <v>277</v>
      </c>
      <c r="B726" s="15" t="s">
        <v>802</v>
      </c>
      <c r="C726" s="28" t="s">
        <v>168</v>
      </c>
      <c r="D726" s="28" t="s">
        <v>159</v>
      </c>
      <c r="E726" s="2"/>
      <c r="F726" s="2"/>
      <c r="G726" s="10">
        <f t="shared" ref="G726:G727" si="51">G727</f>
        <v>50</v>
      </c>
    </row>
    <row r="727" spans="1:8" ht="31.5" x14ac:dyDescent="0.25">
      <c r="A727" s="19" t="s">
        <v>123</v>
      </c>
      <c r="B727" s="15" t="s">
        <v>802</v>
      </c>
      <c r="C727" s="28" t="s">
        <v>168</v>
      </c>
      <c r="D727" s="28" t="s">
        <v>159</v>
      </c>
      <c r="E727" s="2">
        <v>200</v>
      </c>
      <c r="F727" s="2"/>
      <c r="G727" s="10">
        <f t="shared" si="51"/>
        <v>50</v>
      </c>
    </row>
    <row r="728" spans="1:8" ht="31.5" x14ac:dyDescent="0.25">
      <c r="A728" s="19" t="s">
        <v>125</v>
      </c>
      <c r="B728" s="15" t="s">
        <v>802</v>
      </c>
      <c r="C728" s="28" t="s">
        <v>168</v>
      </c>
      <c r="D728" s="28" t="s">
        <v>159</v>
      </c>
      <c r="E728" s="2">
        <v>240</v>
      </c>
      <c r="F728" s="2"/>
      <c r="G728" s="10">
        <f>'Пр.4 ведом.22'!G1104</f>
        <v>50</v>
      </c>
    </row>
    <row r="729" spans="1:8" s="131" customFormat="1" ht="39.200000000000003" customHeight="1" x14ac:dyDescent="0.25">
      <c r="A729" s="31" t="s">
        <v>302</v>
      </c>
      <c r="B729" s="15" t="s">
        <v>802</v>
      </c>
      <c r="C729" s="28" t="s">
        <v>168</v>
      </c>
      <c r="D729" s="28" t="s">
        <v>159</v>
      </c>
      <c r="E729" s="2">
        <v>240</v>
      </c>
      <c r="F729" s="2">
        <v>908</v>
      </c>
      <c r="G729" s="10">
        <f>G728</f>
        <v>50</v>
      </c>
      <c r="H729" s="132"/>
    </row>
    <row r="730" spans="1:8" ht="31.5" x14ac:dyDescent="0.25">
      <c r="A730" s="212" t="s">
        <v>920</v>
      </c>
      <c r="B730" s="15" t="s">
        <v>803</v>
      </c>
      <c r="C730" s="28" t="s">
        <v>168</v>
      </c>
      <c r="D730" s="28" t="s">
        <v>159</v>
      </c>
      <c r="E730" s="2"/>
      <c r="F730" s="2"/>
      <c r="G730" s="10">
        <f>G731+G734</f>
        <v>375</v>
      </c>
    </row>
    <row r="731" spans="1:8" ht="31.5" x14ac:dyDescent="0.25">
      <c r="A731" s="19" t="s">
        <v>123</v>
      </c>
      <c r="B731" s="15" t="s">
        <v>803</v>
      </c>
      <c r="C731" s="28" t="s">
        <v>168</v>
      </c>
      <c r="D731" s="28" t="s">
        <v>159</v>
      </c>
      <c r="E731" s="2">
        <v>200</v>
      </c>
      <c r="F731" s="2"/>
      <c r="G731" s="10">
        <f t="shared" ref="G731" si="52">G732</f>
        <v>375</v>
      </c>
    </row>
    <row r="732" spans="1:8" ht="31.5" x14ac:dyDescent="0.25">
      <c r="A732" s="19" t="s">
        <v>125</v>
      </c>
      <c r="B732" s="15" t="s">
        <v>803</v>
      </c>
      <c r="C732" s="28" t="s">
        <v>168</v>
      </c>
      <c r="D732" s="28" t="s">
        <v>159</v>
      </c>
      <c r="E732" s="2">
        <v>240</v>
      </c>
      <c r="F732" s="2"/>
      <c r="G732" s="10">
        <f>'Пр.4 ведом.22'!G1107</f>
        <v>375</v>
      </c>
    </row>
    <row r="733" spans="1:8" s="131" customFormat="1" ht="42" customHeight="1" x14ac:dyDescent="0.25">
      <c r="A733" s="31" t="s">
        <v>302</v>
      </c>
      <c r="B733" s="15" t="s">
        <v>803</v>
      </c>
      <c r="C733" s="28" t="s">
        <v>168</v>
      </c>
      <c r="D733" s="28" t="s">
        <v>159</v>
      </c>
      <c r="E733" s="2">
        <v>240</v>
      </c>
      <c r="F733" s="2">
        <v>908</v>
      </c>
      <c r="G733" s="10">
        <f>G732</f>
        <v>375</v>
      </c>
      <c r="H733" s="132"/>
    </row>
    <row r="734" spans="1:8" s="131" customFormat="1" ht="15.75" hidden="1" x14ac:dyDescent="0.25">
      <c r="A734" s="22" t="s">
        <v>127</v>
      </c>
      <c r="B734" s="15" t="s">
        <v>803</v>
      </c>
      <c r="C734" s="28" t="s">
        <v>168</v>
      </c>
      <c r="D734" s="28" t="s">
        <v>159</v>
      </c>
      <c r="E734" s="2">
        <v>800</v>
      </c>
      <c r="F734" s="2"/>
      <c r="G734" s="10">
        <f>G735</f>
        <v>0</v>
      </c>
      <c r="H734" s="132"/>
    </row>
    <row r="735" spans="1:8" s="131" customFormat="1" ht="15.75" hidden="1" x14ac:dyDescent="0.25">
      <c r="A735" s="19" t="s">
        <v>338</v>
      </c>
      <c r="B735" s="15" t="s">
        <v>803</v>
      </c>
      <c r="C735" s="28" t="s">
        <v>168</v>
      </c>
      <c r="D735" s="28" t="s">
        <v>159</v>
      </c>
      <c r="E735" s="2">
        <v>850</v>
      </c>
      <c r="F735" s="2"/>
      <c r="G735" s="10">
        <f>'Пр.4 ведом.22'!G1109</f>
        <v>0</v>
      </c>
      <c r="H735" s="132"/>
    </row>
    <row r="736" spans="1:8" s="131" customFormat="1" ht="31.5" x14ac:dyDescent="0.25">
      <c r="A736" s="31" t="s">
        <v>302</v>
      </c>
      <c r="B736" s="15" t="s">
        <v>803</v>
      </c>
      <c r="C736" s="28" t="s">
        <v>168</v>
      </c>
      <c r="D736" s="28" t="s">
        <v>159</v>
      </c>
      <c r="E736" s="2">
        <v>850</v>
      </c>
      <c r="F736" s="2">
        <v>908</v>
      </c>
      <c r="G736" s="10">
        <f>G735</f>
        <v>0</v>
      </c>
      <c r="H736" s="132"/>
    </row>
    <row r="737" spans="1:8" ht="15.75" hidden="1" customHeight="1" x14ac:dyDescent="0.25">
      <c r="A737" s="31" t="s">
        <v>278</v>
      </c>
      <c r="B737" s="15" t="s">
        <v>804</v>
      </c>
      <c r="C737" s="28" t="s">
        <v>168</v>
      </c>
      <c r="D737" s="28" t="s">
        <v>159</v>
      </c>
      <c r="E737" s="2"/>
      <c r="F737" s="2"/>
      <c r="G737" s="10">
        <f t="shared" ref="G737:G738" si="53">G738</f>
        <v>0</v>
      </c>
    </row>
    <row r="738" spans="1:8" ht="31.7" hidden="1" customHeight="1" x14ac:dyDescent="0.25">
      <c r="A738" s="19" t="s">
        <v>123</v>
      </c>
      <c r="B738" s="15" t="s">
        <v>804</v>
      </c>
      <c r="C738" s="28" t="s">
        <v>168</v>
      </c>
      <c r="D738" s="28" t="s">
        <v>159</v>
      </c>
      <c r="E738" s="2">
        <v>200</v>
      </c>
      <c r="F738" s="2"/>
      <c r="G738" s="10">
        <f t="shared" si="53"/>
        <v>0</v>
      </c>
    </row>
    <row r="739" spans="1:8" ht="31.7" hidden="1" customHeight="1" x14ac:dyDescent="0.25">
      <c r="A739" s="19" t="s">
        <v>125</v>
      </c>
      <c r="B739" s="15" t="s">
        <v>804</v>
      </c>
      <c r="C739" s="28" t="s">
        <v>168</v>
      </c>
      <c r="D739" s="28" t="s">
        <v>159</v>
      </c>
      <c r="E739" s="2">
        <v>240</v>
      </c>
      <c r="F739" s="2"/>
      <c r="G739" s="10">
        <f>'Пр.3 Рд,пр, ЦС,ВР 22'!F447</f>
        <v>0</v>
      </c>
    </row>
    <row r="740" spans="1:8" ht="31.5" hidden="1" x14ac:dyDescent="0.25">
      <c r="A740" s="31" t="s">
        <v>302</v>
      </c>
      <c r="B740" s="15" t="s">
        <v>804</v>
      </c>
      <c r="C740" s="28" t="s">
        <v>168</v>
      </c>
      <c r="D740" s="28" t="s">
        <v>159</v>
      </c>
      <c r="E740" s="2">
        <v>850</v>
      </c>
      <c r="F740" s="2">
        <v>908</v>
      </c>
      <c r="G740" s="10">
        <f>G739</f>
        <v>0</v>
      </c>
    </row>
    <row r="741" spans="1:8" s="131" customFormat="1" ht="31.5" x14ac:dyDescent="0.25">
      <c r="A741" s="153" t="s">
        <v>642</v>
      </c>
      <c r="B741" s="15" t="s">
        <v>805</v>
      </c>
      <c r="C741" s="28" t="s">
        <v>168</v>
      </c>
      <c r="D741" s="28" t="s">
        <v>159</v>
      </c>
      <c r="E741" s="2"/>
      <c r="F741" s="2"/>
      <c r="G741" s="10">
        <f>G742</f>
        <v>50</v>
      </c>
      <c r="H741" s="132"/>
    </row>
    <row r="742" spans="1:8" s="131" customFormat="1" ht="31.5" x14ac:dyDescent="0.25">
      <c r="A742" s="19" t="s">
        <v>123</v>
      </c>
      <c r="B742" s="15" t="s">
        <v>805</v>
      </c>
      <c r="C742" s="28" t="s">
        <v>168</v>
      </c>
      <c r="D742" s="28" t="s">
        <v>159</v>
      </c>
      <c r="E742" s="2">
        <v>200</v>
      </c>
      <c r="F742" s="2"/>
      <c r="G742" s="10">
        <f>G743</f>
        <v>50</v>
      </c>
      <c r="H742" s="132"/>
    </row>
    <row r="743" spans="1:8" s="131" customFormat="1" ht="31.5" x14ac:dyDescent="0.25">
      <c r="A743" s="19" t="s">
        <v>125</v>
      </c>
      <c r="B743" s="15" t="s">
        <v>805</v>
      </c>
      <c r="C743" s="28" t="s">
        <v>168</v>
      </c>
      <c r="D743" s="28" t="s">
        <v>159</v>
      </c>
      <c r="E743" s="2">
        <v>240</v>
      </c>
      <c r="F743" s="2"/>
      <c r="G743" s="10">
        <f>'Пр.4 ведом.22'!G1115</f>
        <v>50</v>
      </c>
      <c r="H743" s="132"/>
    </row>
    <row r="744" spans="1:8" s="131" customFormat="1" ht="36.75" customHeight="1" x14ac:dyDescent="0.25">
      <c r="A744" s="31" t="s">
        <v>302</v>
      </c>
      <c r="B744" s="15" t="s">
        <v>805</v>
      </c>
      <c r="C744" s="28" t="s">
        <v>168</v>
      </c>
      <c r="D744" s="28" t="s">
        <v>159</v>
      </c>
      <c r="E744" s="2">
        <v>240</v>
      </c>
      <c r="F744" s="2">
        <v>908</v>
      </c>
      <c r="G744" s="10">
        <f>G743</f>
        <v>50</v>
      </c>
      <c r="H744" s="132"/>
    </row>
    <row r="745" spans="1:8" s="131" customFormat="1" ht="31.5" x14ac:dyDescent="0.25">
      <c r="A745" s="17" t="s">
        <v>464</v>
      </c>
      <c r="B745" s="18" t="s">
        <v>812</v>
      </c>
      <c r="C745" s="7"/>
      <c r="D745" s="7"/>
      <c r="E745" s="3"/>
      <c r="F745" s="3"/>
      <c r="G745" s="38">
        <f>G746</f>
        <v>2145.8000000000002</v>
      </c>
      <c r="H745" s="132"/>
    </row>
    <row r="746" spans="1:8" s="131" customFormat="1" ht="15.75" x14ac:dyDescent="0.25">
      <c r="A746" s="48" t="s">
        <v>231</v>
      </c>
      <c r="B746" s="15" t="s">
        <v>812</v>
      </c>
      <c r="C746" s="28" t="s">
        <v>168</v>
      </c>
      <c r="D746" s="28"/>
      <c r="E746" s="2"/>
      <c r="F746" s="2"/>
      <c r="G746" s="10">
        <f t="shared" ref="G746" si="54">G747</f>
        <v>2145.8000000000002</v>
      </c>
      <c r="H746" s="132"/>
    </row>
    <row r="747" spans="1:8" s="131" customFormat="1" ht="15.75" x14ac:dyDescent="0.25">
      <c r="A747" s="48" t="s">
        <v>272</v>
      </c>
      <c r="B747" s="15" t="s">
        <v>812</v>
      </c>
      <c r="C747" s="28" t="s">
        <v>168</v>
      </c>
      <c r="D747" s="28" t="s">
        <v>159</v>
      </c>
      <c r="E747" s="2"/>
      <c r="F747" s="2"/>
      <c r="G747" s="10">
        <f>G748+G752</f>
        <v>2145.8000000000002</v>
      </c>
      <c r="H747" s="132"/>
    </row>
    <row r="748" spans="1:8" s="131" customFormat="1" ht="31.5" hidden="1" x14ac:dyDescent="0.25">
      <c r="A748" s="19" t="s">
        <v>332</v>
      </c>
      <c r="B748" s="15" t="s">
        <v>834</v>
      </c>
      <c r="C748" s="28" t="s">
        <v>168</v>
      </c>
      <c r="D748" s="28" t="s">
        <v>159</v>
      </c>
      <c r="E748" s="2"/>
      <c r="F748" s="2"/>
      <c r="G748" s="10">
        <f>G749</f>
        <v>0</v>
      </c>
      <c r="H748" s="132"/>
    </row>
    <row r="749" spans="1:8" s="131" customFormat="1" ht="31.5" hidden="1" x14ac:dyDescent="0.25">
      <c r="A749" s="19" t="s">
        <v>123</v>
      </c>
      <c r="B749" s="15" t="s">
        <v>834</v>
      </c>
      <c r="C749" s="28" t="s">
        <v>168</v>
      </c>
      <c r="D749" s="28" t="s">
        <v>159</v>
      </c>
      <c r="E749" s="15" t="s">
        <v>124</v>
      </c>
      <c r="F749" s="2"/>
      <c r="G749" s="10">
        <f>G750</f>
        <v>0</v>
      </c>
      <c r="H749" s="132"/>
    </row>
    <row r="750" spans="1:8" s="131" customFormat="1" ht="31.5" hidden="1" x14ac:dyDescent="0.25">
      <c r="A750" s="19" t="s">
        <v>125</v>
      </c>
      <c r="B750" s="15" t="s">
        <v>834</v>
      </c>
      <c r="C750" s="28" t="s">
        <v>168</v>
      </c>
      <c r="D750" s="28" t="s">
        <v>159</v>
      </c>
      <c r="E750" s="15" t="s">
        <v>126</v>
      </c>
      <c r="F750" s="2"/>
      <c r="G750" s="10">
        <f>'Пр.3 Рд,пр, ЦС,ВР 22'!F454</f>
        <v>0</v>
      </c>
      <c r="H750" s="132"/>
    </row>
    <row r="751" spans="1:8" s="131" customFormat="1" ht="31.5" hidden="1" x14ac:dyDescent="0.25">
      <c r="A751" s="31" t="s">
        <v>302</v>
      </c>
      <c r="B751" s="15" t="s">
        <v>834</v>
      </c>
      <c r="C751" s="28" t="s">
        <v>168</v>
      </c>
      <c r="D751" s="28" t="s">
        <v>159</v>
      </c>
      <c r="E751" s="15" t="s">
        <v>126</v>
      </c>
      <c r="F751" s="2">
        <v>908</v>
      </c>
      <c r="G751" s="10">
        <f>G750</f>
        <v>0</v>
      </c>
      <c r="H751" s="132"/>
    </row>
    <row r="752" spans="1:8" s="131" customFormat="1" ht="63" x14ac:dyDescent="0.25">
      <c r="A752" s="19" t="s">
        <v>627</v>
      </c>
      <c r="B752" s="15" t="s">
        <v>811</v>
      </c>
      <c r="C752" s="28" t="s">
        <v>168</v>
      </c>
      <c r="D752" s="28" t="s">
        <v>159</v>
      </c>
      <c r="E752" s="15"/>
      <c r="F752" s="2"/>
      <c r="G752" s="10">
        <f>G753</f>
        <v>2145.8000000000002</v>
      </c>
      <c r="H752" s="132"/>
    </row>
    <row r="753" spans="1:8" s="131" customFormat="1" ht="31.5" x14ac:dyDescent="0.25">
      <c r="A753" s="19" t="s">
        <v>123</v>
      </c>
      <c r="B753" s="15" t="s">
        <v>811</v>
      </c>
      <c r="C753" s="28" t="s">
        <v>168</v>
      </c>
      <c r="D753" s="28" t="s">
        <v>159</v>
      </c>
      <c r="E753" s="15" t="s">
        <v>124</v>
      </c>
      <c r="F753" s="2"/>
      <c r="G753" s="10">
        <f>G754</f>
        <v>2145.8000000000002</v>
      </c>
      <c r="H753" s="132"/>
    </row>
    <row r="754" spans="1:8" s="131" customFormat="1" ht="31.5" x14ac:dyDescent="0.25">
      <c r="A754" s="19" t="s">
        <v>125</v>
      </c>
      <c r="B754" s="15" t="s">
        <v>811</v>
      </c>
      <c r="C754" s="28" t="s">
        <v>168</v>
      </c>
      <c r="D754" s="28" t="s">
        <v>159</v>
      </c>
      <c r="E754" s="15" t="s">
        <v>126</v>
      </c>
      <c r="F754" s="2"/>
      <c r="G754" s="10">
        <f>'Пр.3 Рд,пр, ЦС,ВР 22'!F457</f>
        <v>2145.8000000000002</v>
      </c>
      <c r="H754" s="132"/>
    </row>
    <row r="755" spans="1:8" s="131" customFormat="1" ht="38.25" customHeight="1" x14ac:dyDescent="0.25">
      <c r="A755" s="31" t="s">
        <v>302</v>
      </c>
      <c r="B755" s="15" t="s">
        <v>811</v>
      </c>
      <c r="C755" s="28" t="s">
        <v>168</v>
      </c>
      <c r="D755" s="28" t="s">
        <v>159</v>
      </c>
      <c r="E755" s="15" t="s">
        <v>126</v>
      </c>
      <c r="F755" s="2">
        <v>908</v>
      </c>
      <c r="G755" s="10">
        <f>G754</f>
        <v>2145.8000000000002</v>
      </c>
      <c r="H755" s="132"/>
    </row>
    <row r="756" spans="1:8" s="309" customFormat="1" ht="31.5" hidden="1" x14ac:dyDescent="0.25">
      <c r="A756" s="26" t="s">
        <v>1044</v>
      </c>
      <c r="B756" s="316" t="s">
        <v>1045</v>
      </c>
      <c r="C756" s="7"/>
      <c r="D756" s="7"/>
      <c r="E756" s="316"/>
      <c r="F756" s="3"/>
      <c r="G756" s="38">
        <f>G757</f>
        <v>0</v>
      </c>
      <c r="H756" s="132"/>
    </row>
    <row r="757" spans="1:8" s="309" customFormat="1" ht="15.75" hidden="1" x14ac:dyDescent="0.25">
      <c r="A757" s="48" t="s">
        <v>231</v>
      </c>
      <c r="B757" s="313" t="s">
        <v>1045</v>
      </c>
      <c r="C757" s="320" t="s">
        <v>168</v>
      </c>
      <c r="D757" s="320"/>
      <c r="E757" s="313"/>
      <c r="F757" s="2"/>
      <c r="G757" s="10">
        <f>G758</f>
        <v>0</v>
      </c>
      <c r="H757" s="132"/>
    </row>
    <row r="758" spans="1:8" s="309" customFormat="1" ht="15.75" hidden="1" x14ac:dyDescent="0.25">
      <c r="A758" s="48" t="s">
        <v>272</v>
      </c>
      <c r="B758" s="313" t="s">
        <v>1045</v>
      </c>
      <c r="C758" s="320" t="s">
        <v>168</v>
      </c>
      <c r="D758" s="320" t="s">
        <v>159</v>
      </c>
      <c r="E758" s="313"/>
      <c r="F758" s="2"/>
      <c r="G758" s="10">
        <f>G759</f>
        <v>0</v>
      </c>
      <c r="H758" s="132"/>
    </row>
    <row r="759" spans="1:8" s="309" customFormat="1" ht="31.5" hidden="1" x14ac:dyDescent="0.25">
      <c r="A759" s="24" t="s">
        <v>1043</v>
      </c>
      <c r="B759" s="313" t="s">
        <v>1046</v>
      </c>
      <c r="C759" s="320" t="s">
        <v>168</v>
      </c>
      <c r="D759" s="320" t="s">
        <v>159</v>
      </c>
      <c r="E759" s="313"/>
      <c r="F759" s="2"/>
      <c r="G759" s="10">
        <f>G760</f>
        <v>0</v>
      </c>
      <c r="H759" s="132"/>
    </row>
    <row r="760" spans="1:8" s="309" customFormat="1" ht="31.5" hidden="1" x14ac:dyDescent="0.25">
      <c r="A760" s="317" t="s">
        <v>123</v>
      </c>
      <c r="B760" s="313" t="s">
        <v>1046</v>
      </c>
      <c r="C760" s="320" t="s">
        <v>168</v>
      </c>
      <c r="D760" s="320" t="s">
        <v>159</v>
      </c>
      <c r="E760" s="313" t="s">
        <v>124</v>
      </c>
      <c r="F760" s="2"/>
      <c r="G760" s="10">
        <f>G761</f>
        <v>0</v>
      </c>
      <c r="H760" s="132"/>
    </row>
    <row r="761" spans="1:8" s="309" customFormat="1" ht="31.5" hidden="1" x14ac:dyDescent="0.25">
      <c r="A761" s="317" t="s">
        <v>125</v>
      </c>
      <c r="B761" s="313" t="s">
        <v>1046</v>
      </c>
      <c r="C761" s="320" t="s">
        <v>168</v>
      </c>
      <c r="D761" s="320" t="s">
        <v>159</v>
      </c>
      <c r="E761" s="313" t="s">
        <v>126</v>
      </c>
      <c r="F761" s="2"/>
      <c r="G761" s="10">
        <f>'Пр.4 ведом.22'!G1126</f>
        <v>0</v>
      </c>
      <c r="H761" s="132"/>
    </row>
    <row r="762" spans="1:8" s="309" customFormat="1" ht="31.5" hidden="1" x14ac:dyDescent="0.25">
      <c r="A762" s="31" t="s">
        <v>302</v>
      </c>
      <c r="B762" s="313" t="s">
        <v>1046</v>
      </c>
      <c r="C762" s="320" t="s">
        <v>168</v>
      </c>
      <c r="D762" s="320" t="s">
        <v>159</v>
      </c>
      <c r="E762" s="313" t="s">
        <v>126</v>
      </c>
      <c r="F762" s="2">
        <v>908</v>
      </c>
      <c r="G762" s="10">
        <f>G761</f>
        <v>0</v>
      </c>
      <c r="H762" s="132"/>
    </row>
    <row r="763" spans="1:8" s="405" customFormat="1" ht="37.5" customHeight="1" x14ac:dyDescent="0.25">
      <c r="A763" s="413" t="s">
        <v>1070</v>
      </c>
      <c r="B763" s="414" t="s">
        <v>1069</v>
      </c>
      <c r="C763" s="407"/>
      <c r="D763" s="407"/>
      <c r="E763" s="414"/>
      <c r="F763" s="415"/>
      <c r="G763" s="411">
        <f>G764</f>
        <v>4487.6399999999994</v>
      </c>
    </row>
    <row r="764" spans="1:8" s="405" customFormat="1" ht="15.75" x14ac:dyDescent="0.25">
      <c r="A764" s="416" t="s">
        <v>231</v>
      </c>
      <c r="B764" s="402" t="s">
        <v>1069</v>
      </c>
      <c r="C764" s="403" t="s">
        <v>168</v>
      </c>
      <c r="D764" s="403"/>
      <c r="E764" s="402"/>
      <c r="F764" s="410"/>
      <c r="G764" s="400">
        <f>G765</f>
        <v>4487.6399999999994</v>
      </c>
    </row>
    <row r="765" spans="1:8" s="405" customFormat="1" ht="15.75" x14ac:dyDescent="0.25">
      <c r="A765" s="416" t="s">
        <v>272</v>
      </c>
      <c r="B765" s="402" t="s">
        <v>1069</v>
      </c>
      <c r="C765" s="403" t="s">
        <v>168</v>
      </c>
      <c r="D765" s="403" t="s">
        <v>159</v>
      </c>
      <c r="E765" s="402"/>
      <c r="F765" s="410"/>
      <c r="G765" s="400">
        <f>G766</f>
        <v>4487.6399999999994</v>
      </c>
    </row>
    <row r="766" spans="1:8" s="405" customFormat="1" ht="15.75" x14ac:dyDescent="0.25">
      <c r="A766" s="401" t="s">
        <v>1128</v>
      </c>
      <c r="B766" s="402" t="s">
        <v>1078</v>
      </c>
      <c r="C766" s="403" t="s">
        <v>168</v>
      </c>
      <c r="D766" s="403" t="s">
        <v>159</v>
      </c>
      <c r="E766" s="402"/>
      <c r="F766" s="410"/>
      <c r="G766" s="400">
        <f>G767</f>
        <v>4487.6399999999994</v>
      </c>
    </row>
    <row r="767" spans="1:8" s="405" customFormat="1" ht="31.5" x14ac:dyDescent="0.25">
      <c r="A767" s="399" t="s">
        <v>123</v>
      </c>
      <c r="B767" s="402" t="s">
        <v>1078</v>
      </c>
      <c r="C767" s="403" t="s">
        <v>168</v>
      </c>
      <c r="D767" s="403" t="s">
        <v>159</v>
      </c>
      <c r="E767" s="402" t="s">
        <v>124</v>
      </c>
      <c r="F767" s="410"/>
      <c r="G767" s="400">
        <f>G768</f>
        <v>4487.6399999999994</v>
      </c>
    </row>
    <row r="768" spans="1:8" s="405" customFormat="1" ht="31.5" x14ac:dyDescent="0.25">
      <c r="A768" s="399" t="s">
        <v>125</v>
      </c>
      <c r="B768" s="402" t="s">
        <v>1078</v>
      </c>
      <c r="C768" s="403" t="s">
        <v>168</v>
      </c>
      <c r="D768" s="403" t="s">
        <v>159</v>
      </c>
      <c r="E768" s="402" t="s">
        <v>126</v>
      </c>
      <c r="F768" s="410"/>
      <c r="G768" s="400">
        <f>'Пр.4 ведом.22'!G1130</f>
        <v>4487.6399999999994</v>
      </c>
    </row>
    <row r="769" spans="1:8" s="405" customFormat="1" ht="31.5" x14ac:dyDescent="0.25">
      <c r="A769" s="406" t="s">
        <v>302</v>
      </c>
      <c r="B769" s="402" t="s">
        <v>1078</v>
      </c>
      <c r="C769" s="403" t="s">
        <v>168</v>
      </c>
      <c r="D769" s="403" t="s">
        <v>159</v>
      </c>
      <c r="E769" s="402" t="s">
        <v>126</v>
      </c>
      <c r="F769" s="410">
        <v>908</v>
      </c>
      <c r="G769" s="400">
        <v>4637.2</v>
      </c>
    </row>
    <row r="770" spans="1:8" ht="39.75" customHeight="1" x14ac:dyDescent="0.25">
      <c r="A770" s="26" t="s">
        <v>847</v>
      </c>
      <c r="B770" s="122" t="s">
        <v>147</v>
      </c>
      <c r="C770" s="7"/>
      <c r="D770" s="7"/>
      <c r="E770" s="7"/>
      <c r="F770" s="3"/>
      <c r="G770" s="38">
        <f>G771+G778</f>
        <v>19.199999999999989</v>
      </c>
      <c r="H770" s="132">
        <v>355</v>
      </c>
    </row>
    <row r="771" spans="1:8" s="131" customFormat="1" ht="31.5" x14ac:dyDescent="0.25">
      <c r="A771" s="26" t="s">
        <v>569</v>
      </c>
      <c r="B771" s="122" t="s">
        <v>453</v>
      </c>
      <c r="C771" s="7"/>
      <c r="D771" s="7"/>
      <c r="E771" s="7"/>
      <c r="F771" s="3"/>
      <c r="G771" s="38">
        <f>G772</f>
        <v>19.199999999999989</v>
      </c>
      <c r="H771" s="132"/>
    </row>
    <row r="772" spans="1:8" ht="15.75" x14ac:dyDescent="0.25">
      <c r="A772" s="22" t="s">
        <v>166</v>
      </c>
      <c r="B772" s="5" t="s">
        <v>453</v>
      </c>
      <c r="C772" s="28" t="s">
        <v>139</v>
      </c>
      <c r="D772" s="28"/>
      <c r="E772" s="28"/>
      <c r="F772" s="2"/>
      <c r="G772" s="10">
        <f t="shared" ref="G772:G775" si="55">G773</f>
        <v>19.199999999999989</v>
      </c>
    </row>
    <row r="773" spans="1:8" ht="15.75" x14ac:dyDescent="0.25">
      <c r="A773" s="22" t="s">
        <v>167</v>
      </c>
      <c r="B773" s="23" t="s">
        <v>453</v>
      </c>
      <c r="C773" s="28" t="s">
        <v>139</v>
      </c>
      <c r="D773" s="28" t="s">
        <v>168</v>
      </c>
      <c r="E773" s="28"/>
      <c r="F773" s="2"/>
      <c r="G773" s="10">
        <f>G774</f>
        <v>19.199999999999989</v>
      </c>
    </row>
    <row r="774" spans="1:8" ht="31.5" x14ac:dyDescent="0.25">
      <c r="A774" s="19" t="s">
        <v>169</v>
      </c>
      <c r="B774" s="15" t="s">
        <v>469</v>
      </c>
      <c r="C774" s="28" t="s">
        <v>139</v>
      </c>
      <c r="D774" s="28" t="s">
        <v>168</v>
      </c>
      <c r="E774" s="28"/>
      <c r="F774" s="2"/>
      <c r="G774" s="10">
        <f t="shared" si="55"/>
        <v>19.199999999999989</v>
      </c>
    </row>
    <row r="775" spans="1:8" ht="15.75" x14ac:dyDescent="0.25">
      <c r="A775" s="22" t="s">
        <v>127</v>
      </c>
      <c r="B775" s="15" t="s">
        <v>469</v>
      </c>
      <c r="C775" s="28" t="s">
        <v>139</v>
      </c>
      <c r="D775" s="28" t="s">
        <v>168</v>
      </c>
      <c r="E775" s="28" t="s">
        <v>134</v>
      </c>
      <c r="F775" s="2"/>
      <c r="G775" s="10">
        <f t="shared" si="55"/>
        <v>19.199999999999989</v>
      </c>
    </row>
    <row r="776" spans="1:8" ht="47.25" x14ac:dyDescent="0.25">
      <c r="A776" s="22" t="s">
        <v>148</v>
      </c>
      <c r="B776" s="15" t="s">
        <v>469</v>
      </c>
      <c r="C776" s="28" t="s">
        <v>139</v>
      </c>
      <c r="D776" s="28" t="s">
        <v>168</v>
      </c>
      <c r="E776" s="28" t="s">
        <v>142</v>
      </c>
      <c r="F776" s="2"/>
      <c r="G776" s="10">
        <f>'Пр.4 ведом.22'!G206</f>
        <v>19.199999999999989</v>
      </c>
    </row>
    <row r="777" spans="1:8" ht="23.25" customHeight="1" x14ac:dyDescent="0.25">
      <c r="A777" s="22" t="s">
        <v>137</v>
      </c>
      <c r="B777" s="15" t="s">
        <v>469</v>
      </c>
      <c r="C777" s="28" t="s">
        <v>139</v>
      </c>
      <c r="D777" s="28" t="s">
        <v>168</v>
      </c>
      <c r="E777" s="28" t="s">
        <v>142</v>
      </c>
      <c r="F777" s="2">
        <v>902</v>
      </c>
      <c r="G777" s="10">
        <f>G776</f>
        <v>19.199999999999989</v>
      </c>
    </row>
    <row r="778" spans="1:8" s="131" customFormat="1" ht="47.25" hidden="1" x14ac:dyDescent="0.25">
      <c r="A778" s="140" t="s">
        <v>570</v>
      </c>
      <c r="B778" s="18" t="s">
        <v>455</v>
      </c>
      <c r="C778" s="28"/>
      <c r="D778" s="28"/>
      <c r="E778" s="28"/>
      <c r="F778" s="2"/>
      <c r="G778" s="10">
        <f>G779</f>
        <v>0</v>
      </c>
      <c r="H778" s="132"/>
    </row>
    <row r="779" spans="1:8" s="131" customFormat="1" ht="15.75" hidden="1" x14ac:dyDescent="0.25">
      <c r="A779" s="22" t="s">
        <v>166</v>
      </c>
      <c r="B779" s="15" t="s">
        <v>455</v>
      </c>
      <c r="C779" s="28" t="s">
        <v>139</v>
      </c>
      <c r="D779" s="28"/>
      <c r="E779" s="28"/>
      <c r="F779" s="2"/>
      <c r="G779" s="10">
        <f>G780</f>
        <v>0</v>
      </c>
      <c r="H779" s="132"/>
    </row>
    <row r="780" spans="1:8" s="131" customFormat="1" ht="15.75" hidden="1" x14ac:dyDescent="0.25">
      <c r="A780" s="22" t="s">
        <v>167</v>
      </c>
      <c r="B780" s="15" t="s">
        <v>455</v>
      </c>
      <c r="C780" s="28" t="s">
        <v>139</v>
      </c>
      <c r="D780" s="28" t="s">
        <v>168</v>
      </c>
      <c r="E780" s="28"/>
      <c r="F780" s="2"/>
      <c r="G780" s="10">
        <f>G781</f>
        <v>0</v>
      </c>
      <c r="H780" s="132"/>
    </row>
    <row r="781" spans="1:8" s="131" customFormat="1" ht="15.75" hidden="1" x14ac:dyDescent="0.25">
      <c r="A781" s="19" t="s">
        <v>454</v>
      </c>
      <c r="B781" s="5" t="s">
        <v>470</v>
      </c>
      <c r="C781" s="28" t="s">
        <v>139</v>
      </c>
      <c r="D781" s="28" t="s">
        <v>168</v>
      </c>
      <c r="E781" s="28"/>
      <c r="F781" s="2"/>
      <c r="G781" s="10">
        <f>G782</f>
        <v>0</v>
      </c>
      <c r="H781" s="132"/>
    </row>
    <row r="782" spans="1:8" s="131" customFormat="1" ht="15.75" hidden="1" x14ac:dyDescent="0.25">
      <c r="A782" s="22" t="s">
        <v>127</v>
      </c>
      <c r="B782" s="5" t="s">
        <v>470</v>
      </c>
      <c r="C782" s="28" t="s">
        <v>139</v>
      </c>
      <c r="D782" s="28" t="s">
        <v>168</v>
      </c>
      <c r="E782" s="28" t="s">
        <v>134</v>
      </c>
      <c r="F782" s="2"/>
      <c r="G782" s="10">
        <f>G783</f>
        <v>0</v>
      </c>
      <c r="H782" s="132"/>
    </row>
    <row r="783" spans="1:8" s="131" customFormat="1" ht="47.25" hidden="1" x14ac:dyDescent="0.25">
      <c r="A783" s="22" t="s">
        <v>148</v>
      </c>
      <c r="B783" s="5" t="s">
        <v>470</v>
      </c>
      <c r="C783" s="28" t="s">
        <v>139</v>
      </c>
      <c r="D783" s="28" t="s">
        <v>168</v>
      </c>
      <c r="E783" s="28" t="s">
        <v>142</v>
      </c>
      <c r="F783" s="2"/>
      <c r="G783" s="10">
        <f>'Пр.3 Рд,пр, ЦС,ВР 22'!F278</f>
        <v>0</v>
      </c>
      <c r="H783" s="132"/>
    </row>
    <row r="784" spans="1:8" s="131" customFormat="1" ht="19.5" hidden="1" customHeight="1" x14ac:dyDescent="0.25">
      <c r="A784" s="22" t="s">
        <v>137</v>
      </c>
      <c r="B784" s="5" t="s">
        <v>470</v>
      </c>
      <c r="C784" s="28" t="s">
        <v>139</v>
      </c>
      <c r="D784" s="28" t="s">
        <v>168</v>
      </c>
      <c r="E784" s="28" t="s">
        <v>142</v>
      </c>
      <c r="F784" s="2">
        <v>902</v>
      </c>
      <c r="G784" s="10">
        <f>G783</f>
        <v>0</v>
      </c>
      <c r="H784" s="132"/>
    </row>
    <row r="785" spans="1:8" ht="52.5" customHeight="1" x14ac:dyDescent="0.25">
      <c r="A785" s="29" t="s">
        <v>974</v>
      </c>
      <c r="B785" s="7" t="s">
        <v>263</v>
      </c>
      <c r="C785" s="7"/>
      <c r="D785" s="7"/>
      <c r="E785" s="47"/>
      <c r="F785" s="3"/>
      <c r="G785" s="38">
        <f>G786+G793+G800+G807+G814+G821+G828</f>
        <v>700</v>
      </c>
      <c r="H785" s="132">
        <v>8940</v>
      </c>
    </row>
    <row r="786" spans="1:8" s="131" customFormat="1" ht="31.7" customHeight="1" x14ac:dyDescent="0.25">
      <c r="A786" s="17" t="s">
        <v>528</v>
      </c>
      <c r="B786" s="18" t="s">
        <v>530</v>
      </c>
      <c r="C786" s="28"/>
      <c r="D786" s="28"/>
      <c r="E786" s="28"/>
      <c r="F786" s="2"/>
      <c r="G786" s="38">
        <f>G787</f>
        <v>700</v>
      </c>
      <c r="H786" s="132"/>
    </row>
    <row r="787" spans="1:8" s="131" customFormat="1" ht="18" customHeight="1" x14ac:dyDescent="0.25">
      <c r="A787" s="22" t="s">
        <v>231</v>
      </c>
      <c r="B787" s="28" t="s">
        <v>530</v>
      </c>
      <c r="C787" s="28" t="s">
        <v>168</v>
      </c>
      <c r="D787" s="28"/>
      <c r="E787" s="48"/>
      <c r="F787" s="2"/>
      <c r="G787" s="10">
        <f t="shared" ref="G787" si="56">G788</f>
        <v>700</v>
      </c>
      <c r="H787" s="132"/>
    </row>
    <row r="788" spans="1:8" s="131" customFormat="1" ht="19.5" customHeight="1" x14ac:dyDescent="0.25">
      <c r="A788" s="22" t="s">
        <v>262</v>
      </c>
      <c r="B788" s="28" t="s">
        <v>530</v>
      </c>
      <c r="C788" s="28" t="s">
        <v>168</v>
      </c>
      <c r="D788" s="28" t="s">
        <v>158</v>
      </c>
      <c r="E788" s="48"/>
      <c r="F788" s="2"/>
      <c r="G788" s="10">
        <f>G789</f>
        <v>700</v>
      </c>
      <c r="H788" s="132"/>
    </row>
    <row r="789" spans="1:8" ht="15.75" x14ac:dyDescent="0.25">
      <c r="A789" s="31" t="s">
        <v>264</v>
      </c>
      <c r="B789" s="15" t="s">
        <v>531</v>
      </c>
      <c r="C789" s="28" t="s">
        <v>168</v>
      </c>
      <c r="D789" s="28" t="s">
        <v>158</v>
      </c>
      <c r="E789" s="28"/>
      <c r="F789" s="2"/>
      <c r="G789" s="10">
        <f t="shared" ref="G789:G790" si="57">G790</f>
        <v>700</v>
      </c>
    </row>
    <row r="790" spans="1:8" ht="31.5" x14ac:dyDescent="0.25">
      <c r="A790" s="24" t="s">
        <v>123</v>
      </c>
      <c r="B790" s="15" t="s">
        <v>531</v>
      </c>
      <c r="C790" s="28" t="s">
        <v>168</v>
      </c>
      <c r="D790" s="28" t="s">
        <v>158</v>
      </c>
      <c r="E790" s="28" t="s">
        <v>124</v>
      </c>
      <c r="F790" s="2"/>
      <c r="G790" s="10">
        <f t="shared" si="57"/>
        <v>700</v>
      </c>
    </row>
    <row r="791" spans="1:8" ht="31.5" x14ac:dyDescent="0.25">
      <c r="A791" s="24" t="s">
        <v>125</v>
      </c>
      <c r="B791" s="15" t="s">
        <v>531</v>
      </c>
      <c r="C791" s="28" t="s">
        <v>168</v>
      </c>
      <c r="D791" s="28" t="s">
        <v>158</v>
      </c>
      <c r="E791" s="28" t="s">
        <v>126</v>
      </c>
      <c r="F791" s="2"/>
      <c r="G791" s="10">
        <f>'Пр.3 Рд,пр, ЦС,ВР 22'!F383</f>
        <v>700</v>
      </c>
    </row>
    <row r="792" spans="1:8" s="131" customFormat="1" ht="36.75" customHeight="1" x14ac:dyDescent="0.25">
      <c r="A792" s="31" t="s">
        <v>302</v>
      </c>
      <c r="B792" s="15" t="s">
        <v>531</v>
      </c>
      <c r="C792" s="28" t="s">
        <v>168</v>
      </c>
      <c r="D792" s="28" t="s">
        <v>158</v>
      </c>
      <c r="E792" s="28" t="s">
        <v>126</v>
      </c>
      <c r="F792" s="2">
        <v>908</v>
      </c>
      <c r="G792" s="6">
        <f>G791</f>
        <v>700</v>
      </c>
      <c r="H792" s="132"/>
    </row>
    <row r="793" spans="1:8" s="131" customFormat="1" ht="31.5" hidden="1" x14ac:dyDescent="0.25">
      <c r="A793" s="26" t="s">
        <v>532</v>
      </c>
      <c r="B793" s="18" t="s">
        <v>533</v>
      </c>
      <c r="C793" s="28"/>
      <c r="D793" s="28"/>
      <c r="E793" s="28"/>
      <c r="F793" s="2"/>
      <c r="G793" s="38">
        <f>G794</f>
        <v>0</v>
      </c>
      <c r="H793" s="132"/>
    </row>
    <row r="794" spans="1:8" s="131" customFormat="1" ht="15.75" hidden="1" x14ac:dyDescent="0.25">
      <c r="A794" s="22" t="s">
        <v>231</v>
      </c>
      <c r="B794" s="28" t="s">
        <v>533</v>
      </c>
      <c r="C794" s="28" t="s">
        <v>168</v>
      </c>
      <c r="D794" s="28"/>
      <c r="E794" s="48"/>
      <c r="F794" s="2"/>
      <c r="G794" s="10">
        <f t="shared" ref="G794" si="58">G795</f>
        <v>0</v>
      </c>
      <c r="H794" s="132"/>
    </row>
    <row r="795" spans="1:8" s="131" customFormat="1" ht="15.75" hidden="1" x14ac:dyDescent="0.25">
      <c r="A795" s="22" t="s">
        <v>262</v>
      </c>
      <c r="B795" s="28" t="s">
        <v>533</v>
      </c>
      <c r="C795" s="28" t="s">
        <v>168</v>
      </c>
      <c r="D795" s="28" t="s">
        <v>158</v>
      </c>
      <c r="E795" s="48"/>
      <c r="F795" s="2"/>
      <c r="G795" s="10">
        <f>G796</f>
        <v>0</v>
      </c>
      <c r="H795" s="132"/>
    </row>
    <row r="796" spans="1:8" ht="15.75" hidden="1" customHeight="1" x14ac:dyDescent="0.25">
      <c r="A796" s="31" t="s">
        <v>265</v>
      </c>
      <c r="B796" s="15" t="s">
        <v>536</v>
      </c>
      <c r="C796" s="28" t="s">
        <v>168</v>
      </c>
      <c r="D796" s="28" t="s">
        <v>158</v>
      </c>
      <c r="E796" s="28"/>
      <c r="F796" s="2"/>
      <c r="G796" s="10">
        <f>G797</f>
        <v>0</v>
      </c>
    </row>
    <row r="797" spans="1:8" ht="31.7" hidden="1" customHeight="1" x14ac:dyDescent="0.25">
      <c r="A797" s="24" t="s">
        <v>123</v>
      </c>
      <c r="B797" s="15" t="s">
        <v>536</v>
      </c>
      <c r="C797" s="28" t="s">
        <v>168</v>
      </c>
      <c r="D797" s="28" t="s">
        <v>158</v>
      </c>
      <c r="E797" s="28" t="s">
        <v>124</v>
      </c>
      <c r="F797" s="2"/>
      <c r="G797" s="10">
        <f t="shared" ref="G797" si="59">G798</f>
        <v>0</v>
      </c>
    </row>
    <row r="798" spans="1:8" ht="31.7" hidden="1" customHeight="1" x14ac:dyDescent="0.25">
      <c r="A798" s="24" t="s">
        <v>125</v>
      </c>
      <c r="B798" s="15" t="s">
        <v>536</v>
      </c>
      <c r="C798" s="28" t="s">
        <v>168</v>
      </c>
      <c r="D798" s="28" t="s">
        <v>158</v>
      </c>
      <c r="E798" s="28" t="s">
        <v>126</v>
      </c>
      <c r="F798" s="2"/>
      <c r="G798" s="10">
        <f>'Пр.3 Рд,пр, ЦС,ВР 22'!F387</f>
        <v>0</v>
      </c>
    </row>
    <row r="799" spans="1:8" s="131" customFormat="1" ht="31.7" hidden="1" customHeight="1" x14ac:dyDescent="0.25">
      <c r="A799" s="31" t="s">
        <v>302</v>
      </c>
      <c r="B799" s="15" t="s">
        <v>536</v>
      </c>
      <c r="C799" s="28" t="s">
        <v>168</v>
      </c>
      <c r="D799" s="28" t="s">
        <v>158</v>
      </c>
      <c r="E799" s="28" t="s">
        <v>126</v>
      </c>
      <c r="F799" s="2">
        <v>908</v>
      </c>
      <c r="G799" s="6">
        <f>G798</f>
        <v>0</v>
      </c>
      <c r="H799" s="132"/>
    </row>
    <row r="800" spans="1:8" s="131" customFormat="1" ht="35.450000000000003" hidden="1" customHeight="1" x14ac:dyDescent="0.25">
      <c r="A800" s="37" t="s">
        <v>534</v>
      </c>
      <c r="B800" s="18" t="s">
        <v>535</v>
      </c>
      <c r="C800" s="28"/>
      <c r="D800" s="28"/>
      <c r="E800" s="28"/>
      <c r="F800" s="2"/>
      <c r="G800" s="38">
        <f>G801</f>
        <v>0</v>
      </c>
      <c r="H800" s="132"/>
    </row>
    <row r="801" spans="1:8" s="131" customFormat="1" ht="15.75" hidden="1" customHeight="1" x14ac:dyDescent="0.25">
      <c r="A801" s="22" t="s">
        <v>231</v>
      </c>
      <c r="B801" s="28" t="s">
        <v>535</v>
      </c>
      <c r="C801" s="28" t="s">
        <v>168</v>
      </c>
      <c r="D801" s="28"/>
      <c r="E801" s="48"/>
      <c r="F801" s="2"/>
      <c r="G801" s="10">
        <f t="shared" ref="G801" si="60">G802</f>
        <v>0</v>
      </c>
      <c r="H801" s="132"/>
    </row>
    <row r="802" spans="1:8" s="131" customFormat="1" ht="15.75" hidden="1" customHeight="1" x14ac:dyDescent="0.25">
      <c r="A802" s="22" t="s">
        <v>262</v>
      </c>
      <c r="B802" s="28" t="s">
        <v>535</v>
      </c>
      <c r="C802" s="28" t="s">
        <v>168</v>
      </c>
      <c r="D802" s="28" t="s">
        <v>158</v>
      </c>
      <c r="E802" s="48"/>
      <c r="F802" s="2"/>
      <c r="G802" s="10">
        <f>G803</f>
        <v>0</v>
      </c>
      <c r="H802" s="132"/>
    </row>
    <row r="803" spans="1:8" ht="15.75" hidden="1" customHeight="1" x14ac:dyDescent="0.25">
      <c r="A803" s="31" t="s">
        <v>266</v>
      </c>
      <c r="B803" s="15" t="s">
        <v>537</v>
      </c>
      <c r="C803" s="28" t="s">
        <v>168</v>
      </c>
      <c r="D803" s="28" t="s">
        <v>158</v>
      </c>
      <c r="E803" s="28"/>
      <c r="F803" s="2"/>
      <c r="G803" s="10">
        <f>G804</f>
        <v>0</v>
      </c>
    </row>
    <row r="804" spans="1:8" ht="31.7" hidden="1" customHeight="1" x14ac:dyDescent="0.25">
      <c r="A804" s="24" t="s">
        <v>123</v>
      </c>
      <c r="B804" s="15" t="s">
        <v>537</v>
      </c>
      <c r="C804" s="28" t="s">
        <v>168</v>
      </c>
      <c r="D804" s="28" t="s">
        <v>158</v>
      </c>
      <c r="E804" s="28" t="s">
        <v>124</v>
      </c>
      <c r="F804" s="2"/>
      <c r="G804" s="10">
        <f t="shared" ref="G804" si="61">G805</f>
        <v>0</v>
      </c>
    </row>
    <row r="805" spans="1:8" ht="31.7" hidden="1" customHeight="1" x14ac:dyDescent="0.25">
      <c r="A805" s="24" t="s">
        <v>125</v>
      </c>
      <c r="B805" s="15" t="s">
        <v>537</v>
      </c>
      <c r="C805" s="28" t="s">
        <v>168</v>
      </c>
      <c r="D805" s="28" t="s">
        <v>158</v>
      </c>
      <c r="E805" s="28" t="s">
        <v>126</v>
      </c>
      <c r="F805" s="2"/>
      <c r="G805" s="10">
        <f>'Пр.3 Рд,пр, ЦС,ВР 22'!F391</f>
        <v>0</v>
      </c>
    </row>
    <row r="806" spans="1:8" s="131" customFormat="1" ht="31.7" hidden="1" customHeight="1" x14ac:dyDescent="0.25">
      <c r="A806" s="31" t="s">
        <v>302</v>
      </c>
      <c r="B806" s="15" t="s">
        <v>537</v>
      </c>
      <c r="C806" s="28" t="s">
        <v>168</v>
      </c>
      <c r="D806" s="28" t="s">
        <v>158</v>
      </c>
      <c r="E806" s="28" t="s">
        <v>126</v>
      </c>
      <c r="F806" s="2">
        <v>908</v>
      </c>
      <c r="G806" s="6">
        <f>G805</f>
        <v>0</v>
      </c>
      <c r="H806" s="132"/>
    </row>
    <row r="807" spans="1:8" s="131" customFormat="1" ht="35.450000000000003" hidden="1" customHeight="1" x14ac:dyDescent="0.25">
      <c r="A807" s="37" t="s">
        <v>538</v>
      </c>
      <c r="B807" s="18" t="s">
        <v>539</v>
      </c>
      <c r="C807" s="28"/>
      <c r="D807" s="28"/>
      <c r="E807" s="28"/>
      <c r="F807" s="2"/>
      <c r="G807" s="38">
        <f>G808</f>
        <v>0</v>
      </c>
      <c r="H807" s="132"/>
    </row>
    <row r="808" spans="1:8" s="131" customFormat="1" ht="15.75" hidden="1" customHeight="1" x14ac:dyDescent="0.25">
      <c r="A808" s="22" t="s">
        <v>231</v>
      </c>
      <c r="B808" s="28" t="s">
        <v>539</v>
      </c>
      <c r="C808" s="28" t="s">
        <v>168</v>
      </c>
      <c r="D808" s="28"/>
      <c r="E808" s="48"/>
      <c r="F808" s="2"/>
      <c r="G808" s="10">
        <f>G809</f>
        <v>0</v>
      </c>
      <c r="H808" s="132"/>
    </row>
    <row r="809" spans="1:8" s="131" customFormat="1" ht="15.75" hidden="1" customHeight="1" x14ac:dyDescent="0.25">
      <c r="A809" s="22" t="s">
        <v>262</v>
      </c>
      <c r="B809" s="28" t="s">
        <v>539</v>
      </c>
      <c r="C809" s="28" t="s">
        <v>168</v>
      </c>
      <c r="D809" s="28" t="s">
        <v>158</v>
      </c>
      <c r="E809" s="48"/>
      <c r="F809" s="2"/>
      <c r="G809" s="10">
        <f>G810</f>
        <v>0</v>
      </c>
      <c r="H809" s="132"/>
    </row>
    <row r="810" spans="1:8" ht="15.75" hidden="1" x14ac:dyDescent="0.25">
      <c r="A810" s="31" t="s">
        <v>267</v>
      </c>
      <c r="B810" s="15" t="s">
        <v>540</v>
      </c>
      <c r="C810" s="28" t="s">
        <v>168</v>
      </c>
      <c r="D810" s="28" t="s">
        <v>158</v>
      </c>
      <c r="E810" s="28"/>
      <c r="F810" s="2"/>
      <c r="G810" s="10">
        <f t="shared" ref="G810:G811" si="62">G811</f>
        <v>0</v>
      </c>
    </row>
    <row r="811" spans="1:8" ht="31.5" hidden="1" x14ac:dyDescent="0.25">
      <c r="A811" s="24" t="s">
        <v>123</v>
      </c>
      <c r="B811" s="15" t="s">
        <v>540</v>
      </c>
      <c r="C811" s="28" t="s">
        <v>168</v>
      </c>
      <c r="D811" s="28" t="s">
        <v>158</v>
      </c>
      <c r="E811" s="28" t="s">
        <v>124</v>
      </c>
      <c r="F811" s="2"/>
      <c r="G811" s="10">
        <f t="shared" si="62"/>
        <v>0</v>
      </c>
    </row>
    <row r="812" spans="1:8" ht="31.5" hidden="1" x14ac:dyDescent="0.25">
      <c r="A812" s="24" t="s">
        <v>125</v>
      </c>
      <c r="B812" s="15" t="s">
        <v>540</v>
      </c>
      <c r="C812" s="28" t="s">
        <v>168</v>
      </c>
      <c r="D812" s="28" t="s">
        <v>158</v>
      </c>
      <c r="E812" s="28" t="s">
        <v>126</v>
      </c>
      <c r="F812" s="2"/>
      <c r="G812" s="10">
        <f>'Пр.3 Рд,пр, ЦС,ВР 22'!F395</f>
        <v>0</v>
      </c>
    </row>
    <row r="813" spans="1:8" s="131" customFormat="1" ht="39.200000000000003" hidden="1" customHeight="1" x14ac:dyDescent="0.25">
      <c r="A813" s="31" t="s">
        <v>302</v>
      </c>
      <c r="B813" s="15" t="s">
        <v>540</v>
      </c>
      <c r="C813" s="28" t="s">
        <v>168</v>
      </c>
      <c r="D813" s="28" t="s">
        <v>158</v>
      </c>
      <c r="E813" s="28" t="s">
        <v>126</v>
      </c>
      <c r="F813" s="2">
        <v>908</v>
      </c>
      <c r="G813" s="6">
        <f>G812</f>
        <v>0</v>
      </c>
      <c r="H813" s="132"/>
    </row>
    <row r="814" spans="1:8" s="131" customFormat="1" ht="31.5" hidden="1" x14ac:dyDescent="0.25">
      <c r="A814" s="26" t="s">
        <v>577</v>
      </c>
      <c r="B814" s="18" t="s">
        <v>578</v>
      </c>
      <c r="C814" s="28"/>
      <c r="D814" s="28"/>
      <c r="E814" s="28"/>
      <c r="F814" s="2"/>
      <c r="G814" s="38">
        <f>G815</f>
        <v>0</v>
      </c>
      <c r="H814" s="132"/>
    </row>
    <row r="815" spans="1:8" s="131" customFormat="1" ht="15.75" hidden="1" x14ac:dyDescent="0.25">
      <c r="A815" s="22" t="s">
        <v>231</v>
      </c>
      <c r="B815" s="28" t="s">
        <v>263</v>
      </c>
      <c r="C815" s="28" t="s">
        <v>168</v>
      </c>
      <c r="D815" s="28"/>
      <c r="E815" s="48"/>
      <c r="F815" s="2"/>
      <c r="G815" s="10">
        <f t="shared" ref="G815" si="63">G816</f>
        <v>0</v>
      </c>
      <c r="H815" s="132"/>
    </row>
    <row r="816" spans="1:8" s="131" customFormat="1" ht="15.75" hidden="1" x14ac:dyDescent="0.25">
      <c r="A816" s="22" t="s">
        <v>262</v>
      </c>
      <c r="B816" s="28" t="s">
        <v>263</v>
      </c>
      <c r="C816" s="28" t="s">
        <v>168</v>
      </c>
      <c r="D816" s="28" t="s">
        <v>158</v>
      </c>
      <c r="E816" s="48"/>
      <c r="F816" s="2"/>
      <c r="G816" s="10">
        <f>G817</f>
        <v>0</v>
      </c>
      <c r="H816" s="132"/>
    </row>
    <row r="817" spans="1:8" ht="15.75" hidden="1" customHeight="1" x14ac:dyDescent="0.25">
      <c r="A817" s="31" t="s">
        <v>268</v>
      </c>
      <c r="B817" s="15" t="s">
        <v>581</v>
      </c>
      <c r="C817" s="28" t="s">
        <v>168</v>
      </c>
      <c r="D817" s="28" t="s">
        <v>158</v>
      </c>
      <c r="E817" s="28"/>
      <c r="F817" s="2"/>
      <c r="G817" s="10">
        <f t="shared" ref="G817:G818" si="64">G818</f>
        <v>0</v>
      </c>
    </row>
    <row r="818" spans="1:8" ht="31.7" hidden="1" customHeight="1" x14ac:dyDescent="0.25">
      <c r="A818" s="24" t="s">
        <v>123</v>
      </c>
      <c r="B818" s="15" t="s">
        <v>581</v>
      </c>
      <c r="C818" s="28" t="s">
        <v>168</v>
      </c>
      <c r="D818" s="28" t="s">
        <v>158</v>
      </c>
      <c r="E818" s="28" t="s">
        <v>124</v>
      </c>
      <c r="F818" s="2"/>
      <c r="G818" s="10">
        <f t="shared" si="64"/>
        <v>0</v>
      </c>
    </row>
    <row r="819" spans="1:8" ht="31.7" hidden="1" customHeight="1" x14ac:dyDescent="0.25">
      <c r="A819" s="24" t="s">
        <v>125</v>
      </c>
      <c r="B819" s="15" t="s">
        <v>581</v>
      </c>
      <c r="C819" s="28" t="s">
        <v>168</v>
      </c>
      <c r="D819" s="28" t="s">
        <v>158</v>
      </c>
      <c r="E819" s="28" t="s">
        <v>126</v>
      </c>
      <c r="F819" s="2"/>
      <c r="G819" s="10">
        <f>'Пр.3 Рд,пр, ЦС,ВР 22'!F399</f>
        <v>0</v>
      </c>
    </row>
    <row r="820" spans="1:8" s="131" customFormat="1" ht="31.7" hidden="1" customHeight="1" x14ac:dyDescent="0.25">
      <c r="A820" s="31" t="s">
        <v>302</v>
      </c>
      <c r="B820" s="15" t="s">
        <v>581</v>
      </c>
      <c r="C820" s="28" t="s">
        <v>168</v>
      </c>
      <c r="D820" s="28" t="s">
        <v>158</v>
      </c>
      <c r="E820" s="28" t="s">
        <v>126</v>
      </c>
      <c r="F820" s="2">
        <v>908</v>
      </c>
      <c r="G820" s="6">
        <f>G819</f>
        <v>0</v>
      </c>
      <c r="H820" s="132"/>
    </row>
    <row r="821" spans="1:8" s="131" customFormat="1" ht="31.7" hidden="1" customHeight="1" x14ac:dyDescent="0.25">
      <c r="A821" s="146" t="s">
        <v>579</v>
      </c>
      <c r="B821" s="18" t="s">
        <v>580</v>
      </c>
      <c r="C821" s="28"/>
      <c r="D821" s="28"/>
      <c r="E821" s="28"/>
      <c r="F821" s="2"/>
      <c r="G821" s="38">
        <f>G822</f>
        <v>0</v>
      </c>
      <c r="H821" s="132"/>
    </row>
    <row r="822" spans="1:8" s="131" customFormat="1" ht="16.5" hidden="1" customHeight="1" x14ac:dyDescent="0.25">
      <c r="A822" s="22" t="s">
        <v>231</v>
      </c>
      <c r="B822" s="28" t="s">
        <v>263</v>
      </c>
      <c r="C822" s="28" t="s">
        <v>168</v>
      </c>
      <c r="D822" s="28"/>
      <c r="E822" s="48"/>
      <c r="F822" s="2"/>
      <c r="G822" s="10">
        <f t="shared" ref="G822" si="65">G823</f>
        <v>0</v>
      </c>
      <c r="H822" s="132"/>
    </row>
    <row r="823" spans="1:8" s="131" customFormat="1" ht="19.5" hidden="1" customHeight="1" x14ac:dyDescent="0.25">
      <c r="A823" s="22" t="s">
        <v>262</v>
      </c>
      <c r="B823" s="28" t="s">
        <v>263</v>
      </c>
      <c r="C823" s="28" t="s">
        <v>168</v>
      </c>
      <c r="D823" s="28" t="s">
        <v>158</v>
      </c>
      <c r="E823" s="48"/>
      <c r="F823" s="2"/>
      <c r="G823" s="10">
        <f>G824</f>
        <v>0</v>
      </c>
      <c r="H823" s="132"/>
    </row>
    <row r="824" spans="1:8" ht="31.7" hidden="1" customHeight="1" x14ac:dyDescent="0.25">
      <c r="A824" s="103" t="s">
        <v>269</v>
      </c>
      <c r="B824" s="15" t="s">
        <v>582</v>
      </c>
      <c r="C824" s="28" t="s">
        <v>168</v>
      </c>
      <c r="D824" s="28" t="s">
        <v>158</v>
      </c>
      <c r="E824" s="28"/>
      <c r="F824" s="2"/>
      <c r="G824" s="10">
        <f t="shared" ref="G824:G825" si="66">G825</f>
        <v>0</v>
      </c>
    </row>
    <row r="825" spans="1:8" ht="31.7" hidden="1" customHeight="1" x14ac:dyDescent="0.25">
      <c r="A825" s="24" t="s">
        <v>123</v>
      </c>
      <c r="B825" s="15" t="s">
        <v>582</v>
      </c>
      <c r="C825" s="28" t="s">
        <v>168</v>
      </c>
      <c r="D825" s="28" t="s">
        <v>158</v>
      </c>
      <c r="E825" s="28" t="s">
        <v>124</v>
      </c>
      <c r="F825" s="2"/>
      <c r="G825" s="10">
        <f t="shared" si="66"/>
        <v>0</v>
      </c>
    </row>
    <row r="826" spans="1:8" ht="31.7" hidden="1" customHeight="1" x14ac:dyDescent="0.25">
      <c r="A826" s="24" t="s">
        <v>125</v>
      </c>
      <c r="B826" s="15" t="s">
        <v>582</v>
      </c>
      <c r="C826" s="28" t="s">
        <v>168</v>
      </c>
      <c r="D826" s="28" t="s">
        <v>158</v>
      </c>
      <c r="E826" s="28" t="s">
        <v>126</v>
      </c>
      <c r="F826" s="2"/>
      <c r="G826" s="10">
        <f>'Пр.3 Рд,пр, ЦС,ВР 22'!F403</f>
        <v>0</v>
      </c>
    </row>
    <row r="827" spans="1:8" s="131" customFormat="1" ht="31.7" hidden="1" customHeight="1" x14ac:dyDescent="0.25">
      <c r="A827" s="31" t="s">
        <v>302</v>
      </c>
      <c r="B827" s="15" t="s">
        <v>582</v>
      </c>
      <c r="C827" s="28" t="s">
        <v>168</v>
      </c>
      <c r="D827" s="28" t="s">
        <v>158</v>
      </c>
      <c r="E827" s="28" t="s">
        <v>126</v>
      </c>
      <c r="F827" s="2">
        <v>908</v>
      </c>
      <c r="G827" s="6">
        <f>G826</f>
        <v>0</v>
      </c>
      <c r="H827" s="132"/>
    </row>
    <row r="828" spans="1:8" s="131" customFormat="1" ht="31.7" hidden="1" customHeight="1" x14ac:dyDescent="0.25">
      <c r="A828" s="146" t="s">
        <v>542</v>
      </c>
      <c r="B828" s="18" t="s">
        <v>543</v>
      </c>
      <c r="C828" s="28"/>
      <c r="D828" s="28"/>
      <c r="E828" s="28"/>
      <c r="F828" s="2"/>
      <c r="G828" s="38">
        <f>G829</f>
        <v>0</v>
      </c>
      <c r="H828" s="132"/>
    </row>
    <row r="829" spans="1:8" s="131" customFormat="1" ht="17.45" hidden="1" customHeight="1" x14ac:dyDescent="0.25">
      <c r="A829" s="22" t="s">
        <v>231</v>
      </c>
      <c r="B829" s="28" t="s">
        <v>263</v>
      </c>
      <c r="C829" s="28" t="s">
        <v>168</v>
      </c>
      <c r="D829" s="28"/>
      <c r="E829" s="48"/>
      <c r="F829" s="2"/>
      <c r="G829" s="10">
        <f>G830</f>
        <v>0</v>
      </c>
      <c r="H829" s="132"/>
    </row>
    <row r="830" spans="1:8" s="131" customFormat="1" ht="20.25" hidden="1" customHeight="1" x14ac:dyDescent="0.25">
      <c r="A830" s="22" t="s">
        <v>262</v>
      </c>
      <c r="B830" s="28" t="s">
        <v>263</v>
      </c>
      <c r="C830" s="28" t="s">
        <v>168</v>
      </c>
      <c r="D830" s="28" t="s">
        <v>158</v>
      </c>
      <c r="E830" s="48"/>
      <c r="F830" s="2"/>
      <c r="G830" s="10">
        <f>G831</f>
        <v>0</v>
      </c>
      <c r="H830" s="132"/>
    </row>
    <row r="831" spans="1:8" ht="15.75" hidden="1" x14ac:dyDescent="0.25">
      <c r="A831" s="103" t="s">
        <v>270</v>
      </c>
      <c r="B831" s="15" t="s">
        <v>541</v>
      </c>
      <c r="C831" s="28" t="s">
        <v>168</v>
      </c>
      <c r="D831" s="28" t="s">
        <v>158</v>
      </c>
      <c r="E831" s="28"/>
      <c r="F831" s="2"/>
      <c r="G831" s="10">
        <f t="shared" ref="G831:G832" si="67">G832</f>
        <v>0</v>
      </c>
    </row>
    <row r="832" spans="1:8" ht="31.5" hidden="1" x14ac:dyDescent="0.3">
      <c r="A832" s="19" t="s">
        <v>123</v>
      </c>
      <c r="B832" s="15" t="s">
        <v>541</v>
      </c>
      <c r="C832" s="28" t="s">
        <v>168</v>
      </c>
      <c r="D832" s="28" t="s">
        <v>158</v>
      </c>
      <c r="E832" s="2">
        <v>200</v>
      </c>
      <c r="F832" s="50"/>
      <c r="G832" s="6">
        <f t="shared" si="67"/>
        <v>0</v>
      </c>
    </row>
    <row r="833" spans="1:8" ht="31.5" hidden="1" x14ac:dyDescent="0.3">
      <c r="A833" s="19" t="s">
        <v>125</v>
      </c>
      <c r="B833" s="15" t="s">
        <v>541</v>
      </c>
      <c r="C833" s="28" t="s">
        <v>168</v>
      </c>
      <c r="D833" s="28" t="s">
        <v>158</v>
      </c>
      <c r="E833" s="2">
        <v>240</v>
      </c>
      <c r="F833" s="50"/>
      <c r="G833" s="6">
        <f>'Пр.3 Рд,пр, ЦС,ВР 22'!F407</f>
        <v>0</v>
      </c>
    </row>
    <row r="834" spans="1:8" ht="38.25" hidden="1" customHeight="1" x14ac:dyDescent="0.25">
      <c r="A834" s="31" t="s">
        <v>302</v>
      </c>
      <c r="B834" s="15" t="s">
        <v>541</v>
      </c>
      <c r="C834" s="28" t="s">
        <v>168</v>
      </c>
      <c r="D834" s="28" t="s">
        <v>158</v>
      </c>
      <c r="E834" s="2">
        <v>240</v>
      </c>
      <c r="F834" s="2">
        <v>908</v>
      </c>
      <c r="G834" s="6">
        <f>G833</f>
        <v>0</v>
      </c>
    </row>
    <row r="835" spans="1:8" ht="39.4" customHeight="1" x14ac:dyDescent="0.25">
      <c r="A835" s="17" t="s">
        <v>852</v>
      </c>
      <c r="B835" s="18" t="s">
        <v>209</v>
      </c>
      <c r="C835" s="7"/>
      <c r="D835" s="7"/>
      <c r="E835" s="3"/>
      <c r="F835" s="3"/>
      <c r="G835" s="4">
        <f>G836</f>
        <v>120</v>
      </c>
      <c r="H835" s="132">
        <v>275</v>
      </c>
    </row>
    <row r="836" spans="1:8" s="131" customFormat="1" ht="31.5" x14ac:dyDescent="0.25">
      <c r="A836" s="17" t="s">
        <v>610</v>
      </c>
      <c r="B836" s="18" t="s">
        <v>611</v>
      </c>
      <c r="C836" s="7"/>
      <c r="D836" s="7"/>
      <c r="E836" s="3"/>
      <c r="F836" s="3"/>
      <c r="G836" s="4">
        <f>G837</f>
        <v>120</v>
      </c>
      <c r="H836" s="132"/>
    </row>
    <row r="837" spans="1:8" ht="15.75" x14ac:dyDescent="0.25">
      <c r="A837" s="22" t="s">
        <v>115</v>
      </c>
      <c r="B837" s="15" t="s">
        <v>611</v>
      </c>
      <c r="C837" s="28" t="s">
        <v>116</v>
      </c>
      <c r="D837" s="28"/>
      <c r="E837" s="2"/>
      <c r="F837" s="2"/>
      <c r="G837" s="6">
        <f>G838</f>
        <v>120</v>
      </c>
    </row>
    <row r="838" spans="1:8" ht="15.75" x14ac:dyDescent="0.25">
      <c r="A838" s="22" t="s">
        <v>131</v>
      </c>
      <c r="B838" s="15" t="s">
        <v>611</v>
      </c>
      <c r="C838" s="28" t="s">
        <v>116</v>
      </c>
      <c r="D838" s="28" t="s">
        <v>132</v>
      </c>
      <c r="E838" s="2"/>
      <c r="F838" s="2"/>
      <c r="G838" s="6">
        <f>G839+G846+G850+G854+G858</f>
        <v>120</v>
      </c>
    </row>
    <row r="839" spans="1:8" ht="31.5" x14ac:dyDescent="0.25">
      <c r="A839" s="19" t="s">
        <v>210</v>
      </c>
      <c r="B839" s="15" t="s">
        <v>612</v>
      </c>
      <c r="C839" s="28" t="s">
        <v>116</v>
      </c>
      <c r="D839" s="28" t="s">
        <v>132</v>
      </c>
      <c r="E839" s="2"/>
      <c r="F839" s="2"/>
      <c r="G839" s="6">
        <f>G840+G843</f>
        <v>100</v>
      </c>
    </row>
    <row r="840" spans="1:8" ht="31.5" x14ac:dyDescent="0.25">
      <c r="A840" s="19" t="s">
        <v>123</v>
      </c>
      <c r="B840" s="15" t="s">
        <v>612</v>
      </c>
      <c r="C840" s="28" t="s">
        <v>116</v>
      </c>
      <c r="D840" s="28" t="s">
        <v>132</v>
      </c>
      <c r="E840" s="2">
        <v>200</v>
      </c>
      <c r="F840" s="2"/>
      <c r="G840" s="6">
        <f t="shared" ref="G840" si="68">G841</f>
        <v>0</v>
      </c>
    </row>
    <row r="841" spans="1:8" ht="31.5" x14ac:dyDescent="0.25">
      <c r="A841" s="19" t="s">
        <v>125</v>
      </c>
      <c r="B841" s="15" t="s">
        <v>612</v>
      </c>
      <c r="C841" s="28" t="s">
        <v>116</v>
      </c>
      <c r="D841" s="28" t="s">
        <v>132</v>
      </c>
      <c r="E841" s="2">
        <v>240</v>
      </c>
      <c r="F841" s="2"/>
      <c r="G841" s="6">
        <f>'Пр.4 ведом.22'!G615</f>
        <v>0</v>
      </c>
    </row>
    <row r="842" spans="1:8" s="131" customFormat="1" ht="31.5" x14ac:dyDescent="0.25">
      <c r="A842" s="22" t="s">
        <v>235</v>
      </c>
      <c r="B842" s="15" t="s">
        <v>612</v>
      </c>
      <c r="C842" s="28" t="s">
        <v>116</v>
      </c>
      <c r="D842" s="28" t="s">
        <v>132</v>
      </c>
      <c r="E842" s="2">
        <v>240</v>
      </c>
      <c r="F842" s="2">
        <v>906</v>
      </c>
      <c r="G842" s="6">
        <f>G841</f>
        <v>0</v>
      </c>
      <c r="H842" s="132"/>
    </row>
    <row r="843" spans="1:8" s="131" customFormat="1" ht="31.5" hidden="1" x14ac:dyDescent="0.25">
      <c r="A843" s="19" t="s">
        <v>123</v>
      </c>
      <c r="B843" s="15" t="s">
        <v>612</v>
      </c>
      <c r="C843" s="28" t="s">
        <v>116</v>
      </c>
      <c r="D843" s="28" t="s">
        <v>132</v>
      </c>
      <c r="E843" s="2">
        <v>200</v>
      </c>
      <c r="F843" s="2"/>
      <c r="G843" s="6">
        <f t="shared" ref="G843" si="69">G844</f>
        <v>100</v>
      </c>
      <c r="H843" s="132"/>
    </row>
    <row r="844" spans="1:8" s="131" customFormat="1" ht="31.5" hidden="1" x14ac:dyDescent="0.25">
      <c r="A844" s="19" t="s">
        <v>125</v>
      </c>
      <c r="B844" s="15" t="s">
        <v>612</v>
      </c>
      <c r="C844" s="28" t="s">
        <v>116</v>
      </c>
      <c r="D844" s="28" t="s">
        <v>132</v>
      </c>
      <c r="E844" s="2">
        <v>240</v>
      </c>
      <c r="F844" s="2"/>
      <c r="G844" s="6">
        <f>'Пр.4 ведом.22'!G850</f>
        <v>100</v>
      </c>
      <c r="H844" s="132"/>
    </row>
    <row r="845" spans="1:8" s="131" customFormat="1" ht="31.5" hidden="1" x14ac:dyDescent="0.25">
      <c r="A845" s="31" t="s">
        <v>248</v>
      </c>
      <c r="B845" s="15" t="s">
        <v>612</v>
      </c>
      <c r="C845" s="28" t="s">
        <v>116</v>
      </c>
      <c r="D845" s="28" t="s">
        <v>132</v>
      </c>
      <c r="E845" s="2">
        <v>240</v>
      </c>
      <c r="F845" s="2">
        <v>907</v>
      </c>
      <c r="G845" s="6">
        <f>G844</f>
        <v>100</v>
      </c>
      <c r="H845" s="132"/>
    </row>
    <row r="846" spans="1:8" ht="23.25" customHeight="1" x14ac:dyDescent="0.25">
      <c r="A846" s="19" t="s">
        <v>211</v>
      </c>
      <c r="B846" s="15" t="s">
        <v>613</v>
      </c>
      <c r="C846" s="28" t="s">
        <v>116</v>
      </c>
      <c r="D846" s="28" t="s">
        <v>132</v>
      </c>
      <c r="E846" s="2"/>
      <c r="F846" s="2"/>
      <c r="G846" s="6">
        <f t="shared" ref="G846:G847" si="70">G847</f>
        <v>20</v>
      </c>
    </row>
    <row r="847" spans="1:8" ht="31.5" x14ac:dyDescent="0.25">
      <c r="A847" s="19" t="s">
        <v>123</v>
      </c>
      <c r="B847" s="15" t="s">
        <v>613</v>
      </c>
      <c r="C847" s="28" t="s">
        <v>116</v>
      </c>
      <c r="D847" s="28" t="s">
        <v>132</v>
      </c>
      <c r="E847" s="2">
        <v>200</v>
      </c>
      <c r="F847" s="2"/>
      <c r="G847" s="6">
        <f t="shared" si="70"/>
        <v>20</v>
      </c>
    </row>
    <row r="848" spans="1:8" ht="31.5" x14ac:dyDescent="0.25">
      <c r="A848" s="19" t="s">
        <v>125</v>
      </c>
      <c r="B848" s="15" t="s">
        <v>613</v>
      </c>
      <c r="C848" s="28" t="s">
        <v>116</v>
      </c>
      <c r="D848" s="28" t="s">
        <v>132</v>
      </c>
      <c r="E848" s="2">
        <v>240</v>
      </c>
      <c r="F848" s="2"/>
      <c r="G848" s="6">
        <f>'Пр.4 ведом.22'!G267</f>
        <v>20</v>
      </c>
    </row>
    <row r="849" spans="1:9" s="131" customFormat="1" ht="47.25" x14ac:dyDescent="0.25">
      <c r="A849" s="31" t="s">
        <v>185</v>
      </c>
      <c r="B849" s="15" t="s">
        <v>613</v>
      </c>
      <c r="C849" s="28" t="s">
        <v>116</v>
      </c>
      <c r="D849" s="28" t="s">
        <v>132</v>
      </c>
      <c r="E849" s="2">
        <v>240</v>
      </c>
      <c r="F849" s="2">
        <v>903</v>
      </c>
      <c r="G849" s="6">
        <f>G848</f>
        <v>20</v>
      </c>
      <c r="H849" s="132"/>
    </row>
    <row r="850" spans="1:9" ht="47.25" hidden="1" x14ac:dyDescent="0.25">
      <c r="A850" s="24" t="s">
        <v>351</v>
      </c>
      <c r="B850" s="15" t="s">
        <v>614</v>
      </c>
      <c r="C850" s="28" t="s">
        <v>116</v>
      </c>
      <c r="D850" s="28" t="s">
        <v>132</v>
      </c>
      <c r="E850" s="2"/>
      <c r="F850" s="2"/>
      <c r="G850" s="6">
        <f t="shared" ref="G850:G851" si="71">G851</f>
        <v>0</v>
      </c>
    </row>
    <row r="851" spans="1:9" ht="31.5" hidden="1" x14ac:dyDescent="0.25">
      <c r="A851" s="19" t="s">
        <v>123</v>
      </c>
      <c r="B851" s="15" t="s">
        <v>614</v>
      </c>
      <c r="C851" s="15" t="s">
        <v>116</v>
      </c>
      <c r="D851" s="15" t="s">
        <v>132</v>
      </c>
      <c r="E851" s="15" t="s">
        <v>124</v>
      </c>
      <c r="F851" s="106"/>
      <c r="G851" s="6">
        <f t="shared" si="71"/>
        <v>0</v>
      </c>
    </row>
    <row r="852" spans="1:9" ht="31.5" hidden="1" x14ac:dyDescent="0.25">
      <c r="A852" s="19" t="s">
        <v>125</v>
      </c>
      <c r="B852" s="15" t="s">
        <v>614</v>
      </c>
      <c r="C852" s="15" t="s">
        <v>116</v>
      </c>
      <c r="D852" s="15" t="s">
        <v>132</v>
      </c>
      <c r="E852" s="15" t="s">
        <v>126</v>
      </c>
      <c r="F852" s="106"/>
      <c r="G852" s="6">
        <f>'Пр.4 ведом.22'!G270</f>
        <v>0</v>
      </c>
    </row>
    <row r="853" spans="1:9" s="131" customFormat="1" ht="47.25" hidden="1" x14ac:dyDescent="0.25">
      <c r="A853" s="31" t="s">
        <v>185</v>
      </c>
      <c r="B853" s="15" t="s">
        <v>614</v>
      </c>
      <c r="C853" s="28" t="s">
        <v>116</v>
      </c>
      <c r="D853" s="28" t="s">
        <v>132</v>
      </c>
      <c r="E853" s="2">
        <v>240</v>
      </c>
      <c r="F853" s="2">
        <v>903</v>
      </c>
      <c r="G853" s="6">
        <f>G852</f>
        <v>0</v>
      </c>
      <c r="H853" s="132"/>
    </row>
    <row r="854" spans="1:9" ht="31.5" hidden="1" x14ac:dyDescent="0.25">
      <c r="A854" s="19" t="s">
        <v>331</v>
      </c>
      <c r="B854" s="15" t="s">
        <v>615</v>
      </c>
      <c r="C854" s="28" t="s">
        <v>116</v>
      </c>
      <c r="D854" s="28" t="s">
        <v>132</v>
      </c>
      <c r="E854" s="2"/>
      <c r="F854" s="106"/>
      <c r="G854" s="6">
        <f t="shared" ref="G854:G855" si="72">G855</f>
        <v>0</v>
      </c>
    </row>
    <row r="855" spans="1:9" ht="31.5" hidden="1" x14ac:dyDescent="0.25">
      <c r="A855" s="19" t="s">
        <v>123</v>
      </c>
      <c r="B855" s="15" t="s">
        <v>615</v>
      </c>
      <c r="C855" s="28" t="s">
        <v>116</v>
      </c>
      <c r="D855" s="28" t="s">
        <v>132</v>
      </c>
      <c r="E855" s="2">
        <v>200</v>
      </c>
      <c r="F855" s="106"/>
      <c r="G855" s="6">
        <f t="shared" si="72"/>
        <v>0</v>
      </c>
    </row>
    <row r="856" spans="1:9" ht="31.5" hidden="1" x14ac:dyDescent="0.25">
      <c r="A856" s="19" t="s">
        <v>125</v>
      </c>
      <c r="B856" s="15" t="s">
        <v>615</v>
      </c>
      <c r="C856" s="28" t="s">
        <v>116</v>
      </c>
      <c r="D856" s="28" t="s">
        <v>132</v>
      </c>
      <c r="E856" s="2">
        <v>240</v>
      </c>
      <c r="F856" s="106"/>
      <c r="G856" s="6">
        <f>'Пр.4 ведом.22'!G273</f>
        <v>0</v>
      </c>
    </row>
    <row r="857" spans="1:9" s="131" customFormat="1" ht="47.25" hidden="1" x14ac:dyDescent="0.25">
      <c r="A857" s="31" t="s">
        <v>185</v>
      </c>
      <c r="B857" s="15" t="s">
        <v>615</v>
      </c>
      <c r="C857" s="28" t="s">
        <v>116</v>
      </c>
      <c r="D857" s="28" t="s">
        <v>132</v>
      </c>
      <c r="E857" s="2">
        <v>240</v>
      </c>
      <c r="F857" s="2">
        <v>903</v>
      </c>
      <c r="G857" s="6">
        <f>G856</f>
        <v>0</v>
      </c>
      <c r="H857" s="132"/>
    </row>
    <row r="858" spans="1:9" ht="31.7" hidden="1" customHeight="1" x14ac:dyDescent="0.25">
      <c r="A858" s="24" t="s">
        <v>352</v>
      </c>
      <c r="B858" s="15" t="s">
        <v>616</v>
      </c>
      <c r="C858" s="15" t="s">
        <v>116</v>
      </c>
      <c r="D858" s="15" t="s">
        <v>132</v>
      </c>
      <c r="E858" s="15"/>
      <c r="F858" s="106"/>
      <c r="G858" s="6">
        <f t="shared" ref="G858:G859" si="73">G859</f>
        <v>0</v>
      </c>
    </row>
    <row r="859" spans="1:9" ht="31.7" hidden="1" customHeight="1" x14ac:dyDescent="0.25">
      <c r="A859" s="19" t="s">
        <v>123</v>
      </c>
      <c r="B859" s="15" t="s">
        <v>616</v>
      </c>
      <c r="C859" s="15" t="s">
        <v>116</v>
      </c>
      <c r="D859" s="15" t="s">
        <v>132</v>
      </c>
      <c r="E859" s="15" t="s">
        <v>124</v>
      </c>
      <c r="F859" s="106"/>
      <c r="G859" s="6">
        <f t="shared" si="73"/>
        <v>0</v>
      </c>
    </row>
    <row r="860" spans="1:9" ht="31.7" hidden="1" customHeight="1" x14ac:dyDescent="0.25">
      <c r="A860" s="19" t="s">
        <v>125</v>
      </c>
      <c r="B860" s="15" t="s">
        <v>616</v>
      </c>
      <c r="C860" s="15" t="s">
        <v>116</v>
      </c>
      <c r="D860" s="15" t="s">
        <v>132</v>
      </c>
      <c r="E860" s="15" t="s">
        <v>126</v>
      </c>
      <c r="F860" s="106"/>
      <c r="G860" s="6">
        <f>'Пр.4 ведом.22'!G276</f>
        <v>0</v>
      </c>
    </row>
    <row r="861" spans="1:9" ht="47.25" hidden="1" x14ac:dyDescent="0.25">
      <c r="A861" s="31" t="s">
        <v>185</v>
      </c>
      <c r="B861" s="15" t="s">
        <v>616</v>
      </c>
      <c r="C861" s="15" t="s">
        <v>116</v>
      </c>
      <c r="D861" s="15" t="s">
        <v>132</v>
      </c>
      <c r="E861" s="15" t="s">
        <v>126</v>
      </c>
      <c r="F861" s="2">
        <v>903</v>
      </c>
      <c r="G861" s="6">
        <f>G860</f>
        <v>0</v>
      </c>
    </row>
    <row r="862" spans="1:9" ht="48.75" customHeight="1" x14ac:dyDescent="0.25">
      <c r="A862" s="29" t="s">
        <v>855</v>
      </c>
      <c r="B862" s="18" t="s">
        <v>339</v>
      </c>
      <c r="C862" s="7"/>
      <c r="D862" s="7"/>
      <c r="E862" s="3"/>
      <c r="F862" s="3"/>
      <c r="G862" s="4">
        <f>G863+G874+G917+G924</f>
        <v>3826.6399999999994</v>
      </c>
      <c r="H862" s="132">
        <v>3292.6</v>
      </c>
      <c r="I862" s="16">
        <f>H862-G862</f>
        <v>-534.03999999999951</v>
      </c>
    </row>
    <row r="863" spans="1:9" s="131" customFormat="1" ht="48.75" customHeight="1" x14ac:dyDescent="0.25">
      <c r="A863" s="137" t="s">
        <v>422</v>
      </c>
      <c r="B863" s="18" t="s">
        <v>428</v>
      </c>
      <c r="C863" s="7"/>
      <c r="D863" s="7"/>
      <c r="E863" s="3"/>
      <c r="F863" s="3"/>
      <c r="G863" s="4">
        <f>G864</f>
        <v>43</v>
      </c>
      <c r="H863" s="132"/>
      <c r="I863" s="16"/>
    </row>
    <row r="864" spans="1:9" s="77" customFormat="1" ht="15.75" x14ac:dyDescent="0.25">
      <c r="A864" s="22" t="s">
        <v>115</v>
      </c>
      <c r="B864" s="15" t="s">
        <v>428</v>
      </c>
      <c r="C864" s="28" t="s">
        <v>116</v>
      </c>
      <c r="D864" s="28"/>
      <c r="E864" s="2"/>
      <c r="F864" s="2"/>
      <c r="G864" s="6">
        <f t="shared" ref="G864" si="74">G865</f>
        <v>43</v>
      </c>
      <c r="H864" s="134"/>
    </row>
    <row r="865" spans="1:14" s="77" customFormat="1" ht="15.75" x14ac:dyDescent="0.25">
      <c r="A865" s="22" t="s">
        <v>131</v>
      </c>
      <c r="B865" s="15" t="s">
        <v>428</v>
      </c>
      <c r="C865" s="28" t="s">
        <v>116</v>
      </c>
      <c r="D865" s="28" t="s">
        <v>132</v>
      </c>
      <c r="E865" s="2"/>
      <c r="F865" s="2"/>
      <c r="G865" s="6">
        <f>G866+G870</f>
        <v>43</v>
      </c>
      <c r="H865" s="134"/>
    </row>
    <row r="866" spans="1:14" ht="31.5" x14ac:dyDescent="0.25">
      <c r="A866" s="70" t="s">
        <v>355</v>
      </c>
      <c r="B866" s="15" t="s">
        <v>423</v>
      </c>
      <c r="C866" s="28" t="s">
        <v>116</v>
      </c>
      <c r="D866" s="28" t="s">
        <v>132</v>
      </c>
      <c r="E866" s="2"/>
      <c r="F866" s="2"/>
      <c r="G866" s="6">
        <f t="shared" ref="G866:G867" si="75">G867</f>
        <v>37</v>
      </c>
    </row>
    <row r="867" spans="1:14" ht="31.5" x14ac:dyDescent="0.25">
      <c r="A867" s="19" t="s">
        <v>123</v>
      </c>
      <c r="B867" s="15" t="s">
        <v>423</v>
      </c>
      <c r="C867" s="28" t="s">
        <v>116</v>
      </c>
      <c r="D867" s="28" t="s">
        <v>132</v>
      </c>
      <c r="E867" s="2">
        <v>200</v>
      </c>
      <c r="F867" s="2"/>
      <c r="G867" s="6">
        <f t="shared" si="75"/>
        <v>37</v>
      </c>
    </row>
    <row r="868" spans="1:14" ht="31.5" x14ac:dyDescent="0.25">
      <c r="A868" s="19" t="s">
        <v>125</v>
      </c>
      <c r="B868" s="15" t="s">
        <v>423</v>
      </c>
      <c r="C868" s="28" t="s">
        <v>116</v>
      </c>
      <c r="D868" s="28" t="s">
        <v>132</v>
      </c>
      <c r="E868" s="2">
        <v>240</v>
      </c>
      <c r="F868" s="2"/>
      <c r="G868" s="6">
        <f>'Пр.4 ведом.22'!G143</f>
        <v>37</v>
      </c>
    </row>
    <row r="869" spans="1:14" s="131" customFormat="1" ht="19.5" customHeight="1" x14ac:dyDescent="0.25">
      <c r="A869" s="22" t="s">
        <v>137</v>
      </c>
      <c r="B869" s="15" t="s">
        <v>423</v>
      </c>
      <c r="C869" s="28" t="s">
        <v>116</v>
      </c>
      <c r="D869" s="28" t="s">
        <v>132</v>
      </c>
      <c r="E869" s="2">
        <v>240</v>
      </c>
      <c r="F869" s="2">
        <v>902</v>
      </c>
      <c r="G869" s="6">
        <f>G868</f>
        <v>37</v>
      </c>
      <c r="H869" s="132"/>
    </row>
    <row r="870" spans="1:14" s="131" customFormat="1" ht="31.5" x14ac:dyDescent="0.25">
      <c r="A870" s="70" t="s">
        <v>355</v>
      </c>
      <c r="B870" s="15" t="s">
        <v>423</v>
      </c>
      <c r="C870" s="28" t="s">
        <v>116</v>
      </c>
      <c r="D870" s="28" t="s">
        <v>132</v>
      </c>
      <c r="E870" s="2"/>
      <c r="F870" s="2"/>
      <c r="G870" s="6">
        <f>G871</f>
        <v>6</v>
      </c>
      <c r="H870" s="132"/>
    </row>
    <row r="871" spans="1:14" s="131" customFormat="1" ht="31.5" x14ac:dyDescent="0.25">
      <c r="A871" s="19" t="s">
        <v>123</v>
      </c>
      <c r="B871" s="15" t="s">
        <v>423</v>
      </c>
      <c r="C871" s="28" t="s">
        <v>116</v>
      </c>
      <c r="D871" s="28" t="s">
        <v>132</v>
      </c>
      <c r="E871" s="2">
        <v>200</v>
      </c>
      <c r="F871" s="2"/>
      <c r="G871" s="6">
        <f>G872</f>
        <v>6</v>
      </c>
      <c r="H871" s="132"/>
    </row>
    <row r="872" spans="1:14" s="131" customFormat="1" ht="31.5" x14ac:dyDescent="0.25">
      <c r="A872" s="19" t="s">
        <v>125</v>
      </c>
      <c r="B872" s="15" t="s">
        <v>423</v>
      </c>
      <c r="C872" s="28" t="s">
        <v>116</v>
      </c>
      <c r="D872" s="28" t="s">
        <v>132</v>
      </c>
      <c r="E872" s="2">
        <v>240</v>
      </c>
      <c r="F872" s="2"/>
      <c r="G872" s="6">
        <f>'Пр.4 ведом.22'!G281</f>
        <v>6</v>
      </c>
      <c r="H872" s="132"/>
    </row>
    <row r="873" spans="1:14" s="131" customFormat="1" ht="47.25" x14ac:dyDescent="0.25">
      <c r="A873" s="31" t="s">
        <v>185</v>
      </c>
      <c r="B873" s="15" t="s">
        <v>423</v>
      </c>
      <c r="C873" s="28" t="s">
        <v>116</v>
      </c>
      <c r="D873" s="28" t="s">
        <v>132</v>
      </c>
      <c r="E873" s="2">
        <v>240</v>
      </c>
      <c r="F873" s="2">
        <v>903</v>
      </c>
      <c r="G873" s="6">
        <f>G872</f>
        <v>6</v>
      </c>
      <c r="H873" s="132"/>
    </row>
    <row r="874" spans="1:14" s="131" customFormat="1" ht="47.25" x14ac:dyDescent="0.25">
      <c r="A874" s="29" t="s">
        <v>463</v>
      </c>
      <c r="B874" s="18" t="s">
        <v>461</v>
      </c>
      <c r="C874" s="28"/>
      <c r="D874" s="28"/>
      <c r="E874" s="2"/>
      <c r="F874" s="2"/>
      <c r="G874" s="4">
        <f>G875+G895+G905+G911</f>
        <v>3768.6399999999994</v>
      </c>
      <c r="H874" s="132"/>
      <c r="K874" s="16"/>
      <c r="N874" s="156"/>
    </row>
    <row r="875" spans="1:14" s="131" customFormat="1" ht="15.75" x14ac:dyDescent="0.25">
      <c r="A875" s="22" t="s">
        <v>186</v>
      </c>
      <c r="B875" s="15" t="s">
        <v>461</v>
      </c>
      <c r="C875" s="28" t="s">
        <v>187</v>
      </c>
      <c r="D875" s="28"/>
      <c r="E875" s="2"/>
      <c r="F875" s="2"/>
      <c r="G875" s="6">
        <f>G876+G882+G886</f>
        <v>2235.9399999999996</v>
      </c>
      <c r="H875" s="132"/>
    </row>
    <row r="876" spans="1:14" s="131" customFormat="1" ht="15.75" x14ac:dyDescent="0.25">
      <c r="A876" s="22" t="s">
        <v>236</v>
      </c>
      <c r="B876" s="15" t="s">
        <v>461</v>
      </c>
      <c r="C876" s="28" t="s">
        <v>187</v>
      </c>
      <c r="D876" s="28" t="s">
        <v>116</v>
      </c>
      <c r="E876" s="2"/>
      <c r="F876" s="2"/>
      <c r="G876" s="6">
        <f>G877</f>
        <v>571.79999999999995</v>
      </c>
      <c r="H876" s="132"/>
    </row>
    <row r="877" spans="1:14" s="131" customFormat="1" ht="47.25" x14ac:dyDescent="0.25">
      <c r="A877" s="31" t="s">
        <v>359</v>
      </c>
      <c r="B877" s="15" t="s">
        <v>506</v>
      </c>
      <c r="C877" s="28" t="s">
        <v>187</v>
      </c>
      <c r="D877" s="28" t="s">
        <v>116</v>
      </c>
      <c r="E877" s="2"/>
      <c r="F877" s="2"/>
      <c r="G877" s="6">
        <f>G878</f>
        <v>571.79999999999995</v>
      </c>
      <c r="H877" s="132"/>
      <c r="N877" s="156"/>
    </row>
    <row r="878" spans="1:14" s="131" customFormat="1" ht="31.5" x14ac:dyDescent="0.25">
      <c r="A878" s="22" t="s">
        <v>191</v>
      </c>
      <c r="B878" s="15" t="s">
        <v>506</v>
      </c>
      <c r="C878" s="28" t="s">
        <v>187</v>
      </c>
      <c r="D878" s="28" t="s">
        <v>116</v>
      </c>
      <c r="E878" s="2">
        <v>600</v>
      </c>
      <c r="F878" s="2"/>
      <c r="G878" s="6">
        <f>G879</f>
        <v>571.79999999999995</v>
      </c>
      <c r="H878" s="132"/>
    </row>
    <row r="879" spans="1:14" s="131" customFormat="1" ht="15.75" x14ac:dyDescent="0.25">
      <c r="A879" s="111" t="s">
        <v>193</v>
      </c>
      <c r="B879" s="15" t="s">
        <v>506</v>
      </c>
      <c r="C879" s="28" t="s">
        <v>187</v>
      </c>
      <c r="D879" s="28" t="s">
        <v>116</v>
      </c>
      <c r="E879" s="2">
        <v>610</v>
      </c>
      <c r="F879" s="2"/>
      <c r="G879" s="6">
        <f>'Пр.4 ведом.22'!G678</f>
        <v>571.79999999999995</v>
      </c>
      <c r="H879" s="132"/>
    </row>
    <row r="880" spans="1:14" s="131" customFormat="1" ht="31.5" x14ac:dyDescent="0.25">
      <c r="A880" s="22" t="s">
        <v>235</v>
      </c>
      <c r="B880" s="15" t="s">
        <v>506</v>
      </c>
      <c r="C880" s="28" t="s">
        <v>187</v>
      </c>
      <c r="D880" s="28" t="s">
        <v>116</v>
      </c>
      <c r="E880" s="2">
        <v>610</v>
      </c>
      <c r="F880" s="2">
        <v>906</v>
      </c>
      <c r="G880" s="6">
        <f>G879</f>
        <v>571.79999999999995</v>
      </c>
      <c r="H880" s="132"/>
    </row>
    <row r="881" spans="1:8" s="131" customFormat="1" ht="15.75" x14ac:dyDescent="0.25">
      <c r="A881" s="31" t="s">
        <v>239</v>
      </c>
      <c r="B881" s="15" t="s">
        <v>461</v>
      </c>
      <c r="C881" s="28" t="s">
        <v>187</v>
      </c>
      <c r="D881" s="28" t="s">
        <v>158</v>
      </c>
      <c r="E881" s="2"/>
      <c r="F881" s="2"/>
      <c r="G881" s="6">
        <f>G882</f>
        <v>870.84</v>
      </c>
      <c r="H881" s="132"/>
    </row>
    <row r="882" spans="1:8" s="131" customFormat="1" ht="47.25" x14ac:dyDescent="0.25">
      <c r="A882" s="31" t="s">
        <v>359</v>
      </c>
      <c r="B882" s="15" t="s">
        <v>506</v>
      </c>
      <c r="C882" s="28" t="s">
        <v>187</v>
      </c>
      <c r="D882" s="28" t="s">
        <v>158</v>
      </c>
      <c r="E882" s="2"/>
      <c r="F882" s="2"/>
      <c r="G882" s="6">
        <f>G883</f>
        <v>870.84</v>
      </c>
      <c r="H882" s="132"/>
    </row>
    <row r="883" spans="1:8" s="131" customFormat="1" ht="31.5" x14ac:dyDescent="0.25">
      <c r="A883" s="22" t="s">
        <v>191</v>
      </c>
      <c r="B883" s="15" t="s">
        <v>506</v>
      </c>
      <c r="C883" s="28" t="s">
        <v>187</v>
      </c>
      <c r="D883" s="28" t="s">
        <v>158</v>
      </c>
      <c r="E883" s="2">
        <v>600</v>
      </c>
      <c r="F883" s="2"/>
      <c r="G883" s="6">
        <f>G884</f>
        <v>870.84</v>
      </c>
      <c r="H883" s="132"/>
    </row>
    <row r="884" spans="1:8" s="131" customFormat="1" ht="15.75" x14ac:dyDescent="0.25">
      <c r="A884" s="111" t="s">
        <v>193</v>
      </c>
      <c r="B884" s="15" t="s">
        <v>506</v>
      </c>
      <c r="C884" s="28" t="s">
        <v>187</v>
      </c>
      <c r="D884" s="28" t="s">
        <v>158</v>
      </c>
      <c r="E884" s="2">
        <v>610</v>
      </c>
      <c r="F884" s="2"/>
      <c r="G884" s="6">
        <f>'Пр.4 ведом.22'!G767</f>
        <v>870.84</v>
      </c>
      <c r="H884" s="132"/>
    </row>
    <row r="885" spans="1:8" s="131" customFormat="1" ht="31.5" x14ac:dyDescent="0.25">
      <c r="A885" s="22" t="s">
        <v>235</v>
      </c>
      <c r="B885" s="15" t="s">
        <v>506</v>
      </c>
      <c r="C885" s="28" t="s">
        <v>187</v>
      </c>
      <c r="D885" s="28" t="s">
        <v>158</v>
      </c>
      <c r="E885" s="2">
        <v>610</v>
      </c>
      <c r="F885" s="2">
        <v>906</v>
      </c>
      <c r="G885" s="6">
        <f>G884</f>
        <v>870.84</v>
      </c>
      <c r="H885" s="132"/>
    </row>
    <row r="886" spans="1:8" s="131" customFormat="1" ht="15.75" x14ac:dyDescent="0.25">
      <c r="A886" s="31" t="s">
        <v>188</v>
      </c>
      <c r="B886" s="15" t="s">
        <v>461</v>
      </c>
      <c r="C886" s="28" t="s">
        <v>187</v>
      </c>
      <c r="D886" s="28" t="s">
        <v>159</v>
      </c>
      <c r="E886" s="2"/>
      <c r="F886" s="2"/>
      <c r="G886" s="6">
        <f>G891+G887</f>
        <v>793.3</v>
      </c>
      <c r="H886" s="132"/>
    </row>
    <row r="887" spans="1:8" s="131" customFormat="1" ht="31.5" x14ac:dyDescent="0.25">
      <c r="A887" s="70" t="s">
        <v>567</v>
      </c>
      <c r="B887" s="15" t="s">
        <v>462</v>
      </c>
      <c r="C887" s="28" t="s">
        <v>187</v>
      </c>
      <c r="D887" s="28" t="s">
        <v>159</v>
      </c>
      <c r="E887" s="2"/>
      <c r="F887" s="2"/>
      <c r="G887" s="6">
        <f>G888</f>
        <v>490.9</v>
      </c>
      <c r="H887" s="132"/>
    </row>
    <row r="888" spans="1:8" s="131" customFormat="1" ht="31.5" x14ac:dyDescent="0.25">
      <c r="A888" s="19" t="s">
        <v>123</v>
      </c>
      <c r="B888" s="15" t="s">
        <v>462</v>
      </c>
      <c r="C888" s="28" t="s">
        <v>187</v>
      </c>
      <c r="D888" s="28" t="s">
        <v>159</v>
      </c>
      <c r="E888" s="2">
        <v>200</v>
      </c>
      <c r="F888" s="2"/>
      <c r="G888" s="6">
        <f>G889</f>
        <v>490.9</v>
      </c>
      <c r="H888" s="132"/>
    </row>
    <row r="889" spans="1:8" s="131" customFormat="1" ht="31.5" x14ac:dyDescent="0.25">
      <c r="A889" s="19" t="s">
        <v>125</v>
      </c>
      <c r="B889" s="15" t="s">
        <v>462</v>
      </c>
      <c r="C889" s="28" t="s">
        <v>187</v>
      </c>
      <c r="D889" s="28" t="s">
        <v>159</v>
      </c>
      <c r="E889" s="2">
        <v>240</v>
      </c>
      <c r="F889" s="2"/>
      <c r="G889" s="6">
        <f>'Пр.4 ведом.22'!G345</f>
        <v>490.9</v>
      </c>
      <c r="H889" s="132"/>
    </row>
    <row r="890" spans="1:8" s="131" customFormat="1" ht="47.25" x14ac:dyDescent="0.25">
      <c r="A890" s="31" t="s">
        <v>185</v>
      </c>
      <c r="B890" s="15" t="s">
        <v>462</v>
      </c>
      <c r="C890" s="28" t="s">
        <v>187</v>
      </c>
      <c r="D890" s="28" t="s">
        <v>159</v>
      </c>
      <c r="E890" s="2">
        <v>240</v>
      </c>
      <c r="F890" s="2">
        <v>903</v>
      </c>
      <c r="G890" s="6">
        <f>G889</f>
        <v>490.9</v>
      </c>
      <c r="H890" s="132"/>
    </row>
    <row r="891" spans="1:8" s="131" customFormat="1" ht="47.25" x14ac:dyDescent="0.25">
      <c r="A891" s="31" t="s">
        <v>359</v>
      </c>
      <c r="B891" s="15" t="s">
        <v>506</v>
      </c>
      <c r="C891" s="28" t="s">
        <v>187</v>
      </c>
      <c r="D891" s="28" t="s">
        <v>159</v>
      </c>
      <c r="E891" s="2"/>
      <c r="F891" s="2"/>
      <c r="G891" s="6">
        <f>G892</f>
        <v>302.39999999999998</v>
      </c>
      <c r="H891" s="132"/>
    </row>
    <row r="892" spans="1:8" s="131" customFormat="1" ht="31.5" x14ac:dyDescent="0.25">
      <c r="A892" s="22" t="s">
        <v>191</v>
      </c>
      <c r="B892" s="15" t="s">
        <v>506</v>
      </c>
      <c r="C892" s="28" t="s">
        <v>187</v>
      </c>
      <c r="D892" s="28" t="s">
        <v>159</v>
      </c>
      <c r="E892" s="2">
        <v>600</v>
      </c>
      <c r="F892" s="2"/>
      <c r="G892" s="6">
        <f>G893</f>
        <v>302.39999999999998</v>
      </c>
      <c r="H892" s="132"/>
    </row>
    <row r="893" spans="1:8" s="131" customFormat="1" ht="15.75" x14ac:dyDescent="0.25">
      <c r="A893" s="111" t="s">
        <v>193</v>
      </c>
      <c r="B893" s="15" t="s">
        <v>506</v>
      </c>
      <c r="C893" s="28" t="s">
        <v>187</v>
      </c>
      <c r="D893" s="28" t="s">
        <v>159</v>
      </c>
      <c r="E893" s="2">
        <v>610</v>
      </c>
      <c r="F893" s="2"/>
      <c r="G893" s="6">
        <f>'Пр.4 ведом.22'!G800</f>
        <v>302.39999999999998</v>
      </c>
      <c r="H893" s="132"/>
    </row>
    <row r="894" spans="1:8" s="131" customFormat="1" ht="31.5" x14ac:dyDescent="0.25">
      <c r="A894" s="22" t="s">
        <v>235</v>
      </c>
      <c r="B894" s="15" t="s">
        <v>506</v>
      </c>
      <c r="C894" s="28" t="s">
        <v>187</v>
      </c>
      <c r="D894" s="28" t="s">
        <v>159</v>
      </c>
      <c r="E894" s="2">
        <v>610</v>
      </c>
      <c r="F894" s="2">
        <v>906</v>
      </c>
      <c r="G894" s="6">
        <f>G893</f>
        <v>302.39999999999998</v>
      </c>
      <c r="H894" s="132"/>
    </row>
    <row r="895" spans="1:8" s="131" customFormat="1" ht="15.75" x14ac:dyDescent="0.25">
      <c r="A895" s="19" t="s">
        <v>202</v>
      </c>
      <c r="B895" s="15" t="s">
        <v>461</v>
      </c>
      <c r="C895" s="28" t="s">
        <v>203</v>
      </c>
      <c r="D895" s="28"/>
      <c r="E895" s="2"/>
      <c r="F895" s="2"/>
      <c r="G895" s="6">
        <f>G896</f>
        <v>878.7</v>
      </c>
      <c r="H895" s="132"/>
    </row>
    <row r="896" spans="1:8" s="131" customFormat="1" ht="15.75" x14ac:dyDescent="0.25">
      <c r="A896" s="19" t="s">
        <v>204</v>
      </c>
      <c r="B896" s="15" t="s">
        <v>461</v>
      </c>
      <c r="C896" s="28" t="s">
        <v>203</v>
      </c>
      <c r="D896" s="28" t="s">
        <v>116</v>
      </c>
      <c r="E896" s="2"/>
      <c r="F896" s="2"/>
      <c r="G896" s="6">
        <f>G897+G901</f>
        <v>878.7</v>
      </c>
      <c r="H896" s="132"/>
    </row>
    <row r="897" spans="1:8" s="131" customFormat="1" ht="31.5" x14ac:dyDescent="0.25">
      <c r="A897" s="31" t="s">
        <v>357</v>
      </c>
      <c r="B897" s="15" t="s">
        <v>462</v>
      </c>
      <c r="C897" s="28" t="s">
        <v>203</v>
      </c>
      <c r="D897" s="28" t="s">
        <v>116</v>
      </c>
      <c r="E897" s="2"/>
      <c r="F897" s="2"/>
      <c r="G897" s="6">
        <f>G898</f>
        <v>506.80000000000007</v>
      </c>
      <c r="H897" s="132"/>
    </row>
    <row r="898" spans="1:8" s="131" customFormat="1" ht="31.5" x14ac:dyDescent="0.25">
      <c r="A898" s="19" t="s">
        <v>123</v>
      </c>
      <c r="B898" s="15" t="s">
        <v>462</v>
      </c>
      <c r="C898" s="28" t="s">
        <v>203</v>
      </c>
      <c r="D898" s="28" t="s">
        <v>116</v>
      </c>
      <c r="E898" s="2">
        <v>200</v>
      </c>
      <c r="F898" s="2"/>
      <c r="G898" s="6">
        <f>G899</f>
        <v>506.80000000000007</v>
      </c>
      <c r="H898" s="132"/>
    </row>
    <row r="899" spans="1:8" s="131" customFormat="1" ht="31.5" x14ac:dyDescent="0.25">
      <c r="A899" s="19" t="s">
        <v>125</v>
      </c>
      <c r="B899" s="15" t="s">
        <v>462</v>
      </c>
      <c r="C899" s="28" t="s">
        <v>203</v>
      </c>
      <c r="D899" s="28" t="s">
        <v>116</v>
      </c>
      <c r="E899" s="2">
        <v>240</v>
      </c>
      <c r="F899" s="2"/>
      <c r="G899" s="6">
        <f>'Пр.4 ведом.22'!G451</f>
        <v>506.80000000000007</v>
      </c>
      <c r="H899" s="132"/>
    </row>
    <row r="900" spans="1:8" s="131" customFormat="1" ht="47.25" x14ac:dyDescent="0.25">
      <c r="A900" s="31" t="s">
        <v>185</v>
      </c>
      <c r="B900" s="15" t="s">
        <v>462</v>
      </c>
      <c r="C900" s="28" t="s">
        <v>203</v>
      </c>
      <c r="D900" s="28" t="s">
        <v>116</v>
      </c>
      <c r="E900" s="2">
        <v>240</v>
      </c>
      <c r="F900" s="2">
        <v>903</v>
      </c>
      <c r="G900" s="6">
        <f>G899</f>
        <v>506.80000000000007</v>
      </c>
      <c r="H900" s="132"/>
    </row>
    <row r="901" spans="1:8" s="362" customFormat="1" ht="47.25" x14ac:dyDescent="0.25">
      <c r="A901" s="399" t="s">
        <v>359</v>
      </c>
      <c r="B901" s="402" t="s">
        <v>506</v>
      </c>
      <c r="C901" s="360" t="s">
        <v>203</v>
      </c>
      <c r="D901" s="360" t="s">
        <v>116</v>
      </c>
      <c r="E901" s="2"/>
      <c r="F901" s="2"/>
      <c r="G901" s="311">
        <f>G902</f>
        <v>371.9</v>
      </c>
      <c r="H901" s="363"/>
    </row>
    <row r="902" spans="1:8" s="362" customFormat="1" ht="31.5" x14ac:dyDescent="0.25">
      <c r="A902" s="399" t="s">
        <v>191</v>
      </c>
      <c r="B902" s="402" t="s">
        <v>506</v>
      </c>
      <c r="C902" s="360" t="s">
        <v>203</v>
      </c>
      <c r="D902" s="360" t="s">
        <v>116</v>
      </c>
      <c r="E902" s="2">
        <v>600</v>
      </c>
      <c r="F902" s="2"/>
      <c r="G902" s="311">
        <f>G903</f>
        <v>371.9</v>
      </c>
      <c r="H902" s="363"/>
    </row>
    <row r="903" spans="1:8" s="362" customFormat="1" ht="15.75" x14ac:dyDescent="0.25">
      <c r="A903" s="364" t="s">
        <v>193</v>
      </c>
      <c r="B903" s="402" t="s">
        <v>506</v>
      </c>
      <c r="C903" s="360" t="s">
        <v>203</v>
      </c>
      <c r="D903" s="360" t="s">
        <v>116</v>
      </c>
      <c r="E903" s="2">
        <v>610</v>
      </c>
      <c r="F903" s="2"/>
      <c r="G903" s="311">
        <f>'Пр.4 ведом.22'!G454</f>
        <v>371.9</v>
      </c>
      <c r="H903" s="363"/>
    </row>
    <row r="904" spans="1:8" s="362" customFormat="1" ht="47.25" x14ac:dyDescent="0.25">
      <c r="A904" s="31" t="s">
        <v>185</v>
      </c>
      <c r="B904" s="402" t="s">
        <v>506</v>
      </c>
      <c r="C904" s="360" t="s">
        <v>203</v>
      </c>
      <c r="D904" s="360" t="s">
        <v>116</v>
      </c>
      <c r="E904" s="2">
        <v>610</v>
      </c>
      <c r="F904" s="2">
        <v>903</v>
      </c>
      <c r="G904" s="311">
        <f>G903</f>
        <v>371.9</v>
      </c>
      <c r="H904" s="363"/>
    </row>
    <row r="905" spans="1:8" s="131" customFormat="1" ht="15.75" x14ac:dyDescent="0.25">
      <c r="A905" s="19" t="s">
        <v>250</v>
      </c>
      <c r="B905" s="15" t="s">
        <v>461</v>
      </c>
      <c r="C905" s="28" t="s">
        <v>251</v>
      </c>
      <c r="D905" s="28"/>
      <c r="E905" s="2"/>
      <c r="F905" s="2"/>
      <c r="G905" s="6">
        <f>G906</f>
        <v>579.1</v>
      </c>
      <c r="H905" s="132"/>
    </row>
    <row r="906" spans="1:8" s="131" customFormat="1" ht="15.75" x14ac:dyDescent="0.25">
      <c r="A906" s="19" t="s">
        <v>632</v>
      </c>
      <c r="B906" s="15" t="s">
        <v>461</v>
      </c>
      <c r="C906" s="28" t="s">
        <v>251</v>
      </c>
      <c r="D906" s="28" t="s">
        <v>116</v>
      </c>
      <c r="E906" s="2"/>
      <c r="F906" s="2"/>
      <c r="G906" s="6">
        <f>G907</f>
        <v>579.1</v>
      </c>
      <c r="H906" s="132"/>
    </row>
    <row r="907" spans="1:8" s="131" customFormat="1" ht="47.25" x14ac:dyDescent="0.25">
      <c r="A907" s="31" t="s">
        <v>359</v>
      </c>
      <c r="B907" s="15" t="s">
        <v>506</v>
      </c>
      <c r="C907" s="28" t="s">
        <v>251</v>
      </c>
      <c r="D907" s="28" t="s">
        <v>116</v>
      </c>
      <c r="E907" s="2"/>
      <c r="F907" s="2"/>
      <c r="G907" s="6">
        <f>G908</f>
        <v>579.1</v>
      </c>
      <c r="H907" s="132"/>
    </row>
    <row r="908" spans="1:8" s="131" customFormat="1" ht="31.5" x14ac:dyDescent="0.25">
      <c r="A908" s="22" t="s">
        <v>191</v>
      </c>
      <c r="B908" s="15" t="s">
        <v>506</v>
      </c>
      <c r="C908" s="28" t="s">
        <v>251</v>
      </c>
      <c r="D908" s="28" t="s">
        <v>116</v>
      </c>
      <c r="E908" s="2">
        <v>600</v>
      </c>
      <c r="F908" s="2"/>
      <c r="G908" s="6">
        <f>G909</f>
        <v>579.1</v>
      </c>
      <c r="H908" s="132"/>
    </row>
    <row r="909" spans="1:8" s="131" customFormat="1" ht="15.75" x14ac:dyDescent="0.25">
      <c r="A909" s="111" t="s">
        <v>193</v>
      </c>
      <c r="B909" s="15" t="s">
        <v>506</v>
      </c>
      <c r="C909" s="28" t="s">
        <v>251</v>
      </c>
      <c r="D909" s="28" t="s">
        <v>116</v>
      </c>
      <c r="E909" s="2">
        <v>610</v>
      </c>
      <c r="F909" s="2"/>
      <c r="G909" s="6">
        <f>'Пр.4 ведом.22'!G898</f>
        <v>579.1</v>
      </c>
      <c r="H909" s="132"/>
    </row>
    <row r="910" spans="1:8" s="131" customFormat="1" ht="31.5" x14ac:dyDescent="0.25">
      <c r="A910" s="31" t="s">
        <v>248</v>
      </c>
      <c r="B910" s="15" t="s">
        <v>506</v>
      </c>
      <c r="C910" s="28" t="s">
        <v>251</v>
      </c>
      <c r="D910" s="28" t="s">
        <v>116</v>
      </c>
      <c r="E910" s="2">
        <v>610</v>
      </c>
      <c r="F910" s="2">
        <v>907</v>
      </c>
      <c r="G910" s="6">
        <f>G909</f>
        <v>579.1</v>
      </c>
      <c r="H910" s="132"/>
    </row>
    <row r="911" spans="1:8" s="131" customFormat="1" ht="15.75" x14ac:dyDescent="0.25">
      <c r="A911" s="22" t="s">
        <v>288</v>
      </c>
      <c r="B911" s="15" t="s">
        <v>461</v>
      </c>
      <c r="C911" s="28" t="s">
        <v>171</v>
      </c>
      <c r="D911" s="28"/>
      <c r="E911" s="2"/>
      <c r="F911" s="2"/>
      <c r="G911" s="6">
        <f>G912</f>
        <v>74.900000000000006</v>
      </c>
      <c r="H911" s="132"/>
    </row>
    <row r="912" spans="1:8" s="131" customFormat="1" ht="15.75" x14ac:dyDescent="0.25">
      <c r="A912" s="22" t="s">
        <v>289</v>
      </c>
      <c r="B912" s="15" t="s">
        <v>461</v>
      </c>
      <c r="C912" s="28" t="s">
        <v>171</v>
      </c>
      <c r="D912" s="28" t="s">
        <v>158</v>
      </c>
      <c r="E912" s="2"/>
      <c r="F912" s="2"/>
      <c r="G912" s="6">
        <f>G913</f>
        <v>74.900000000000006</v>
      </c>
      <c r="H912" s="132"/>
    </row>
    <row r="913" spans="1:8" s="131" customFormat="1" ht="31.5" x14ac:dyDescent="0.25">
      <c r="A913" s="31" t="s">
        <v>357</v>
      </c>
      <c r="B913" s="15" t="s">
        <v>462</v>
      </c>
      <c r="C913" s="28" t="s">
        <v>171</v>
      </c>
      <c r="D913" s="28" t="s">
        <v>158</v>
      </c>
      <c r="E913" s="2"/>
      <c r="F913" s="2"/>
      <c r="G913" s="6">
        <f>G914</f>
        <v>74.900000000000006</v>
      </c>
      <c r="H913" s="132"/>
    </row>
    <row r="914" spans="1:8" s="131" customFormat="1" ht="31.5" x14ac:dyDescent="0.25">
      <c r="A914" s="19" t="s">
        <v>123</v>
      </c>
      <c r="B914" s="15" t="s">
        <v>462</v>
      </c>
      <c r="C914" s="28" t="s">
        <v>171</v>
      </c>
      <c r="D914" s="28" t="s">
        <v>158</v>
      </c>
      <c r="E914" s="2">
        <v>200</v>
      </c>
      <c r="F914" s="2"/>
      <c r="G914" s="6">
        <f>G915</f>
        <v>74.900000000000006</v>
      </c>
      <c r="H914" s="132"/>
    </row>
    <row r="915" spans="1:8" s="131" customFormat="1" ht="31.5" x14ac:dyDescent="0.25">
      <c r="A915" s="19" t="s">
        <v>125</v>
      </c>
      <c r="B915" s="15" t="s">
        <v>462</v>
      </c>
      <c r="C915" s="28" t="s">
        <v>171</v>
      </c>
      <c r="D915" s="28" t="s">
        <v>158</v>
      </c>
      <c r="E915" s="2">
        <v>240</v>
      </c>
      <c r="F915" s="2"/>
      <c r="G915" s="6">
        <f>'Пр.4 ведом.22'!G540</f>
        <v>74.900000000000006</v>
      </c>
      <c r="H915" s="132"/>
    </row>
    <row r="916" spans="1:8" s="131" customFormat="1" ht="47.25" x14ac:dyDescent="0.25">
      <c r="A916" s="31" t="s">
        <v>185</v>
      </c>
      <c r="B916" s="15" t="s">
        <v>462</v>
      </c>
      <c r="C916" s="28" t="s">
        <v>171</v>
      </c>
      <c r="D916" s="28" t="s">
        <v>158</v>
      </c>
      <c r="E916" s="2">
        <v>240</v>
      </c>
      <c r="F916" s="2">
        <v>903</v>
      </c>
      <c r="G916" s="6">
        <f>G913</f>
        <v>74.900000000000006</v>
      </c>
      <c r="H916" s="132"/>
    </row>
    <row r="917" spans="1:8" s="131" customFormat="1" ht="31.5" x14ac:dyDescent="0.25">
      <c r="A917" s="138" t="s">
        <v>586</v>
      </c>
      <c r="B917" s="18" t="s">
        <v>429</v>
      </c>
      <c r="C917" s="7"/>
      <c r="D917" s="7"/>
      <c r="E917" s="3"/>
      <c r="F917" s="3"/>
      <c r="G917" s="4">
        <f>G918</f>
        <v>15</v>
      </c>
      <c r="H917" s="132"/>
    </row>
    <row r="918" spans="1:8" s="131" customFormat="1" ht="15.75" x14ac:dyDescent="0.25">
      <c r="A918" s="149" t="s">
        <v>115</v>
      </c>
      <c r="B918" s="15" t="s">
        <v>429</v>
      </c>
      <c r="C918" s="28" t="s">
        <v>116</v>
      </c>
      <c r="D918" s="28"/>
      <c r="E918" s="2"/>
      <c r="F918" s="2"/>
      <c r="G918" s="6">
        <f>G919</f>
        <v>15</v>
      </c>
      <c r="H918" s="132"/>
    </row>
    <row r="919" spans="1:8" s="131" customFormat="1" ht="15.75" x14ac:dyDescent="0.25">
      <c r="A919" s="149" t="s">
        <v>131</v>
      </c>
      <c r="B919" s="15" t="s">
        <v>429</v>
      </c>
      <c r="C919" s="28" t="s">
        <v>116</v>
      </c>
      <c r="D919" s="28" t="s">
        <v>132</v>
      </c>
      <c r="E919" s="2"/>
      <c r="F919" s="2"/>
      <c r="G919" s="6">
        <f>G920</f>
        <v>15</v>
      </c>
      <c r="H919" s="132"/>
    </row>
    <row r="920" spans="1:8" ht="47.25" x14ac:dyDescent="0.25">
      <c r="A920" s="174" t="s">
        <v>568</v>
      </c>
      <c r="B920" s="15" t="s">
        <v>424</v>
      </c>
      <c r="C920" s="28" t="s">
        <v>116</v>
      </c>
      <c r="D920" s="28" t="s">
        <v>132</v>
      </c>
      <c r="E920" s="2"/>
      <c r="F920" s="2"/>
      <c r="G920" s="6">
        <f t="shared" ref="G920:G921" si="76">G921</f>
        <v>15</v>
      </c>
    </row>
    <row r="921" spans="1:8" ht="31.5" x14ac:dyDescent="0.25">
      <c r="A921" s="19" t="s">
        <v>123</v>
      </c>
      <c r="B921" s="15" t="s">
        <v>424</v>
      </c>
      <c r="C921" s="28" t="s">
        <v>116</v>
      </c>
      <c r="D921" s="28" t="s">
        <v>132</v>
      </c>
      <c r="E921" s="2">
        <v>200</v>
      </c>
      <c r="F921" s="2"/>
      <c r="G921" s="6">
        <f t="shared" si="76"/>
        <v>15</v>
      </c>
    </row>
    <row r="922" spans="1:8" ht="31.5" x14ac:dyDescent="0.25">
      <c r="A922" s="19" t="s">
        <v>125</v>
      </c>
      <c r="B922" s="15" t="s">
        <v>424</v>
      </c>
      <c r="C922" s="28" t="s">
        <v>116</v>
      </c>
      <c r="D922" s="28" t="s">
        <v>132</v>
      </c>
      <c r="E922" s="2">
        <v>240</v>
      </c>
      <c r="F922" s="2"/>
      <c r="G922" s="6">
        <f>'Пр.4 ведом.22'!G147</f>
        <v>15</v>
      </c>
    </row>
    <row r="923" spans="1:8" ht="20.25" customHeight="1" x14ac:dyDescent="0.25">
      <c r="A923" s="22" t="s">
        <v>137</v>
      </c>
      <c r="B923" s="15" t="s">
        <v>424</v>
      </c>
      <c r="C923" s="28" t="s">
        <v>116</v>
      </c>
      <c r="D923" s="28" t="s">
        <v>132</v>
      </c>
      <c r="E923" s="2">
        <v>240</v>
      </c>
      <c r="F923" s="2">
        <v>902</v>
      </c>
      <c r="G923" s="6">
        <f>G922</f>
        <v>15</v>
      </c>
    </row>
    <row r="924" spans="1:8" s="291" customFormat="1" ht="33" hidden="1" customHeight="1" x14ac:dyDescent="0.25">
      <c r="A924" s="17" t="s">
        <v>1017</v>
      </c>
      <c r="B924" s="18" t="s">
        <v>1018</v>
      </c>
      <c r="C924" s="7"/>
      <c r="D924" s="7"/>
      <c r="E924" s="3"/>
      <c r="F924" s="3"/>
      <c r="G924" s="4">
        <f>G925</f>
        <v>0</v>
      </c>
      <c r="H924" s="132"/>
    </row>
    <row r="925" spans="1:8" s="291" customFormat="1" ht="31.5" hidden="1" x14ac:dyDescent="0.25">
      <c r="A925" s="317" t="s">
        <v>163</v>
      </c>
      <c r="B925" s="293" t="s">
        <v>1018</v>
      </c>
      <c r="C925" s="28" t="s">
        <v>159</v>
      </c>
      <c r="D925" s="28"/>
      <c r="E925" s="2"/>
      <c r="F925" s="2"/>
      <c r="G925" s="292">
        <f>G926</f>
        <v>0</v>
      </c>
      <c r="H925" s="132"/>
    </row>
    <row r="926" spans="1:8" s="291" customFormat="1" ht="47.25" hidden="1" x14ac:dyDescent="0.25">
      <c r="A926" s="317" t="s">
        <v>848</v>
      </c>
      <c r="B926" s="293" t="s">
        <v>1018</v>
      </c>
      <c r="C926" s="28" t="s">
        <v>159</v>
      </c>
      <c r="D926" s="28" t="s">
        <v>174</v>
      </c>
      <c r="E926" s="2"/>
      <c r="F926" s="2"/>
      <c r="G926" s="292">
        <f>G927+G931</f>
        <v>0</v>
      </c>
      <c r="H926" s="132"/>
    </row>
    <row r="927" spans="1:8" s="291" customFormat="1" ht="20.25" hidden="1" customHeight="1" x14ac:dyDescent="0.25">
      <c r="A927" s="294" t="s">
        <v>165</v>
      </c>
      <c r="B927" s="293" t="s">
        <v>1019</v>
      </c>
      <c r="C927" s="320" t="s">
        <v>159</v>
      </c>
      <c r="D927" s="320" t="s">
        <v>174</v>
      </c>
      <c r="E927" s="2"/>
      <c r="F927" s="2"/>
      <c r="G927" s="292">
        <f>G928</f>
        <v>0</v>
      </c>
      <c r="H927" s="132"/>
    </row>
    <row r="928" spans="1:8" s="291" customFormat="1" ht="31.5" hidden="1" x14ac:dyDescent="0.25">
      <c r="A928" s="294" t="s">
        <v>123</v>
      </c>
      <c r="B928" s="293" t="s">
        <v>1019</v>
      </c>
      <c r="C928" s="320" t="s">
        <v>159</v>
      </c>
      <c r="D928" s="320" t="s">
        <v>174</v>
      </c>
      <c r="E928" s="2">
        <v>200</v>
      </c>
      <c r="F928" s="2"/>
      <c r="G928" s="292">
        <f>G929</f>
        <v>0</v>
      </c>
      <c r="H928" s="132"/>
    </row>
    <row r="929" spans="1:8" s="291" customFormat="1" ht="31.5" hidden="1" x14ac:dyDescent="0.25">
      <c r="A929" s="294" t="s">
        <v>125</v>
      </c>
      <c r="B929" s="293" t="s">
        <v>1019</v>
      </c>
      <c r="C929" s="320" t="s">
        <v>159</v>
      </c>
      <c r="D929" s="320" t="s">
        <v>174</v>
      </c>
      <c r="E929" s="2">
        <v>240</v>
      </c>
      <c r="F929" s="2"/>
      <c r="G929" s="292">
        <f>'Пр.4 ведом.22'!G193</f>
        <v>0</v>
      </c>
      <c r="H929" s="132"/>
    </row>
    <row r="930" spans="1:8" s="291" customFormat="1" ht="15.75" hidden="1" x14ac:dyDescent="0.25">
      <c r="A930" s="22" t="s">
        <v>137</v>
      </c>
      <c r="B930" s="293" t="s">
        <v>1019</v>
      </c>
      <c r="C930" s="320" t="s">
        <v>159</v>
      </c>
      <c r="D930" s="320" t="s">
        <v>174</v>
      </c>
      <c r="E930" s="2">
        <v>240</v>
      </c>
      <c r="F930" s="2">
        <v>902</v>
      </c>
      <c r="G930" s="292">
        <f>G929</f>
        <v>0</v>
      </c>
      <c r="H930" s="132"/>
    </row>
    <row r="931" spans="1:8" s="309" customFormat="1" ht="47.25" hidden="1" x14ac:dyDescent="0.25">
      <c r="A931" s="317" t="s">
        <v>1052</v>
      </c>
      <c r="B931" s="313" t="s">
        <v>1053</v>
      </c>
      <c r="C931" s="320" t="s">
        <v>159</v>
      </c>
      <c r="D931" s="320" t="s">
        <v>174</v>
      </c>
      <c r="E931" s="2"/>
      <c r="F931" s="2"/>
      <c r="G931" s="311">
        <f>G932</f>
        <v>0</v>
      </c>
      <c r="H931" s="132"/>
    </row>
    <row r="932" spans="1:8" s="309" customFormat="1" ht="15.75" hidden="1" x14ac:dyDescent="0.25">
      <c r="A932" s="317" t="s">
        <v>177</v>
      </c>
      <c r="B932" s="313" t="s">
        <v>1053</v>
      </c>
      <c r="C932" s="320" t="s">
        <v>159</v>
      </c>
      <c r="D932" s="320" t="s">
        <v>174</v>
      </c>
      <c r="E932" s="2" t="s">
        <v>178</v>
      </c>
      <c r="F932" s="2"/>
      <c r="G932" s="311">
        <f>G933</f>
        <v>0</v>
      </c>
      <c r="H932" s="132"/>
    </row>
    <row r="933" spans="1:8" s="309" customFormat="1" ht="31.5" hidden="1" x14ac:dyDescent="0.25">
      <c r="A933" s="317" t="s">
        <v>179</v>
      </c>
      <c r="B933" s="313" t="s">
        <v>1053</v>
      </c>
      <c r="C933" s="320" t="s">
        <v>159</v>
      </c>
      <c r="D933" s="320" t="s">
        <v>174</v>
      </c>
      <c r="E933" s="2" t="s">
        <v>180</v>
      </c>
      <c r="F933" s="2"/>
      <c r="G933" s="311">
        <f>'Пр.4 ведом.22'!G199</f>
        <v>0</v>
      </c>
      <c r="H933" s="132"/>
    </row>
    <row r="934" spans="1:8" s="309" customFormat="1" ht="15.75" hidden="1" x14ac:dyDescent="0.25">
      <c r="A934" s="22" t="s">
        <v>137</v>
      </c>
      <c r="B934" s="313" t="s">
        <v>1053</v>
      </c>
      <c r="C934" s="320" t="s">
        <v>159</v>
      </c>
      <c r="D934" s="320" t="s">
        <v>174</v>
      </c>
      <c r="E934" s="2">
        <v>320</v>
      </c>
      <c r="F934" s="2">
        <v>902</v>
      </c>
      <c r="G934" s="311">
        <f>G933</f>
        <v>0</v>
      </c>
      <c r="H934" s="132"/>
    </row>
    <row r="935" spans="1:8" ht="65.25" customHeight="1" x14ac:dyDescent="0.25">
      <c r="A935" s="17" t="s">
        <v>979</v>
      </c>
      <c r="B935" s="18" t="s">
        <v>341</v>
      </c>
      <c r="C935" s="7"/>
      <c r="D935" s="7"/>
      <c r="E935" s="3"/>
      <c r="F935" s="3"/>
      <c r="G935" s="4">
        <f>G936+G943</f>
        <v>26090</v>
      </c>
    </row>
    <row r="936" spans="1:8" s="131" customFormat="1" ht="31.5" x14ac:dyDescent="0.25">
      <c r="A936" s="17" t="s">
        <v>623</v>
      </c>
      <c r="B936" s="18" t="s">
        <v>641</v>
      </c>
      <c r="C936" s="7"/>
      <c r="D936" s="7"/>
      <c r="E936" s="3"/>
      <c r="F936" s="3"/>
      <c r="G936" s="4">
        <f>G937</f>
        <v>26090</v>
      </c>
      <c r="H936" s="132"/>
    </row>
    <row r="937" spans="1:8" ht="15.75" x14ac:dyDescent="0.25">
      <c r="A937" s="19" t="s">
        <v>231</v>
      </c>
      <c r="B937" s="15" t="s">
        <v>412</v>
      </c>
      <c r="C937" s="28" t="s">
        <v>168</v>
      </c>
      <c r="D937" s="28"/>
      <c r="E937" s="2"/>
      <c r="F937" s="2"/>
      <c r="G937" s="6">
        <f t="shared" ref="G937:G940" si="77">G938</f>
        <v>26090</v>
      </c>
    </row>
    <row r="938" spans="1:8" ht="15.75" x14ac:dyDescent="0.25">
      <c r="A938" s="19" t="s">
        <v>272</v>
      </c>
      <c r="B938" s="15" t="s">
        <v>412</v>
      </c>
      <c r="C938" s="28" t="s">
        <v>168</v>
      </c>
      <c r="D938" s="28" t="s">
        <v>159</v>
      </c>
      <c r="E938" s="2"/>
      <c r="F938" s="2"/>
      <c r="G938" s="6">
        <f t="shared" si="77"/>
        <v>26090</v>
      </c>
    </row>
    <row r="939" spans="1:8" ht="47.25" x14ac:dyDescent="0.25">
      <c r="A939" s="52" t="s">
        <v>333</v>
      </c>
      <c r="B939" s="15" t="s">
        <v>412</v>
      </c>
      <c r="C939" s="28" t="s">
        <v>168</v>
      </c>
      <c r="D939" s="28" t="s">
        <v>159</v>
      </c>
      <c r="E939" s="2"/>
      <c r="F939" s="2"/>
      <c r="G939" s="6">
        <f t="shared" si="77"/>
        <v>26090</v>
      </c>
    </row>
    <row r="940" spans="1:8" ht="31.5" x14ac:dyDescent="0.25">
      <c r="A940" s="19" t="s">
        <v>123</v>
      </c>
      <c r="B940" s="15" t="s">
        <v>412</v>
      </c>
      <c r="C940" s="28" t="s">
        <v>168</v>
      </c>
      <c r="D940" s="28" t="s">
        <v>159</v>
      </c>
      <c r="E940" s="2">
        <v>200</v>
      </c>
      <c r="F940" s="2"/>
      <c r="G940" s="6">
        <f t="shared" si="77"/>
        <v>26090</v>
      </c>
    </row>
    <row r="941" spans="1:8" ht="31.5" x14ac:dyDescent="0.25">
      <c r="A941" s="19" t="s">
        <v>125</v>
      </c>
      <c r="B941" s="15" t="s">
        <v>412</v>
      </c>
      <c r="C941" s="28" t="s">
        <v>168</v>
      </c>
      <c r="D941" s="28" t="s">
        <v>159</v>
      </c>
      <c r="E941" s="2">
        <v>240</v>
      </c>
      <c r="F941" s="2"/>
      <c r="G941" s="6">
        <f>'Пр.4 ведом.22'!G1135</f>
        <v>26090</v>
      </c>
    </row>
    <row r="942" spans="1:8" ht="34.5" customHeight="1" x14ac:dyDescent="0.25">
      <c r="A942" s="31" t="s">
        <v>302</v>
      </c>
      <c r="B942" s="15" t="s">
        <v>412</v>
      </c>
      <c r="C942" s="28" t="s">
        <v>168</v>
      </c>
      <c r="D942" s="28" t="s">
        <v>159</v>
      </c>
      <c r="E942" s="2">
        <v>240</v>
      </c>
      <c r="F942" s="2">
        <v>908</v>
      </c>
      <c r="G942" s="6">
        <f t="shared" ref="G942" si="78">G935</f>
        <v>26090</v>
      </c>
    </row>
    <row r="943" spans="1:8" s="405" customFormat="1" ht="110.25" hidden="1" x14ac:dyDescent="0.25">
      <c r="A943" s="417" t="s">
        <v>1073</v>
      </c>
      <c r="B943" s="414" t="s">
        <v>1074</v>
      </c>
      <c r="C943" s="407"/>
      <c r="D943" s="407"/>
      <c r="E943" s="415"/>
      <c r="F943" s="415"/>
      <c r="G943" s="408">
        <f>G944</f>
        <v>0</v>
      </c>
    </row>
    <row r="944" spans="1:8" s="405" customFormat="1" ht="15.75" hidden="1" x14ac:dyDescent="0.25">
      <c r="A944" s="399" t="s">
        <v>231</v>
      </c>
      <c r="B944" s="402" t="s">
        <v>1075</v>
      </c>
      <c r="C944" s="403" t="s">
        <v>168</v>
      </c>
      <c r="D944" s="403"/>
      <c r="E944" s="410"/>
      <c r="F944" s="410"/>
      <c r="G944" s="409">
        <f t="shared" ref="G944:G947" si="79">G945</f>
        <v>0</v>
      </c>
    </row>
    <row r="945" spans="1:8" s="405" customFormat="1" ht="15.75" hidden="1" x14ac:dyDescent="0.25">
      <c r="A945" s="399" t="s">
        <v>272</v>
      </c>
      <c r="B945" s="402" t="s">
        <v>1075</v>
      </c>
      <c r="C945" s="403" t="s">
        <v>168</v>
      </c>
      <c r="D945" s="403" t="s">
        <v>159</v>
      </c>
      <c r="E945" s="410"/>
      <c r="F945" s="410"/>
      <c r="G945" s="409">
        <f t="shared" si="79"/>
        <v>0</v>
      </c>
    </row>
    <row r="946" spans="1:8" s="405" customFormat="1" ht="94.5" hidden="1" x14ac:dyDescent="0.25">
      <c r="A946" s="418" t="s">
        <v>1096</v>
      </c>
      <c r="B946" s="402" t="s">
        <v>1075</v>
      </c>
      <c r="C946" s="403" t="s">
        <v>168</v>
      </c>
      <c r="D946" s="403" t="s">
        <v>159</v>
      </c>
      <c r="E946" s="410"/>
      <c r="F946" s="410"/>
      <c r="G946" s="409">
        <f t="shared" si="79"/>
        <v>0</v>
      </c>
    </row>
    <row r="947" spans="1:8" s="405" customFormat="1" ht="31.5" hidden="1" x14ac:dyDescent="0.25">
      <c r="A947" s="399" t="s">
        <v>123</v>
      </c>
      <c r="B947" s="402" t="s">
        <v>1075</v>
      </c>
      <c r="C947" s="403" t="s">
        <v>168</v>
      </c>
      <c r="D947" s="403" t="s">
        <v>159</v>
      </c>
      <c r="E947" s="410">
        <v>200</v>
      </c>
      <c r="F947" s="410"/>
      <c r="G947" s="409">
        <f t="shared" si="79"/>
        <v>0</v>
      </c>
    </row>
    <row r="948" spans="1:8" s="405" customFormat="1" ht="31.5" hidden="1" x14ac:dyDescent="0.25">
      <c r="A948" s="399" t="s">
        <v>125</v>
      </c>
      <c r="B948" s="402" t="s">
        <v>1075</v>
      </c>
      <c r="C948" s="403" t="s">
        <v>168</v>
      </c>
      <c r="D948" s="403" t="s">
        <v>159</v>
      </c>
      <c r="E948" s="410">
        <v>240</v>
      </c>
      <c r="F948" s="410"/>
      <c r="G948" s="409">
        <f>'Пр.4 ведом.22'!G1139</f>
        <v>0</v>
      </c>
    </row>
    <row r="949" spans="1:8" s="405" customFormat="1" ht="34.5" hidden="1" customHeight="1" x14ac:dyDescent="0.25">
      <c r="A949" s="406" t="s">
        <v>302</v>
      </c>
      <c r="B949" s="402" t="s">
        <v>1075</v>
      </c>
      <c r="C949" s="403" t="s">
        <v>168</v>
      </c>
      <c r="D949" s="403" t="s">
        <v>159</v>
      </c>
      <c r="E949" s="410">
        <v>240</v>
      </c>
      <c r="F949" s="410">
        <v>908</v>
      </c>
      <c r="G949" s="409">
        <f>'Пр.4 ведом.22'!G1139</f>
        <v>0</v>
      </c>
    </row>
    <row r="950" spans="1:8" s="114" customFormat="1" ht="63" hidden="1" x14ac:dyDescent="0.25">
      <c r="A950" s="37" t="s">
        <v>977</v>
      </c>
      <c r="B950" s="18" t="s">
        <v>360</v>
      </c>
      <c r="C950" s="7"/>
      <c r="D950" s="7"/>
      <c r="E950" s="3"/>
      <c r="F950" s="3"/>
      <c r="G950" s="4">
        <f>G952</f>
        <v>0</v>
      </c>
      <c r="H950" s="135"/>
    </row>
    <row r="951" spans="1:8" s="114" customFormat="1" ht="31.5" hidden="1" x14ac:dyDescent="0.25">
      <c r="A951" s="17" t="s">
        <v>501</v>
      </c>
      <c r="B951" s="18" t="s">
        <v>583</v>
      </c>
      <c r="C951" s="7"/>
      <c r="D951" s="7"/>
      <c r="E951" s="3"/>
      <c r="F951" s="3"/>
      <c r="G951" s="4">
        <f>G952</f>
        <v>0</v>
      </c>
      <c r="H951" s="135"/>
    </row>
    <row r="952" spans="1:8" ht="15.75" hidden="1" x14ac:dyDescent="0.25">
      <c r="A952" s="31" t="s">
        <v>115</v>
      </c>
      <c r="B952" s="15" t="s">
        <v>583</v>
      </c>
      <c r="C952" s="28" t="s">
        <v>116</v>
      </c>
      <c r="D952" s="28"/>
      <c r="E952" s="2"/>
      <c r="F952" s="2"/>
      <c r="G952" s="6">
        <f>G953</f>
        <v>0</v>
      </c>
    </row>
    <row r="953" spans="1:8" ht="15.75" hidden="1" x14ac:dyDescent="0.25">
      <c r="A953" s="31" t="s">
        <v>131</v>
      </c>
      <c r="B953" s="15" t="s">
        <v>583</v>
      </c>
      <c r="C953" s="28" t="s">
        <v>116</v>
      </c>
      <c r="D953" s="28" t="s">
        <v>132</v>
      </c>
      <c r="E953" s="2"/>
      <c r="F953" s="2"/>
      <c r="G953" s="6">
        <f>G954</f>
        <v>0</v>
      </c>
    </row>
    <row r="954" spans="1:8" ht="31.5" hidden="1" x14ac:dyDescent="0.25">
      <c r="A954" s="31" t="s">
        <v>368</v>
      </c>
      <c r="B954" s="15" t="s">
        <v>584</v>
      </c>
      <c r="C954" s="28" t="s">
        <v>116</v>
      </c>
      <c r="D954" s="28" t="s">
        <v>132</v>
      </c>
      <c r="E954" s="2"/>
      <c r="F954" s="2"/>
      <c r="G954" s="6">
        <f>G955</f>
        <v>0</v>
      </c>
    </row>
    <row r="955" spans="1:8" ht="31.5" hidden="1" x14ac:dyDescent="0.25">
      <c r="A955" s="31" t="s">
        <v>123</v>
      </c>
      <c r="B955" s="15" t="s">
        <v>584</v>
      </c>
      <c r="C955" s="28" t="s">
        <v>116</v>
      </c>
      <c r="D955" s="28" t="s">
        <v>132</v>
      </c>
      <c r="E955" s="2">
        <v>200</v>
      </c>
      <c r="F955" s="2"/>
      <c r="G955" s="6">
        <f>G956</f>
        <v>0</v>
      </c>
    </row>
    <row r="956" spans="1:8" ht="31.5" hidden="1" x14ac:dyDescent="0.25">
      <c r="A956" s="31" t="s">
        <v>125</v>
      </c>
      <c r="B956" s="15" t="s">
        <v>584</v>
      </c>
      <c r="C956" s="28" t="s">
        <v>116</v>
      </c>
      <c r="D956" s="28" t="s">
        <v>132</v>
      </c>
      <c r="E956" s="2">
        <v>240</v>
      </c>
      <c r="F956" s="2"/>
      <c r="G956" s="6">
        <f>'Пр.4 ведом.22'!G591</f>
        <v>0</v>
      </c>
    </row>
    <row r="957" spans="1:8" ht="36.75" hidden="1" customHeight="1" x14ac:dyDescent="0.25">
      <c r="A957" s="31" t="s">
        <v>879</v>
      </c>
      <c r="B957" s="15" t="s">
        <v>584</v>
      </c>
      <c r="C957" s="28" t="s">
        <v>116</v>
      </c>
      <c r="D957" s="28" t="s">
        <v>132</v>
      </c>
      <c r="E957" s="2">
        <v>240</v>
      </c>
      <c r="F957" s="2">
        <v>905</v>
      </c>
      <c r="G957" s="6">
        <f>G950</f>
        <v>0</v>
      </c>
    </row>
    <row r="958" spans="1:8" ht="68.25" customHeight="1" x14ac:dyDescent="0.25">
      <c r="A958" s="29" t="s">
        <v>867</v>
      </c>
      <c r="B958" s="18" t="s">
        <v>395</v>
      </c>
      <c r="C958" s="7"/>
      <c r="D958" s="7"/>
      <c r="E958" s="3"/>
      <c r="F958" s="3"/>
      <c r="G958" s="4">
        <f>G960</f>
        <v>45</v>
      </c>
    </row>
    <row r="959" spans="1:8" s="131" customFormat="1" ht="47.25" x14ac:dyDescent="0.25">
      <c r="A959" s="139" t="s">
        <v>430</v>
      </c>
      <c r="B959" s="18" t="s">
        <v>630</v>
      </c>
      <c r="C959" s="7"/>
      <c r="D959" s="7"/>
      <c r="E959" s="3"/>
      <c r="F959" s="3"/>
      <c r="G959" s="4">
        <f>G960</f>
        <v>45</v>
      </c>
      <c r="H959" s="132"/>
    </row>
    <row r="960" spans="1:8" ht="15.75" x14ac:dyDescent="0.25">
      <c r="A960" s="31" t="s">
        <v>115</v>
      </c>
      <c r="B960" s="15" t="s">
        <v>630</v>
      </c>
      <c r="C960" s="28" t="s">
        <v>116</v>
      </c>
      <c r="D960" s="28"/>
      <c r="E960" s="2"/>
      <c r="F960" s="2"/>
      <c r="G960" s="6">
        <f>G961</f>
        <v>45</v>
      </c>
    </row>
    <row r="961" spans="1:8" ht="15.75" x14ac:dyDescent="0.25">
      <c r="A961" s="31" t="s">
        <v>131</v>
      </c>
      <c r="B961" s="15" t="s">
        <v>630</v>
      </c>
      <c r="C961" s="28" t="s">
        <v>116</v>
      </c>
      <c r="D961" s="28" t="s">
        <v>132</v>
      </c>
      <c r="E961" s="2"/>
      <c r="F961" s="2"/>
      <c r="G961" s="6">
        <f>G962</f>
        <v>45</v>
      </c>
    </row>
    <row r="962" spans="1:8" ht="31.5" x14ac:dyDescent="0.25">
      <c r="A962" s="69" t="s">
        <v>145</v>
      </c>
      <c r="B962" s="15" t="s">
        <v>431</v>
      </c>
      <c r="C962" s="28" t="s">
        <v>116</v>
      </c>
      <c r="D962" s="28" t="s">
        <v>132</v>
      </c>
      <c r="E962" s="2"/>
      <c r="F962" s="2"/>
      <c r="G962" s="6">
        <f>G963</f>
        <v>45</v>
      </c>
    </row>
    <row r="963" spans="1:8" ht="31.5" x14ac:dyDescent="0.25">
      <c r="A963" s="31" t="s">
        <v>123</v>
      </c>
      <c r="B963" s="15" t="s">
        <v>431</v>
      </c>
      <c r="C963" s="28" t="s">
        <v>116</v>
      </c>
      <c r="D963" s="28" t="s">
        <v>132</v>
      </c>
      <c r="E963" s="2">
        <v>200</v>
      </c>
      <c r="F963" s="2"/>
      <c r="G963" s="6">
        <f>G964</f>
        <v>45</v>
      </c>
    </row>
    <row r="964" spans="1:8" ht="31.5" x14ac:dyDescent="0.25">
      <c r="A964" s="31" t="s">
        <v>125</v>
      </c>
      <c r="B964" s="15" t="s">
        <v>431</v>
      </c>
      <c r="C964" s="28" t="s">
        <v>116</v>
      </c>
      <c r="D964" s="28" t="s">
        <v>132</v>
      </c>
      <c r="E964" s="2">
        <v>240</v>
      </c>
      <c r="F964" s="2"/>
      <c r="G964" s="6">
        <f>'Пр.4 ведом.22'!G152</f>
        <v>45</v>
      </c>
    </row>
    <row r="965" spans="1:8" ht="23.25" customHeight="1" x14ac:dyDescent="0.25">
      <c r="A965" s="22" t="s">
        <v>137</v>
      </c>
      <c r="B965" s="15" t="s">
        <v>431</v>
      </c>
      <c r="C965" s="28" t="s">
        <v>116</v>
      </c>
      <c r="D965" s="28" t="s">
        <v>132</v>
      </c>
      <c r="E965" s="2">
        <v>240</v>
      </c>
      <c r="F965" s="2">
        <v>902</v>
      </c>
      <c r="G965" s="6">
        <f>G958</f>
        <v>45</v>
      </c>
    </row>
    <row r="966" spans="1:8" s="362" customFormat="1" ht="58.5" customHeight="1" x14ac:dyDescent="0.25">
      <c r="A966" s="359" t="s">
        <v>1317</v>
      </c>
      <c r="B966" s="316" t="s">
        <v>1307</v>
      </c>
      <c r="C966" s="360"/>
      <c r="D966" s="360"/>
      <c r="E966" s="2"/>
      <c r="F966" s="2"/>
      <c r="G966" s="310">
        <f t="shared" ref="G966:G971" si="80">G967</f>
        <v>30</v>
      </c>
      <c r="H966" s="363"/>
    </row>
    <row r="967" spans="1:8" s="362" customFormat="1" ht="47.25" x14ac:dyDescent="0.25">
      <c r="A967" s="359" t="s">
        <v>1318</v>
      </c>
      <c r="B967" s="316" t="s">
        <v>1308</v>
      </c>
      <c r="C967" s="7"/>
      <c r="D967" s="7"/>
      <c r="E967" s="3"/>
      <c r="F967" s="3"/>
      <c r="G967" s="310">
        <f t="shared" si="80"/>
        <v>30</v>
      </c>
      <c r="H967" s="363"/>
    </row>
    <row r="968" spans="1:8" s="362" customFormat="1" ht="23.25" customHeight="1" x14ac:dyDescent="0.25">
      <c r="A968" s="31" t="s">
        <v>115</v>
      </c>
      <c r="B968" s="365" t="s">
        <v>1308</v>
      </c>
      <c r="C968" s="360" t="s">
        <v>116</v>
      </c>
      <c r="D968" s="360"/>
      <c r="E968" s="2"/>
      <c r="F968" s="2"/>
      <c r="G968" s="311">
        <f t="shared" si="80"/>
        <v>30</v>
      </c>
      <c r="H968" s="363"/>
    </row>
    <row r="969" spans="1:8" s="362" customFormat="1" ht="23.25" customHeight="1" x14ac:dyDescent="0.25">
      <c r="A969" s="31" t="s">
        <v>131</v>
      </c>
      <c r="B969" s="365" t="s">
        <v>1308</v>
      </c>
      <c r="C969" s="360" t="s">
        <v>116</v>
      </c>
      <c r="D969" s="360" t="s">
        <v>132</v>
      </c>
      <c r="E969" s="2"/>
      <c r="F969" s="2"/>
      <c r="G969" s="311">
        <f t="shared" si="80"/>
        <v>30</v>
      </c>
      <c r="H969" s="363"/>
    </row>
    <row r="970" spans="1:8" s="362" customFormat="1" ht="31.5" x14ac:dyDescent="0.25">
      <c r="A970" s="364" t="s">
        <v>1319</v>
      </c>
      <c r="B970" s="365" t="s">
        <v>1309</v>
      </c>
      <c r="C970" s="360" t="s">
        <v>116</v>
      </c>
      <c r="D970" s="360" t="s">
        <v>132</v>
      </c>
      <c r="E970" s="2"/>
      <c r="F970" s="2"/>
      <c r="G970" s="311">
        <f t="shared" si="80"/>
        <v>30</v>
      </c>
      <c r="H970" s="363"/>
    </row>
    <row r="971" spans="1:8" s="362" customFormat="1" ht="23.25" customHeight="1" x14ac:dyDescent="0.25">
      <c r="A971" s="560" t="s">
        <v>177</v>
      </c>
      <c r="B971" s="365" t="s">
        <v>1309</v>
      </c>
      <c r="C971" s="360" t="s">
        <v>116</v>
      </c>
      <c r="D971" s="360" t="s">
        <v>132</v>
      </c>
      <c r="E971" s="2">
        <v>300</v>
      </c>
      <c r="F971" s="2"/>
      <c r="G971" s="311">
        <f t="shared" si="80"/>
        <v>30</v>
      </c>
      <c r="H971" s="363"/>
    </row>
    <row r="972" spans="1:8" s="362" customFormat="1" ht="23.25" customHeight="1" x14ac:dyDescent="0.25">
      <c r="A972" s="364" t="s">
        <v>1320</v>
      </c>
      <c r="B972" s="365" t="s">
        <v>1309</v>
      </c>
      <c r="C972" s="360" t="s">
        <v>116</v>
      </c>
      <c r="D972" s="360" t="s">
        <v>132</v>
      </c>
      <c r="E972" s="2">
        <v>350</v>
      </c>
      <c r="F972" s="2"/>
      <c r="G972" s="311">
        <f>'Пр.4 ведом.22'!G157</f>
        <v>30</v>
      </c>
      <c r="H972" s="363"/>
    </row>
    <row r="973" spans="1:8" s="362" customFormat="1" ht="23.25" customHeight="1" x14ac:dyDescent="0.25">
      <c r="A973" s="22" t="s">
        <v>137</v>
      </c>
      <c r="B973" s="365" t="s">
        <v>1309</v>
      </c>
      <c r="C973" s="360" t="s">
        <v>116</v>
      </c>
      <c r="D973" s="360" t="s">
        <v>132</v>
      </c>
      <c r="E973" s="2">
        <v>350</v>
      </c>
      <c r="F973" s="2">
        <v>902</v>
      </c>
      <c r="G973" s="311">
        <f>G972</f>
        <v>30</v>
      </c>
      <c r="H973" s="363"/>
    </row>
    <row r="974" spans="1:8" ht="63" x14ac:dyDescent="0.25">
      <c r="A974" s="29" t="s">
        <v>1183</v>
      </c>
      <c r="B974" s="18" t="s">
        <v>396</v>
      </c>
      <c r="C974" s="7"/>
      <c r="D974" s="7"/>
      <c r="E974" s="3"/>
      <c r="F974" s="3"/>
      <c r="G974" s="4">
        <f>G976</f>
        <v>80</v>
      </c>
    </row>
    <row r="975" spans="1:8" s="131" customFormat="1" ht="31.5" x14ac:dyDescent="0.25">
      <c r="A975" s="37" t="s">
        <v>432</v>
      </c>
      <c r="B975" s="18" t="s">
        <v>440</v>
      </c>
      <c r="C975" s="7"/>
      <c r="D975" s="7"/>
      <c r="E975" s="3"/>
      <c r="F975" s="3"/>
      <c r="G975" s="4">
        <f>G976</f>
        <v>80</v>
      </c>
      <c r="H975" s="132"/>
    </row>
    <row r="976" spans="1:8" ht="15.75" x14ac:dyDescent="0.25">
      <c r="A976" s="31" t="s">
        <v>115</v>
      </c>
      <c r="B976" s="15" t="s">
        <v>440</v>
      </c>
      <c r="C976" s="28" t="s">
        <v>116</v>
      </c>
      <c r="D976" s="28"/>
      <c r="E976" s="2"/>
      <c r="F976" s="2"/>
      <c r="G976" s="6">
        <f>G977</f>
        <v>80</v>
      </c>
    </row>
    <row r="977" spans="1:14" ht="15.75" x14ac:dyDescent="0.25">
      <c r="A977" s="31" t="s">
        <v>131</v>
      </c>
      <c r="B977" s="15" t="s">
        <v>440</v>
      </c>
      <c r="C977" s="28" t="s">
        <v>116</v>
      </c>
      <c r="D977" s="28" t="s">
        <v>132</v>
      </c>
      <c r="E977" s="2"/>
      <c r="F977" s="2"/>
      <c r="G977" s="6">
        <f>G978</f>
        <v>80</v>
      </c>
    </row>
    <row r="978" spans="1:14" ht="15.75" x14ac:dyDescent="0.25">
      <c r="A978" s="31" t="s">
        <v>146</v>
      </c>
      <c r="B978" s="15" t="s">
        <v>433</v>
      </c>
      <c r="C978" s="28" t="s">
        <v>116</v>
      </c>
      <c r="D978" s="28" t="s">
        <v>132</v>
      </c>
      <c r="E978" s="2"/>
      <c r="F978" s="2"/>
      <c r="G978" s="6">
        <f>G979</f>
        <v>80</v>
      </c>
    </row>
    <row r="979" spans="1:14" ht="31.5" x14ac:dyDescent="0.25">
      <c r="A979" s="31" t="s">
        <v>123</v>
      </c>
      <c r="B979" s="15" t="s">
        <v>433</v>
      </c>
      <c r="C979" s="28" t="s">
        <v>116</v>
      </c>
      <c r="D979" s="28" t="s">
        <v>132</v>
      </c>
      <c r="E979" s="2">
        <v>200</v>
      </c>
      <c r="F979" s="2"/>
      <c r="G979" s="6">
        <f>G980</f>
        <v>80</v>
      </c>
    </row>
    <row r="980" spans="1:14" ht="31.5" x14ac:dyDescent="0.25">
      <c r="A980" s="31" t="s">
        <v>125</v>
      </c>
      <c r="B980" s="15" t="s">
        <v>433</v>
      </c>
      <c r="C980" s="28" t="s">
        <v>116</v>
      </c>
      <c r="D980" s="28" t="s">
        <v>132</v>
      </c>
      <c r="E980" s="2">
        <v>240</v>
      </c>
      <c r="F980" s="2"/>
      <c r="G980" s="6">
        <f>'Пр.4 ведом.22'!G162</f>
        <v>80</v>
      </c>
    </row>
    <row r="981" spans="1:14" ht="23.25" customHeight="1" x14ac:dyDescent="0.25">
      <c r="A981" s="22" t="s">
        <v>137</v>
      </c>
      <c r="B981" s="15" t="s">
        <v>433</v>
      </c>
      <c r="C981" s="28" t="s">
        <v>116</v>
      </c>
      <c r="D981" s="28" t="s">
        <v>132</v>
      </c>
      <c r="E981" s="2">
        <v>240</v>
      </c>
      <c r="F981" s="2">
        <v>902</v>
      </c>
      <c r="G981" s="6">
        <f>G974</f>
        <v>80</v>
      </c>
    </row>
    <row r="982" spans="1:14" s="131" customFormat="1" ht="47.25" x14ac:dyDescent="0.25">
      <c r="A982" s="17" t="s">
        <v>976</v>
      </c>
      <c r="B982" s="18" t="s">
        <v>692</v>
      </c>
      <c r="C982" s="28"/>
      <c r="D982" s="28"/>
      <c r="E982" s="2"/>
      <c r="F982" s="2"/>
      <c r="G982" s="4">
        <f t="shared" ref="G982:G988" si="81">G983</f>
        <v>204</v>
      </c>
      <c r="H982" s="132"/>
    </row>
    <row r="983" spans="1:14" s="131" customFormat="1" ht="31.5" x14ac:dyDescent="0.25">
      <c r="A983" s="17" t="s">
        <v>693</v>
      </c>
      <c r="B983" s="18" t="s">
        <v>694</v>
      </c>
      <c r="C983" s="28"/>
      <c r="D983" s="28"/>
      <c r="E983" s="2"/>
      <c r="F983" s="2"/>
      <c r="G983" s="4">
        <f t="shared" si="81"/>
        <v>204</v>
      </c>
      <c r="H983" s="132"/>
    </row>
    <row r="984" spans="1:14" s="131" customFormat="1" ht="15.75" x14ac:dyDescent="0.25">
      <c r="A984" s="22" t="s">
        <v>231</v>
      </c>
      <c r="B984" s="15" t="s">
        <v>694</v>
      </c>
      <c r="C984" s="28" t="s">
        <v>168</v>
      </c>
      <c r="D984" s="28"/>
      <c r="E984" s="2"/>
      <c r="F984" s="2"/>
      <c r="G984" s="6">
        <f t="shared" si="81"/>
        <v>204</v>
      </c>
      <c r="H984" s="132"/>
    </row>
    <row r="985" spans="1:14" s="131" customFormat="1" ht="15.75" x14ac:dyDescent="0.25">
      <c r="A985" s="22" t="s">
        <v>262</v>
      </c>
      <c r="B985" s="15" t="s">
        <v>694</v>
      </c>
      <c r="C985" s="28" t="s">
        <v>168</v>
      </c>
      <c r="D985" s="28" t="s">
        <v>158</v>
      </c>
      <c r="E985" s="2"/>
      <c r="F985" s="2"/>
      <c r="G985" s="6">
        <f t="shared" si="81"/>
        <v>204</v>
      </c>
      <c r="H985" s="132"/>
    </row>
    <row r="986" spans="1:14" s="131" customFormat="1" ht="15.75" x14ac:dyDescent="0.25">
      <c r="A986" s="22" t="s">
        <v>696</v>
      </c>
      <c r="B986" s="15" t="s">
        <v>695</v>
      </c>
      <c r="C986" s="28" t="s">
        <v>168</v>
      </c>
      <c r="D986" s="28" t="s">
        <v>158</v>
      </c>
      <c r="E986" s="2"/>
      <c r="F986" s="2"/>
      <c r="G986" s="6">
        <f t="shared" si="81"/>
        <v>204</v>
      </c>
      <c r="H986" s="132"/>
    </row>
    <row r="987" spans="1:14" s="131" customFormat="1" ht="31.5" x14ac:dyDescent="0.25">
      <c r="A987" s="31" t="s">
        <v>123</v>
      </c>
      <c r="B987" s="15" t="s">
        <v>695</v>
      </c>
      <c r="C987" s="28" t="s">
        <v>168</v>
      </c>
      <c r="D987" s="28" t="s">
        <v>158</v>
      </c>
      <c r="E987" s="2">
        <v>200</v>
      </c>
      <c r="F987" s="2"/>
      <c r="G987" s="6">
        <f t="shared" si="81"/>
        <v>204</v>
      </c>
      <c r="H987" s="132"/>
    </row>
    <row r="988" spans="1:14" s="131" customFormat="1" ht="31.5" x14ac:dyDescent="0.25">
      <c r="A988" s="31" t="s">
        <v>125</v>
      </c>
      <c r="B988" s="15" t="s">
        <v>695</v>
      </c>
      <c r="C988" s="28" t="s">
        <v>168</v>
      </c>
      <c r="D988" s="28" t="s">
        <v>158</v>
      </c>
      <c r="E988" s="2">
        <v>240</v>
      </c>
      <c r="F988" s="2"/>
      <c r="G988" s="6">
        <f t="shared" si="81"/>
        <v>204</v>
      </c>
      <c r="H988" s="132"/>
    </row>
    <row r="989" spans="1:14" s="131" customFormat="1" ht="31.5" x14ac:dyDescent="0.25">
      <c r="A989" s="31" t="s">
        <v>302</v>
      </c>
      <c r="B989" s="15" t="s">
        <v>695</v>
      </c>
      <c r="C989" s="28" t="s">
        <v>168</v>
      </c>
      <c r="D989" s="28" t="s">
        <v>158</v>
      </c>
      <c r="E989" s="2">
        <v>240</v>
      </c>
      <c r="F989" s="2">
        <v>908</v>
      </c>
      <c r="G989" s="6">
        <f>'Пр.4 ведом.22'!G1077</f>
        <v>204</v>
      </c>
      <c r="H989" s="132"/>
    </row>
    <row r="990" spans="1:14" ht="15.75" x14ac:dyDescent="0.25">
      <c r="A990" s="47" t="s">
        <v>309</v>
      </c>
      <c r="B990" s="47"/>
      <c r="C990" s="47"/>
      <c r="D990" s="47"/>
      <c r="E990" s="47"/>
      <c r="F990" s="47"/>
      <c r="G990" s="76">
        <f>G974+G958+G950+G935+G862+G835+G770+G697+G646+G487+G411+G403+G369+G361+G147+G30+G9+G785+G982+G966</f>
        <v>546543.37299999991</v>
      </c>
      <c r="H990" s="133"/>
      <c r="I990" s="16"/>
      <c r="N990" s="156"/>
    </row>
    <row r="992" spans="1:14" x14ac:dyDescent="0.25">
      <c r="G992" s="74">
        <f>'Пр.4 ведом.22'!G1272</f>
        <v>546543.37300000014</v>
      </c>
    </row>
    <row r="993" spans="7:7" x14ac:dyDescent="0.25">
      <c r="G993" s="74">
        <f>G992-G990</f>
        <v>0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пр.1дох.22</vt:lpstr>
      <vt:lpstr>Пр.1.1. дох.23-24</vt:lpstr>
      <vt:lpstr>пр.2 Рд,пр 22</vt:lpstr>
      <vt:lpstr>пр.2 Рд,пр 23-24</vt:lpstr>
      <vt:lpstr>Пр.3 Рд,пр, ЦС,ВР 22</vt:lpstr>
      <vt:lpstr>Пр.3.1 Рд,пр, ЦС,ВР 23-24</vt:lpstr>
      <vt:lpstr>Пр.4 ведом.22</vt:lpstr>
      <vt:lpstr>Пр.4.1 ведом.23-24 </vt:lpstr>
      <vt:lpstr>пр.5 МП 22</vt:lpstr>
      <vt:lpstr>пр.5.1. МП 23-24</vt:lpstr>
      <vt:lpstr>пр.6 публ. 22</vt:lpstr>
      <vt:lpstr>пр.6.1 публ. 23-24</vt:lpstr>
      <vt:lpstr>пр.6 ист-ки 22</vt:lpstr>
      <vt:lpstr>пр.8.1.ист-ки 23-24 </vt:lpstr>
      <vt:lpstr>'Пр.1.1. дох.23-24'!Область_печати</vt:lpstr>
      <vt:lpstr>пр.1дох.22!Область_печати</vt:lpstr>
      <vt:lpstr>'пр.2 Рд,пр 22'!Область_печати</vt:lpstr>
      <vt:lpstr>'пр.2 Рд,пр 23-24'!Область_печати</vt:lpstr>
      <vt:lpstr>'Пр.3 Рд,пр, ЦС,ВР 22'!Область_печати</vt:lpstr>
      <vt:lpstr>'Пр.3.1 Рд,пр, ЦС,ВР 23-24'!Область_печати</vt:lpstr>
      <vt:lpstr>'Пр.4 ведом.22'!Область_печати</vt:lpstr>
      <vt:lpstr>'Пр.4.1 ведом.23-24 '!Область_печати</vt:lpstr>
      <vt:lpstr>'пр.5 МП 22'!Область_печати</vt:lpstr>
      <vt:lpstr>'пр.5.1. МП 23-24'!Область_печати</vt:lpstr>
      <vt:lpstr>'пр.6 ист-ки 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2022-01-24T04:21:14Z</dcterms:modified>
</cp:coreProperties>
</file>