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35" yWindow="-345" windowWidth="12735" windowHeight="12360" tabRatio="693" activeTab="12"/>
  </bookViews>
  <sheets>
    <sheet name="пр.1дох.22" sheetId="1" r:id="rId1"/>
    <sheet name="Пр.1.1. дох.23-24" sheetId="19" state="hidden" r:id="rId2"/>
    <sheet name="пр.2 Рд,пр 22" sheetId="2" r:id="rId3"/>
    <sheet name="пр.2 Рд,пр 23-24" sheetId="31" state="hidden" r:id="rId4"/>
    <sheet name="Пр.3 Рд,пр, ЦС,ВР 22" sheetId="3" r:id="rId5"/>
    <sheet name="Пр.3.1 Рд,пр, ЦС,ВР 23-24" sheetId="30" state="hidden" r:id="rId6"/>
    <sheet name="Пр.4 ведом.22" sheetId="4" r:id="rId7"/>
    <sheet name="Пр.4.1 ведом.23-24 " sheetId="29" state="hidden" r:id="rId8"/>
    <sheet name="пр.5 МП 22" sheetId="5" r:id="rId9"/>
    <sheet name="пр.5.1. МП 23-24" sheetId="32" state="hidden" r:id="rId10"/>
    <sheet name="пр.6 публ. 22" sheetId="6" r:id="rId11"/>
    <sheet name="пр.6.1 публ. 23-24" sheetId="33" state="hidden" r:id="rId12"/>
    <sheet name="пр.7 ист-ки 22" sheetId="7" r:id="rId13"/>
    <sheet name="пр.8.1.ист-ки 23-24 " sheetId="18" state="hidden" r:id="rId14"/>
    <sheet name="Лист1" sheetId="25" state="hidden" r:id="rId15"/>
  </sheets>
  <externalReferences>
    <externalReference r:id="rId16"/>
  </externalReferences>
  <definedNames>
    <definedName name="_xlnm._FilterDatabase" localSheetId="0" hidden="1">пр.1дох.22!$A$1:$C$211</definedName>
    <definedName name="_xlnm._FilterDatabase" localSheetId="4" hidden="1">'Пр.3 Рд,пр, ЦС,ВР 22'!$A$7:$F$1213</definedName>
    <definedName name="_xlnm._FilterDatabase" localSheetId="5" hidden="1">'Пр.3.1 Рд,пр, ЦС,ВР 23-24'!$A$7:$F$1086</definedName>
    <definedName name="_xlnm._FilterDatabase" localSheetId="6" hidden="1">'Пр.4 ведом.22'!$A$12:$AJ$1359</definedName>
    <definedName name="_xlnm._FilterDatabase" localSheetId="7" hidden="1">'Пр.4.1 ведом.23-24 '!$A$7:$K$1212</definedName>
    <definedName name="_xlnm._FilterDatabase" localSheetId="8" hidden="1">'пр.5 МП 22'!$A$18:$N$1086</definedName>
    <definedName name="_xlnm.Print_Area" localSheetId="1">'Пр.1.1. дох.23-24'!$A$1:$D$158</definedName>
    <definedName name="_xlnm.Print_Area" localSheetId="0">пр.1дох.22!$A$1:$J$213</definedName>
    <definedName name="_xlnm.Print_Area" localSheetId="2">'пр.2 Рд,пр 22'!$A$1:$D$54</definedName>
    <definedName name="_xlnm.Print_Area" localSheetId="3">'пр.2 Рд,пр 23-24'!$A$1:$E$54</definedName>
    <definedName name="_xlnm.Print_Area" localSheetId="4">'Пр.3 Рд,пр, ЦС,ВР 22'!$A$1:$F$1213</definedName>
    <definedName name="_xlnm.Print_Area" localSheetId="5">'Пр.3.1 Рд,пр, ЦС,ВР 23-24'!$A$1:$G$1084</definedName>
    <definedName name="_xlnm.Print_Area" localSheetId="6">'Пр.4 ведом.22'!$A$1:$G$1361</definedName>
    <definedName name="_xlnm.Print_Area" localSheetId="7">'Пр.4.1 ведом.23-24 '!$A$1:$H$1212</definedName>
    <definedName name="_xlnm.Print_Area" localSheetId="8">'пр.5 МП 22'!$A$1:$G$1086</definedName>
    <definedName name="_xlnm.Print_Area" localSheetId="9">'пр.5.1. МП 23-24'!$A$1:$H$983</definedName>
    <definedName name="_xlnm.Print_Area" localSheetId="10">'пр.6 публ. 22'!$A$1:$G$50</definedName>
    <definedName name="_xlnm.Print_Area" localSheetId="12">'пр.7 ист-ки 22'!$A$1:$C$17</definedName>
  </definedNames>
  <calcPr calcId="145621"/>
</workbook>
</file>

<file path=xl/calcChain.xml><?xml version="1.0" encoding="utf-8"?>
<calcChain xmlns="http://schemas.openxmlformats.org/spreadsheetml/2006/main">
  <c r="C19" i="7" l="1"/>
  <c r="G1004" i="4" l="1"/>
  <c r="G1011" i="4"/>
  <c r="G651" i="4" l="1"/>
  <c r="G650" i="4" s="1"/>
  <c r="G649" i="4" s="1"/>
  <c r="G648" i="4" s="1"/>
  <c r="G647" i="4" s="1"/>
  <c r="G643" i="4"/>
  <c r="G1308" i="4" l="1"/>
  <c r="C12" i="1"/>
  <c r="G1006" i="4" l="1"/>
  <c r="G1005" i="4" s="1"/>
  <c r="G1015" i="4"/>
  <c r="G951" i="4" l="1"/>
  <c r="G1002" i="4"/>
  <c r="G1018" i="4"/>
  <c r="C172" i="1" l="1"/>
  <c r="C187" i="1"/>
  <c r="C180" i="1"/>
  <c r="C166" i="1"/>
  <c r="C120" i="1"/>
  <c r="G693" i="4" l="1"/>
  <c r="G723" i="4"/>
  <c r="G686" i="4" l="1"/>
  <c r="G1053" i="5" s="1"/>
  <c r="G1052" i="5" s="1"/>
  <c r="G1051" i="5" s="1"/>
  <c r="G1050" i="5" s="1"/>
  <c r="G1049" i="5" s="1"/>
  <c r="G1048" i="5" s="1"/>
  <c r="G685" i="4" l="1"/>
  <c r="G684" i="4" s="1"/>
  <c r="G683" i="4" s="1"/>
  <c r="G682" i="4" s="1"/>
  <c r="G676" i="4" s="1"/>
  <c r="G675" i="4" s="1"/>
  <c r="G161" i="4"/>
  <c r="F237" i="3" s="1"/>
  <c r="G700" i="4" l="1"/>
  <c r="G771" i="4"/>
  <c r="G883" i="4"/>
  <c r="G768" i="4"/>
  <c r="G697" i="4"/>
  <c r="G857" i="4"/>
  <c r="G762" i="4"/>
  <c r="G1348" i="4" l="1"/>
  <c r="G1353" i="4"/>
  <c r="G1350" i="4"/>
  <c r="G1298" i="4"/>
  <c r="G1295" i="4"/>
  <c r="G1302" i="4"/>
  <c r="G1101" i="4"/>
  <c r="G1061" i="4"/>
  <c r="G1068" i="4"/>
  <c r="G1064" i="4"/>
  <c r="G1056" i="4"/>
  <c r="G1274" i="4"/>
  <c r="G1284" i="4"/>
  <c r="G641" i="4" l="1"/>
  <c r="G622" i="4"/>
  <c r="G624" i="4"/>
  <c r="G274" i="4"/>
  <c r="G133" i="4"/>
  <c r="F169" i="3" s="1"/>
  <c r="G245" i="4"/>
  <c r="G61" i="4"/>
  <c r="G196" i="4" l="1"/>
  <c r="G1135" i="4"/>
  <c r="G1129" i="4"/>
  <c r="F1079" i="3" l="1"/>
  <c r="G1290" i="4"/>
  <c r="G1332" i="4"/>
  <c r="G1331" i="4" s="1"/>
  <c r="G1330" i="4" s="1"/>
  <c r="G1329" i="4" s="1"/>
  <c r="G365" i="4" l="1"/>
  <c r="G362" i="4"/>
  <c r="G765" i="4"/>
  <c r="G720" i="4" l="1"/>
  <c r="G710" i="4"/>
  <c r="G860" i="4" l="1"/>
  <c r="G419" i="4" l="1"/>
  <c r="G417" i="4"/>
  <c r="G421" i="4"/>
  <c r="G585" i="4"/>
  <c r="G587" i="4"/>
  <c r="G538" i="4"/>
  <c r="G533" i="4"/>
  <c r="G340" i="4"/>
  <c r="G342" i="4"/>
  <c r="G338" i="4"/>
  <c r="G394" i="4"/>
  <c r="G546" i="4"/>
  <c r="G514" i="4"/>
  <c r="G512" i="4"/>
  <c r="G516" i="4"/>
  <c r="G283" i="4"/>
  <c r="G576" i="4"/>
  <c r="G1059" i="4" l="1"/>
  <c r="G1112" i="4"/>
  <c r="G1120" i="4"/>
  <c r="G608" i="4"/>
  <c r="G604" i="4"/>
  <c r="G449" i="4" l="1"/>
  <c r="G414" i="4"/>
  <c r="G1240" i="4" l="1"/>
  <c r="G252" i="4"/>
  <c r="G583" i="4" l="1"/>
  <c r="G436" i="4"/>
  <c r="G592" i="5" s="1"/>
  <c r="G484" i="4"/>
  <c r="G1233" i="4"/>
  <c r="M79" i="1"/>
  <c r="C170" i="1"/>
  <c r="G642" i="4"/>
  <c r="G71" i="4"/>
  <c r="G70" i="4" s="1"/>
  <c r="G69" i="4" s="1"/>
  <c r="G900" i="4"/>
  <c r="G893" i="4"/>
  <c r="F848" i="3" s="1"/>
  <c r="F847" i="3" s="1"/>
  <c r="G907" i="4"/>
  <c r="G906" i="4" s="1"/>
  <c r="G905" i="4" s="1"/>
  <c r="G617" i="5"/>
  <c r="G616" i="5" s="1"/>
  <c r="G615" i="5" s="1"/>
  <c r="F936" i="3"/>
  <c r="F935" i="3" s="1"/>
  <c r="F934" i="3" s="1"/>
  <c r="G448" i="4"/>
  <c r="G447" i="4" s="1"/>
  <c r="G443" i="4"/>
  <c r="G349" i="4"/>
  <c r="G375" i="4"/>
  <c r="F803" i="3" s="1"/>
  <c r="F802" i="3" s="1"/>
  <c r="F801" i="3" s="1"/>
  <c r="G469" i="4"/>
  <c r="G248" i="5"/>
  <c r="G249" i="5" s="1"/>
  <c r="G250" i="5" s="1"/>
  <c r="G251" i="5" s="1"/>
  <c r="F175" i="3"/>
  <c r="F174" i="3" s="1"/>
  <c r="F676" i="3"/>
  <c r="F675" i="3" s="1"/>
  <c r="F674" i="3" s="1"/>
  <c r="G794" i="4"/>
  <c r="G281" i="5" s="1"/>
  <c r="G282" i="5" s="1"/>
  <c r="G786" i="4"/>
  <c r="G785" i="4" s="1"/>
  <c r="G1097" i="4"/>
  <c r="G15" i="5" s="1"/>
  <c r="G14" i="5" s="1"/>
  <c r="G13" i="5" s="1"/>
  <c r="G1281" i="4"/>
  <c r="F532" i="3" s="1"/>
  <c r="F531" i="3" s="1"/>
  <c r="F530" i="3" s="1"/>
  <c r="G1213" i="4"/>
  <c r="G1212" i="4" s="1"/>
  <c r="G1160" i="4"/>
  <c r="G1276" i="4"/>
  <c r="F527" i="3" s="1"/>
  <c r="F526" i="3" s="1"/>
  <c r="G1327" i="4"/>
  <c r="G1326" i="4" s="1"/>
  <c r="G1325" i="4" s="1"/>
  <c r="G1324" i="4" s="1"/>
  <c r="G1323" i="4" s="1"/>
  <c r="G1225" i="4"/>
  <c r="G1224" i="4" s="1"/>
  <c r="G1210" i="4"/>
  <c r="G1201" i="4"/>
  <c r="G1200" i="4" s="1"/>
  <c r="G1199" i="4" s="1"/>
  <c r="G1198" i="4" s="1"/>
  <c r="G1197" i="4" s="1"/>
  <c r="G1195" i="4"/>
  <c r="G1194" i="4" s="1"/>
  <c r="G1193" i="4" s="1"/>
  <c r="G1192" i="4" s="1"/>
  <c r="G1191" i="4" s="1"/>
  <c r="G1138" i="4"/>
  <c r="F389" i="3" s="1"/>
  <c r="G1013" i="4"/>
  <c r="F1167" i="3" s="1"/>
  <c r="F1166" i="3" s="1"/>
  <c r="G1041" i="4"/>
  <c r="G1040" i="4" s="1"/>
  <c r="G1039" i="4" s="1"/>
  <c r="G35" i="4"/>
  <c r="G34" i="4" s="1"/>
  <c r="G33" i="4" s="1"/>
  <c r="G32" i="4" s="1"/>
  <c r="G31" i="4" s="1"/>
  <c r="G30" i="4" s="1"/>
  <c r="G29" i="4"/>
  <c r="G65" i="4"/>
  <c r="G64" i="4" s="1"/>
  <c r="G143" i="4"/>
  <c r="G142" i="4" s="1"/>
  <c r="G141" i="4" s="1"/>
  <c r="G912" i="4"/>
  <c r="F867" i="3" s="1"/>
  <c r="F866" i="3" s="1"/>
  <c r="F865" i="3" s="1"/>
  <c r="G917" i="4"/>
  <c r="F150" i="3"/>
  <c r="F149" i="3" s="1"/>
  <c r="F148" i="3" s="1"/>
  <c r="G207" i="4"/>
  <c r="G59" i="4"/>
  <c r="G629" i="4"/>
  <c r="G628" i="4" s="1"/>
  <c r="G190" i="4"/>
  <c r="G1300" i="4"/>
  <c r="F551" i="3" s="1"/>
  <c r="F550" i="3" s="1"/>
  <c r="G1123" i="4"/>
  <c r="G566" i="4"/>
  <c r="G34" i="6" s="1"/>
  <c r="G33" i="6" s="1"/>
  <c r="G32" i="6" s="1"/>
  <c r="G31" i="6" s="1"/>
  <c r="G30" i="6" s="1"/>
  <c r="G29" i="6" s="1"/>
  <c r="G564" i="4"/>
  <c r="G572" i="4"/>
  <c r="G40" i="6" s="1"/>
  <c r="G39" i="6" s="1"/>
  <c r="G38" i="6" s="1"/>
  <c r="G37" i="6" s="1"/>
  <c r="G36" i="6" s="1"/>
  <c r="G35" i="6" s="1"/>
  <c r="G536" i="4"/>
  <c r="G462" i="4"/>
  <c r="F949" i="3" s="1"/>
  <c r="F948" i="3" s="1"/>
  <c r="F947" i="3" s="1"/>
  <c r="F946" i="3" s="1"/>
  <c r="G446" i="4"/>
  <c r="G613" i="5" s="1"/>
  <c r="G358" i="4"/>
  <c r="G357" i="4" s="1"/>
  <c r="G356" i="4" s="1"/>
  <c r="G355" i="4" s="1"/>
  <c r="G1075" i="4"/>
  <c r="G611" i="4"/>
  <c r="F127" i="3" s="1"/>
  <c r="F126" i="3" s="1"/>
  <c r="F125" i="3" s="1"/>
  <c r="G68" i="4"/>
  <c r="G43" i="4"/>
  <c r="F14" i="3" s="1"/>
  <c r="F13" i="3" s="1"/>
  <c r="G1289" i="4"/>
  <c r="G1288" i="4"/>
  <c r="G1287" i="4" s="1"/>
  <c r="G1286" i="4" s="1"/>
  <c r="G1285" i="4" s="1"/>
  <c r="F541" i="3"/>
  <c r="F540" i="3" s="1"/>
  <c r="F537" i="3" s="1"/>
  <c r="F536" i="3" s="1"/>
  <c r="G114" i="4"/>
  <c r="G113" i="4" s="1"/>
  <c r="G112" i="4" s="1"/>
  <c r="G138" i="4"/>
  <c r="G137" i="4" s="1"/>
  <c r="G1026" i="4"/>
  <c r="G1025" i="4" s="1"/>
  <c r="G915" i="4"/>
  <c r="G188" i="4"/>
  <c r="F264" i="3" s="1"/>
  <c r="F263" i="3" s="1"/>
  <c r="C149" i="1"/>
  <c r="C112" i="1"/>
  <c r="C49" i="1"/>
  <c r="C57" i="1"/>
  <c r="C56" i="1"/>
  <c r="C54" i="1"/>
  <c r="C53" i="1"/>
  <c r="C31" i="1"/>
  <c r="C27" i="1"/>
  <c r="C25" i="1"/>
  <c r="C16" i="1"/>
  <c r="C13" i="1"/>
  <c r="G811" i="5"/>
  <c r="G264" i="5"/>
  <c r="G265" i="5" s="1"/>
  <c r="F609" i="3"/>
  <c r="G716" i="4"/>
  <c r="G895" i="4"/>
  <c r="G894" i="4" s="1"/>
  <c r="G1278" i="4"/>
  <c r="F485" i="30" s="1"/>
  <c r="F484" i="30" s="1"/>
  <c r="F479" i="30" s="1"/>
  <c r="F478" i="30" s="1"/>
  <c r="F477" i="30" s="1"/>
  <c r="G388" i="4"/>
  <c r="G387" i="4" s="1"/>
  <c r="G386" i="4" s="1"/>
  <c r="G524" i="4"/>
  <c r="G523" i="4" s="1"/>
  <c r="G522" i="4" s="1"/>
  <c r="G503" i="4"/>
  <c r="G972" i="5" s="1"/>
  <c r="G973" i="5" s="1"/>
  <c r="C133" i="1"/>
  <c r="G606" i="4"/>
  <c r="F122" i="3" s="1"/>
  <c r="F121" i="3" s="1"/>
  <c r="G1294" i="4"/>
  <c r="G1293" i="4" s="1"/>
  <c r="G521" i="4"/>
  <c r="G352" i="4"/>
  <c r="G572" i="5" s="1"/>
  <c r="G1063" i="4"/>
  <c r="G1062" i="4" s="1"/>
  <c r="G18" i="4"/>
  <c r="F111" i="3" s="1"/>
  <c r="F110" i="3" s="1"/>
  <c r="G506" i="4"/>
  <c r="G519" i="4"/>
  <c r="F1006" i="3" s="1"/>
  <c r="F1005" i="3" s="1"/>
  <c r="G439" i="4"/>
  <c r="G438" i="4" s="1"/>
  <c r="G437" i="4" s="1"/>
  <c r="G490" i="4"/>
  <c r="G477" i="4"/>
  <c r="G476" i="4" s="1"/>
  <c r="G475" i="4" s="1"/>
  <c r="G474" i="4" s="1"/>
  <c r="G433" i="4"/>
  <c r="G432" i="4" s="1"/>
  <c r="G431" i="4" s="1"/>
  <c r="G657" i="4"/>
  <c r="G949" i="32" s="1"/>
  <c r="G948" i="32" s="1"/>
  <c r="G947" i="32" s="1"/>
  <c r="G946" i="32" s="1"/>
  <c r="G945" i="32" s="1"/>
  <c r="G1340" i="4"/>
  <c r="F1092" i="3" s="1"/>
  <c r="F1091" i="3" s="1"/>
  <c r="F1090" i="3" s="1"/>
  <c r="F1089" i="3" s="1"/>
  <c r="F1088" i="3" s="1"/>
  <c r="G1023" i="4"/>
  <c r="G758" i="4"/>
  <c r="G757" i="4" s="1"/>
  <c r="G756" i="4" s="1"/>
  <c r="G755" i="4" s="1"/>
  <c r="G1170" i="4"/>
  <c r="G1169" i="4" s="1"/>
  <c r="G1168" i="4" s="1"/>
  <c r="G1167" i="4" s="1"/>
  <c r="G1178" i="4"/>
  <c r="G1164" i="4"/>
  <c r="G134" i="4"/>
  <c r="F170" i="3" s="1"/>
  <c r="G9" i="25"/>
  <c r="G1222" i="4"/>
  <c r="G777" i="5" s="1"/>
  <c r="G776" i="5" s="1"/>
  <c r="G775" i="5" s="1"/>
  <c r="G898" i="4"/>
  <c r="F853" i="3" s="1"/>
  <c r="F852" i="3" s="1"/>
  <c r="I30" i="25"/>
  <c r="G30" i="25"/>
  <c r="H30" i="25"/>
  <c r="F1100" i="3"/>
  <c r="F1099" i="3" s="1"/>
  <c r="F1098" i="3" s="1"/>
  <c r="F1094" i="3" s="1"/>
  <c r="F1093" i="3" s="1"/>
  <c r="G218" i="4"/>
  <c r="F291" i="3" s="1"/>
  <c r="F290" i="3" s="1"/>
  <c r="F289" i="3" s="1"/>
  <c r="G273" i="4"/>
  <c r="G272" i="4" s="1"/>
  <c r="G268" i="4" s="1"/>
  <c r="G267" i="4" s="1"/>
  <c r="G1006" i="5"/>
  <c r="D30" i="25"/>
  <c r="F842" i="3"/>
  <c r="F841" i="3" s="1"/>
  <c r="F840" i="3" s="1"/>
  <c r="F839" i="3" s="1"/>
  <c r="G152" i="4"/>
  <c r="G373" i="5"/>
  <c r="G372" i="5" s="1"/>
  <c r="G371" i="5" s="1"/>
  <c r="G370" i="5" s="1"/>
  <c r="G369" i="5" s="1"/>
  <c r="G368" i="5" s="1"/>
  <c r="F819" i="3"/>
  <c r="F818" i="3" s="1"/>
  <c r="F817" i="3" s="1"/>
  <c r="G512" i="5"/>
  <c r="F173" i="3"/>
  <c r="F172" i="3" s="1"/>
  <c r="F171" i="3" s="1"/>
  <c r="G596" i="5"/>
  <c r="F926" i="3"/>
  <c r="F925" i="3" s="1"/>
  <c r="F924" i="3" s="1"/>
  <c r="F923" i="3"/>
  <c r="F922" i="3" s="1"/>
  <c r="F921" i="3" s="1"/>
  <c r="G382" i="4"/>
  <c r="G1067" i="4"/>
  <c r="G1066" i="4" s="1"/>
  <c r="G1065" i="4" s="1"/>
  <c r="G886" i="4"/>
  <c r="G885" i="4" s="1"/>
  <c r="G884" i="4" s="1"/>
  <c r="F1143" i="3"/>
  <c r="F1142" i="3" s="1"/>
  <c r="F1141" i="3" s="1"/>
  <c r="F1140" i="3" s="1"/>
  <c r="G986" i="4"/>
  <c r="G985" i="4" s="1"/>
  <c r="G984" i="4" s="1"/>
  <c r="G498" i="4"/>
  <c r="G778" i="4"/>
  <c r="G238" i="5" s="1"/>
  <c r="F32" i="25"/>
  <c r="D29" i="25"/>
  <c r="E25" i="25"/>
  <c r="E22" i="25"/>
  <c r="E21" i="25"/>
  <c r="G23" i="25"/>
  <c r="E23" i="25"/>
  <c r="E13" i="25"/>
  <c r="F857" i="3"/>
  <c r="F856" i="3" s="1"/>
  <c r="F833" i="3"/>
  <c r="G864" i="5"/>
  <c r="G863" i="5" s="1"/>
  <c r="F417" i="3"/>
  <c r="F416" i="3" s="1"/>
  <c r="F157" i="3"/>
  <c r="F167" i="3"/>
  <c r="F166" i="3" s="1"/>
  <c r="F124" i="3"/>
  <c r="F123" i="3" s="1"/>
  <c r="F80" i="3"/>
  <c r="F79" i="3" s="1"/>
  <c r="F1003" i="3"/>
  <c r="F1002" i="3" s="1"/>
  <c r="G540" i="4"/>
  <c r="F1023" i="3" s="1"/>
  <c r="F1022" i="3" s="1"/>
  <c r="G66" i="5"/>
  <c r="G289" i="4"/>
  <c r="G288" i="4" s="1"/>
  <c r="G731" i="4"/>
  <c r="G323" i="4"/>
  <c r="F343" i="3" s="1"/>
  <c r="F342" i="3" s="1"/>
  <c r="F341" i="3" s="1"/>
  <c r="F340" i="3" s="1"/>
  <c r="G1248" i="4"/>
  <c r="F499" i="3" s="1"/>
  <c r="F498" i="3" s="1"/>
  <c r="F497" i="3" s="1"/>
  <c r="F496" i="3" s="1"/>
  <c r="C137" i="1"/>
  <c r="C141" i="1"/>
  <c r="C118" i="1"/>
  <c r="C143" i="1"/>
  <c r="G626" i="4"/>
  <c r="G203" i="4"/>
  <c r="C165" i="1"/>
  <c r="C105" i="1"/>
  <c r="G458" i="4"/>
  <c r="G16" i="4"/>
  <c r="F1180" i="3"/>
  <c r="F1179" i="3" s="1"/>
  <c r="G1012" i="4"/>
  <c r="G286" i="4"/>
  <c r="G31" i="25"/>
  <c r="D31" i="25"/>
  <c r="H31" i="25"/>
  <c r="I28" i="25"/>
  <c r="G28" i="25"/>
  <c r="D28" i="25"/>
  <c r="H28" i="25"/>
  <c r="G1261" i="4"/>
  <c r="G1017" i="5" s="1"/>
  <c r="G1016" i="5" s="1"/>
  <c r="G1015" i="5" s="1"/>
  <c r="G1014" i="5" s="1"/>
  <c r="G1013" i="5" s="1"/>
  <c r="G1012" i="5" s="1"/>
  <c r="G906" i="5"/>
  <c r="G907" i="5" s="1"/>
  <c r="F441" i="3"/>
  <c r="F440" i="3" s="1"/>
  <c r="G1189" i="4"/>
  <c r="G1188" i="4" s="1"/>
  <c r="G1030" i="5"/>
  <c r="G1029" i="5" s="1"/>
  <c r="G1028" i="5" s="1"/>
  <c r="G1027" i="5" s="1"/>
  <c r="G1026" i="5" s="1"/>
  <c r="F519" i="3"/>
  <c r="F518" i="3" s="1"/>
  <c r="F517" i="3" s="1"/>
  <c r="G1267" i="4"/>
  <c r="G1266" i="4" s="1"/>
  <c r="G1187" i="4"/>
  <c r="G27" i="25"/>
  <c r="H186" i="29"/>
  <c r="G186" i="29"/>
  <c r="G184" i="29"/>
  <c r="G844" i="4"/>
  <c r="F733" i="3" s="1"/>
  <c r="F732" i="3" s="1"/>
  <c r="F731" i="3" s="1"/>
  <c r="F730" i="3" s="1"/>
  <c r="F729" i="3" s="1"/>
  <c r="G798" i="4"/>
  <c r="G797" i="4" s="1"/>
  <c r="G796" i="4" s="1"/>
  <c r="G795" i="4" s="1"/>
  <c r="G901" i="4"/>
  <c r="G397" i="4"/>
  <c r="G185" i="4"/>
  <c r="G664" i="4"/>
  <c r="F368" i="3" s="1"/>
  <c r="F367" i="3" s="1"/>
  <c r="F366" i="3" s="1"/>
  <c r="G1165" i="4"/>
  <c r="G1028" i="4"/>
  <c r="F1182" i="3" s="1"/>
  <c r="F1181" i="3" s="1"/>
  <c r="G1030" i="4"/>
  <c r="G1003" i="4"/>
  <c r="F1160" i="3"/>
  <c r="F1159" i="3" s="1"/>
  <c r="G591" i="4"/>
  <c r="G402" i="4"/>
  <c r="H791" i="29"/>
  <c r="G791" i="29"/>
  <c r="G210" i="4"/>
  <c r="G1256" i="4"/>
  <c r="F507" i="3" s="1"/>
  <c r="F506" i="3" s="1"/>
  <c r="F505" i="3" s="1"/>
  <c r="F504" i="3" s="1"/>
  <c r="F1169" i="3"/>
  <c r="F1168" i="3" s="1"/>
  <c r="F1165" i="3"/>
  <c r="F1164" i="3" s="1"/>
  <c r="G1009" i="4"/>
  <c r="C146" i="1"/>
  <c r="C96" i="1"/>
  <c r="G752" i="4"/>
  <c r="G751" i="4" s="1"/>
  <c r="G750" i="4" s="1"/>
  <c r="G749" i="4" s="1"/>
  <c r="G488" i="4"/>
  <c r="G831" i="5"/>
  <c r="G26" i="25"/>
  <c r="I26" i="25"/>
  <c r="G1255" i="4"/>
  <c r="G1254" i="4" s="1"/>
  <c r="G1253" i="4" s="1"/>
  <c r="D26" i="25"/>
  <c r="G607" i="4"/>
  <c r="G633" i="4"/>
  <c r="F78" i="3" s="1"/>
  <c r="F77" i="3" s="1"/>
  <c r="G634" i="4"/>
  <c r="G727" i="4"/>
  <c r="G293" i="5" s="1"/>
  <c r="G292" i="5" s="1"/>
  <c r="G291" i="5" s="1"/>
  <c r="G290" i="5" s="1"/>
  <c r="G289" i="5" s="1"/>
  <c r="G784" i="4"/>
  <c r="C136" i="1"/>
  <c r="C124" i="1"/>
  <c r="C179" i="1"/>
  <c r="F1176" i="3"/>
  <c r="F1175" i="3"/>
  <c r="G1022" i="4"/>
  <c r="G1021" i="4" s="1"/>
  <c r="F874" i="3"/>
  <c r="F873" i="3" s="1"/>
  <c r="F872" i="3"/>
  <c r="F871" i="3" s="1"/>
  <c r="G918" i="4"/>
  <c r="G916" i="4"/>
  <c r="F268" i="3"/>
  <c r="F267" i="3" s="1"/>
  <c r="G191" i="4"/>
  <c r="G1103" i="4"/>
  <c r="F323" i="3" s="1"/>
  <c r="F322" i="3" s="1"/>
  <c r="I4" i="25"/>
  <c r="G101" i="4"/>
  <c r="G140" i="4"/>
  <c r="G95" i="4"/>
  <c r="F90" i="3" s="1"/>
  <c r="G395" i="5" s="1"/>
  <c r="G396" i="5" s="1"/>
  <c r="G45" i="4"/>
  <c r="G44" i="4" s="1"/>
  <c r="G559" i="4"/>
  <c r="F1052" i="3" s="1"/>
  <c r="F1051" i="3" s="1"/>
  <c r="F1050" i="3" s="1"/>
  <c r="F1049" i="3" s="1"/>
  <c r="F1048" i="3" s="1"/>
  <c r="G596" i="4"/>
  <c r="G515" i="4"/>
  <c r="C104" i="1"/>
  <c r="C188" i="1"/>
  <c r="I10" i="25"/>
  <c r="D10" i="25"/>
  <c r="G59" i="5"/>
  <c r="I25" i="25"/>
  <c r="G25" i="25"/>
  <c r="H25" i="25"/>
  <c r="D25" i="25"/>
  <c r="D24" i="25"/>
  <c r="G824" i="5"/>
  <c r="F503" i="3"/>
  <c r="F502" i="3" s="1"/>
  <c r="F501" i="3" s="1"/>
  <c r="F500" i="3" s="1"/>
  <c r="G1251" i="4"/>
  <c r="G1250" i="4" s="1"/>
  <c r="G1249" i="4" s="1"/>
  <c r="G224" i="29"/>
  <c r="G217" i="29"/>
  <c r="G219" i="29"/>
  <c r="G1024" i="29"/>
  <c r="I6" i="25"/>
  <c r="G6" i="25"/>
  <c r="H691" i="29"/>
  <c r="G691" i="29"/>
  <c r="H410" i="29"/>
  <c r="G410" i="29"/>
  <c r="H408" i="29"/>
  <c r="G408" i="29"/>
  <c r="G243" i="29"/>
  <c r="H219" i="29"/>
  <c r="H217" i="29"/>
  <c r="H80" i="29"/>
  <c r="G80" i="29"/>
  <c r="H78" i="29"/>
  <c r="G78" i="29"/>
  <c r="G73" i="29"/>
  <c r="G721" i="29"/>
  <c r="H780" i="29"/>
  <c r="G780" i="29"/>
  <c r="H626" i="29"/>
  <c r="G626" i="29"/>
  <c r="H333" i="29"/>
  <c r="G333" i="29"/>
  <c r="G85" i="4"/>
  <c r="F75" i="3" s="1"/>
  <c r="F74" i="3" s="1"/>
  <c r="G83" i="4"/>
  <c r="G82" i="4" s="1"/>
  <c r="D121" i="19"/>
  <c r="H83" i="29"/>
  <c r="G88" i="4"/>
  <c r="F83" i="3" s="1"/>
  <c r="F82" i="3" s="1"/>
  <c r="H336" i="29"/>
  <c r="G336" i="29"/>
  <c r="H783" i="29"/>
  <c r="G783" i="29"/>
  <c r="H697" i="29"/>
  <c r="G697" i="29"/>
  <c r="H629" i="29"/>
  <c r="G629" i="29"/>
  <c r="C88" i="19"/>
  <c r="H1024" i="29"/>
  <c r="D100" i="19"/>
  <c r="C100" i="19"/>
  <c r="C113" i="19"/>
  <c r="C121" i="19"/>
  <c r="H1269" i="29"/>
  <c r="G1269" i="29"/>
  <c r="H965" i="32"/>
  <c r="G965" i="32"/>
  <c r="G966" i="32"/>
  <c r="G229" i="30"/>
  <c r="F229" i="30"/>
  <c r="H157" i="29"/>
  <c r="H156" i="29"/>
  <c r="H155" i="29"/>
  <c r="H154" i="29"/>
  <c r="G157" i="29"/>
  <c r="G156" i="29"/>
  <c r="G155" i="29"/>
  <c r="G154" i="29"/>
  <c r="H966" i="32"/>
  <c r="G228" i="30"/>
  <c r="G227" i="30"/>
  <c r="G226" i="30"/>
  <c r="G225" i="30"/>
  <c r="F228" i="30"/>
  <c r="F227" i="30"/>
  <c r="F226" i="30"/>
  <c r="F225" i="30"/>
  <c r="H964" i="32"/>
  <c r="H963" i="32"/>
  <c r="H962" i="32"/>
  <c r="H961" i="32"/>
  <c r="H960" i="32"/>
  <c r="H959" i="32"/>
  <c r="G1060" i="5"/>
  <c r="G1061" i="5" s="1"/>
  <c r="F242" i="3"/>
  <c r="F241" i="3" s="1"/>
  <c r="F240" i="3" s="1"/>
  <c r="F239" i="3" s="1"/>
  <c r="F238" i="3" s="1"/>
  <c r="G165" i="4"/>
  <c r="G164" i="4" s="1"/>
  <c r="G163" i="4" s="1"/>
  <c r="G162" i="4" s="1"/>
  <c r="G964" i="32"/>
  <c r="G963" i="32"/>
  <c r="G962" i="32"/>
  <c r="G961" i="32"/>
  <c r="G960" i="32"/>
  <c r="G959" i="32"/>
  <c r="H6" i="25"/>
  <c r="H721" i="29"/>
  <c r="H653" i="29"/>
  <c r="G653" i="29"/>
  <c r="Q40" i="25"/>
  <c r="Q39" i="25"/>
  <c r="K39" i="25"/>
  <c r="K40" i="25"/>
  <c r="E39" i="25"/>
  <c r="E40" i="25"/>
  <c r="U43" i="25"/>
  <c r="S43" i="25"/>
  <c r="P43" i="25"/>
  <c r="O43" i="25"/>
  <c r="M43" i="25"/>
  <c r="J43" i="25"/>
  <c r="I43" i="25"/>
  <c r="G43" i="25"/>
  <c r="U42" i="25"/>
  <c r="S42" i="25"/>
  <c r="O42" i="25"/>
  <c r="M42" i="25"/>
  <c r="J42" i="25"/>
  <c r="I42" i="25"/>
  <c r="G42" i="25"/>
  <c r="D42" i="25"/>
  <c r="U41" i="25"/>
  <c r="S41" i="25"/>
  <c r="P41" i="25"/>
  <c r="O41" i="25"/>
  <c r="M41" i="25"/>
  <c r="I41" i="25"/>
  <c r="G41" i="25"/>
  <c r="D41" i="25"/>
  <c r="U40" i="25"/>
  <c r="S40" i="25"/>
  <c r="O40" i="25"/>
  <c r="M40" i="25"/>
  <c r="J40" i="25"/>
  <c r="I40" i="25"/>
  <c r="U39" i="25"/>
  <c r="S39" i="25"/>
  <c r="O39" i="25"/>
  <c r="M39" i="25"/>
  <c r="I39" i="25"/>
  <c r="G39" i="25"/>
  <c r="D39" i="25"/>
  <c r="U38" i="25"/>
  <c r="S38" i="25"/>
  <c r="P38" i="25"/>
  <c r="O38" i="25"/>
  <c r="M38" i="25"/>
  <c r="J38" i="25"/>
  <c r="I38" i="25"/>
  <c r="G38" i="25"/>
  <c r="D38" i="25"/>
  <c r="P39" i="25"/>
  <c r="J41" i="25"/>
  <c r="P40" i="25"/>
  <c r="G40" i="25"/>
  <c r="D40" i="25"/>
  <c r="J39" i="25"/>
  <c r="P42" i="25"/>
  <c r="D43" i="25"/>
  <c r="C92" i="1"/>
  <c r="C60" i="1"/>
  <c r="C15" i="1"/>
  <c r="G757" i="29"/>
  <c r="G850" i="4"/>
  <c r="G849" i="4" s="1"/>
  <c r="G848" i="4" s="1"/>
  <c r="H503" i="29"/>
  <c r="G503" i="29"/>
  <c r="D94" i="19"/>
  <c r="C94" i="19"/>
  <c r="C103" i="1"/>
  <c r="C102" i="1"/>
  <c r="M8" i="25"/>
  <c r="I12" i="25"/>
  <c r="G12" i="25"/>
  <c r="I9" i="25"/>
  <c r="I5" i="25"/>
  <c r="G5" i="25"/>
  <c r="H733" i="29"/>
  <c r="G733" i="29"/>
  <c r="G810" i="4"/>
  <c r="G312" i="5" s="1"/>
  <c r="G311" i="5" s="1"/>
  <c r="G310" i="5" s="1"/>
  <c r="G309" i="5" s="1"/>
  <c r="G308" i="5" s="1"/>
  <c r="G307" i="5" s="1"/>
  <c r="G313" i="5" s="1"/>
  <c r="U11" i="25"/>
  <c r="S11" i="25"/>
  <c r="O11" i="25"/>
  <c r="M11" i="25"/>
  <c r="I11" i="25"/>
  <c r="G11" i="25"/>
  <c r="G834" i="4"/>
  <c r="F723" i="3" s="1"/>
  <c r="F722" i="3" s="1"/>
  <c r="F721" i="3" s="1"/>
  <c r="F720" i="3" s="1"/>
  <c r="O4" i="25"/>
  <c r="M4" i="25"/>
  <c r="J4" i="25"/>
  <c r="G4" i="25"/>
  <c r="D4" i="25"/>
  <c r="H1130" i="29"/>
  <c r="G1130" i="29"/>
  <c r="U14" i="25"/>
  <c r="S14" i="25"/>
  <c r="T14" i="25"/>
  <c r="I14" i="25"/>
  <c r="G14" i="25"/>
  <c r="O14" i="25"/>
  <c r="M14" i="25"/>
  <c r="N14" i="25"/>
  <c r="H14" i="25"/>
  <c r="H657" i="29"/>
  <c r="G657" i="29"/>
  <c r="U13" i="25"/>
  <c r="S13" i="25"/>
  <c r="T13" i="25"/>
  <c r="O13" i="25"/>
  <c r="M13" i="25"/>
  <c r="N13" i="25"/>
  <c r="G1012" i="29"/>
  <c r="H294" i="29"/>
  <c r="G294" i="29"/>
  <c r="U22" i="25"/>
  <c r="S22" i="25"/>
  <c r="T22" i="25"/>
  <c r="U21" i="25"/>
  <c r="T21" i="25"/>
  <c r="O22" i="25"/>
  <c r="M22" i="25"/>
  <c r="O21" i="25"/>
  <c r="O20" i="25"/>
  <c r="U20" i="25"/>
  <c r="S20" i="25"/>
  <c r="T20" i="25"/>
  <c r="C112" i="19"/>
  <c r="G207" i="29"/>
  <c r="G228" i="4"/>
  <c r="F301" i="3" s="1"/>
  <c r="F300" i="3" s="1"/>
  <c r="F299" i="3" s="1"/>
  <c r="F298" i="3" s="1"/>
  <c r="C125" i="1"/>
  <c r="C116" i="1"/>
  <c r="C115" i="1" s="1"/>
  <c r="E20" i="25"/>
  <c r="E32" i="25"/>
  <c r="E33" i="25"/>
  <c r="I13" i="25"/>
  <c r="G13" i="25"/>
  <c r="H13" i="25"/>
  <c r="G453" i="4"/>
  <c r="G455" i="4"/>
  <c r="G454" i="4" s="1"/>
  <c r="G979" i="4"/>
  <c r="G978" i="4" s="1"/>
  <c r="G491" i="5" s="1"/>
  <c r="I16" i="25"/>
  <c r="G16" i="25"/>
  <c r="G983" i="4"/>
  <c r="F1139" i="3" s="1"/>
  <c r="F1138" i="3" s="1"/>
  <c r="F1137" i="3" s="1"/>
  <c r="F1136" i="3" s="1"/>
  <c r="I17" i="25"/>
  <c r="G17" i="25"/>
  <c r="H177" i="29"/>
  <c r="G177" i="29"/>
  <c r="H180" i="29"/>
  <c r="G180" i="29"/>
  <c r="O18" i="25"/>
  <c r="M18" i="25"/>
  <c r="H257" i="29"/>
  <c r="G257" i="29"/>
  <c r="H254" i="29"/>
  <c r="G254" i="29"/>
  <c r="H207" i="29"/>
  <c r="U15" i="25"/>
  <c r="S15" i="25"/>
  <c r="O15" i="25"/>
  <c r="M15" i="25"/>
  <c r="I15" i="25"/>
  <c r="G32" i="25"/>
  <c r="I20" i="25"/>
  <c r="I18" i="25"/>
  <c r="G18" i="25"/>
  <c r="H896" i="32"/>
  <c r="H895" i="32"/>
  <c r="H894" i="32"/>
  <c r="G896" i="32"/>
  <c r="G897" i="32"/>
  <c r="H677" i="32"/>
  <c r="H676" i="32"/>
  <c r="H675" i="32"/>
  <c r="G677" i="32"/>
  <c r="G676" i="32"/>
  <c r="G675" i="32"/>
  <c r="H597" i="32"/>
  <c r="H596" i="32"/>
  <c r="G597" i="32"/>
  <c r="G596" i="32"/>
  <c r="H572" i="32"/>
  <c r="H571" i="32"/>
  <c r="H570" i="32"/>
  <c r="G572" i="32"/>
  <c r="G571" i="32"/>
  <c r="G570" i="32"/>
  <c r="H573" i="32"/>
  <c r="G678" i="32"/>
  <c r="H678" i="32"/>
  <c r="G573" i="32"/>
  <c r="H897" i="32"/>
  <c r="G895" i="32"/>
  <c r="G894" i="32"/>
  <c r="H555" i="32"/>
  <c r="H554" i="32"/>
  <c r="H553" i="32"/>
  <c r="G555" i="32"/>
  <c r="G554" i="32"/>
  <c r="G553" i="32"/>
  <c r="H502" i="32"/>
  <c r="H503" i="32"/>
  <c r="G886" i="30"/>
  <c r="G885" i="30"/>
  <c r="G884" i="30"/>
  <c r="F886" i="30"/>
  <c r="F885" i="30"/>
  <c r="F884" i="30"/>
  <c r="G878" i="30"/>
  <c r="G877" i="30"/>
  <c r="G876" i="30"/>
  <c r="F878" i="30"/>
  <c r="F877" i="30"/>
  <c r="F876" i="30"/>
  <c r="G842" i="30"/>
  <c r="G841" i="30"/>
  <c r="F842" i="30"/>
  <c r="F841" i="30"/>
  <c r="G836" i="30"/>
  <c r="G835" i="30"/>
  <c r="G834" i="30"/>
  <c r="F836" i="30"/>
  <c r="F835" i="30"/>
  <c r="F834" i="30"/>
  <c r="G829" i="30"/>
  <c r="G828" i="30"/>
  <c r="G827" i="30"/>
  <c r="F829" i="30"/>
  <c r="F828" i="30"/>
  <c r="F827" i="30"/>
  <c r="H451" i="29"/>
  <c r="G451" i="29"/>
  <c r="H453" i="29"/>
  <c r="H452" i="29"/>
  <c r="G453" i="29"/>
  <c r="G452" i="29"/>
  <c r="H443" i="29"/>
  <c r="G443" i="29"/>
  <c r="H445" i="29"/>
  <c r="H444" i="29"/>
  <c r="G445" i="29"/>
  <c r="G444" i="29"/>
  <c r="H409" i="29"/>
  <c r="G409" i="29"/>
  <c r="H401" i="29"/>
  <c r="G401" i="29"/>
  <c r="H403" i="29"/>
  <c r="H402" i="29"/>
  <c r="G403" i="29"/>
  <c r="G402" i="29"/>
  <c r="H392" i="29"/>
  <c r="G392" i="29"/>
  <c r="H396" i="29"/>
  <c r="H395" i="29"/>
  <c r="G396" i="29"/>
  <c r="G395" i="29"/>
  <c r="G810" i="30"/>
  <c r="G809" i="30"/>
  <c r="G808" i="30"/>
  <c r="G378" i="29"/>
  <c r="F810" i="30"/>
  <c r="F809" i="30"/>
  <c r="F808" i="30"/>
  <c r="H385" i="29"/>
  <c r="H383" i="29"/>
  <c r="G385" i="29"/>
  <c r="G383" i="29"/>
  <c r="G381" i="29"/>
  <c r="H377" i="29"/>
  <c r="H376" i="29"/>
  <c r="G556" i="32"/>
  <c r="H556" i="32"/>
  <c r="G502" i="32"/>
  <c r="G503" i="32"/>
  <c r="G377" i="29"/>
  <c r="G376" i="29"/>
  <c r="H501" i="32"/>
  <c r="H500" i="32"/>
  <c r="H440" i="29"/>
  <c r="H439" i="29"/>
  <c r="G440" i="29"/>
  <c r="G439" i="29"/>
  <c r="G588" i="5"/>
  <c r="F985" i="3"/>
  <c r="F984" i="3" s="1"/>
  <c r="F983" i="3" s="1"/>
  <c r="G495" i="4"/>
  <c r="F982" i="3" s="1"/>
  <c r="F981" i="3" s="1"/>
  <c r="F980" i="3" s="1"/>
  <c r="G428" i="4"/>
  <c r="G413" i="4"/>
  <c r="G412" i="4" s="1"/>
  <c r="G540" i="5"/>
  <c r="G539" i="5" s="1"/>
  <c r="G501" i="32"/>
  <c r="G500" i="32"/>
  <c r="G536" i="5"/>
  <c r="G537" i="5" s="1"/>
  <c r="F901" i="3"/>
  <c r="F900" i="3" s="1"/>
  <c r="F899" i="3" s="1"/>
  <c r="H1095" i="29"/>
  <c r="H1193" i="29"/>
  <c r="H63" i="29"/>
  <c r="G63" i="29"/>
  <c r="G1095" i="29"/>
  <c r="H931" i="29"/>
  <c r="G931" i="29"/>
  <c r="H933" i="29"/>
  <c r="G933" i="29"/>
  <c r="G1048" i="4"/>
  <c r="G484" i="5" s="1"/>
  <c r="G1046" i="4"/>
  <c r="G1045" i="4" s="1"/>
  <c r="H639" i="29"/>
  <c r="G639" i="29"/>
  <c r="H66" i="29"/>
  <c r="G66" i="29"/>
  <c r="H973" i="29"/>
  <c r="G973" i="29"/>
  <c r="H970" i="29"/>
  <c r="G970" i="29"/>
  <c r="G968" i="29"/>
  <c r="H957" i="29"/>
  <c r="G957" i="29"/>
  <c r="H954" i="29"/>
  <c r="G954" i="29"/>
  <c r="G952" i="29"/>
  <c r="H189" i="29"/>
  <c r="G260" i="30"/>
  <c r="G189" i="29"/>
  <c r="F260" i="30"/>
  <c r="G257" i="30"/>
  <c r="F257" i="30"/>
  <c r="F255" i="30"/>
  <c r="H135" i="29"/>
  <c r="G172" i="30"/>
  <c r="G135" i="29"/>
  <c r="F172" i="30"/>
  <c r="H132" i="29"/>
  <c r="G169" i="30"/>
  <c r="G132" i="29"/>
  <c r="F169" i="30"/>
  <c r="G130" i="29"/>
  <c r="F167" i="30"/>
  <c r="G205" i="4"/>
  <c r="F281" i="3" s="1"/>
  <c r="F280" i="3" s="1"/>
  <c r="F182" i="3"/>
  <c r="F181" i="3" s="1"/>
  <c r="G1079" i="4"/>
  <c r="G1084" i="4"/>
  <c r="G1083" i="4" s="1"/>
  <c r="G1082" i="4" s="1"/>
  <c r="G1081" i="4"/>
  <c r="G1080" i="4" s="1"/>
  <c r="F256" i="30"/>
  <c r="H972" i="29"/>
  <c r="H971" i="29"/>
  <c r="G972" i="29"/>
  <c r="G971" i="29"/>
  <c r="H969" i="29"/>
  <c r="G969" i="29"/>
  <c r="H968" i="29"/>
  <c r="G967" i="29"/>
  <c r="H956" i="29"/>
  <c r="H955" i="29"/>
  <c r="G956" i="29"/>
  <c r="G955" i="29"/>
  <c r="H953" i="29"/>
  <c r="G953" i="29"/>
  <c r="H952" i="29"/>
  <c r="G951" i="29"/>
  <c r="G1078" i="4"/>
  <c r="H951" i="29"/>
  <c r="H967" i="29"/>
  <c r="H966" i="29"/>
  <c r="H965" i="29"/>
  <c r="G950" i="29"/>
  <c r="G949" i="29"/>
  <c r="G966" i="29"/>
  <c r="G965" i="29"/>
  <c r="H950" i="29"/>
  <c r="H949" i="29"/>
  <c r="G857" i="29"/>
  <c r="H56" i="29"/>
  <c r="H54" i="29"/>
  <c r="G56" i="29"/>
  <c r="G54" i="29"/>
  <c r="H39" i="33"/>
  <c r="H38" i="33"/>
  <c r="H37" i="33"/>
  <c r="H36" i="33"/>
  <c r="H35" i="33"/>
  <c r="G39" i="33"/>
  <c r="G38" i="33"/>
  <c r="G37" i="33"/>
  <c r="G36" i="33"/>
  <c r="G35" i="33"/>
  <c r="H33" i="33"/>
  <c r="G33" i="33"/>
  <c r="H27" i="33"/>
  <c r="H26" i="33"/>
  <c r="H25" i="33"/>
  <c r="H24" i="33"/>
  <c r="H23" i="33"/>
  <c r="G27" i="33"/>
  <c r="G26" i="33"/>
  <c r="G25" i="33"/>
  <c r="G24" i="33"/>
  <c r="G23" i="33"/>
  <c r="H15" i="33"/>
  <c r="H14" i="33"/>
  <c r="H13" i="33"/>
  <c r="H12" i="33"/>
  <c r="H11" i="33"/>
  <c r="H16" i="33"/>
  <c r="G15" i="33"/>
  <c r="G14" i="33"/>
  <c r="G13" i="33"/>
  <c r="G12" i="33"/>
  <c r="G11" i="33"/>
  <c r="G16" i="33"/>
  <c r="H44" i="33"/>
  <c r="H43" i="33"/>
  <c r="H42" i="33"/>
  <c r="H41" i="33"/>
  <c r="H40" i="33"/>
  <c r="H34" i="33"/>
  <c r="H32" i="33"/>
  <c r="H31" i="33"/>
  <c r="H30" i="33"/>
  <c r="H29" i="33"/>
  <c r="H28" i="33"/>
  <c r="H21" i="33"/>
  <c r="H20" i="33"/>
  <c r="H19" i="33"/>
  <c r="H18" i="33"/>
  <c r="H17" i="33"/>
  <c r="G44" i="33"/>
  <c r="G43" i="33"/>
  <c r="G42" i="33"/>
  <c r="G41" i="33"/>
  <c r="G40" i="33"/>
  <c r="G28" i="33"/>
  <c r="G21" i="33"/>
  <c r="G20" i="33"/>
  <c r="G19" i="33"/>
  <c r="G18" i="33"/>
  <c r="G17" i="33"/>
  <c r="G32" i="33"/>
  <c r="G31" i="33"/>
  <c r="G30" i="33"/>
  <c r="G29" i="33"/>
  <c r="G47" i="33"/>
  <c r="H47" i="33"/>
  <c r="G872" i="4"/>
  <c r="F761" i="3" s="1"/>
  <c r="F760" i="3" s="1"/>
  <c r="F759" i="3" s="1"/>
  <c r="F758" i="3" s="1"/>
  <c r="G779" i="30"/>
  <c r="G778" i="30"/>
  <c r="F779" i="30"/>
  <c r="F778" i="30"/>
  <c r="G775" i="30"/>
  <c r="G774" i="30"/>
  <c r="F775" i="30"/>
  <c r="F774" i="30"/>
  <c r="H824" i="29"/>
  <c r="G824" i="29"/>
  <c r="H819" i="29"/>
  <c r="G777" i="30"/>
  <c r="G776" i="30"/>
  <c r="G819" i="29"/>
  <c r="G818" i="29"/>
  <c r="H816" i="29"/>
  <c r="H820" i="29"/>
  <c r="G820" i="29"/>
  <c r="G816" i="29"/>
  <c r="F1038" i="30"/>
  <c r="F1037" i="30"/>
  <c r="H914" i="29"/>
  <c r="G914" i="29"/>
  <c r="H911" i="29"/>
  <c r="G1042" i="30"/>
  <c r="G1041" i="30"/>
  <c r="G911" i="29"/>
  <c r="F1042" i="30"/>
  <c r="F1041" i="30"/>
  <c r="H909" i="29"/>
  <c r="G1040" i="30"/>
  <c r="G1039" i="30"/>
  <c r="G909" i="29"/>
  <c r="G908" i="29"/>
  <c r="H907" i="29"/>
  <c r="H906" i="29"/>
  <c r="G906" i="29"/>
  <c r="G1010" i="4"/>
  <c r="F859" i="3"/>
  <c r="F858" i="3" s="1"/>
  <c r="F855" i="3"/>
  <c r="F854" i="3" s="1"/>
  <c r="G899" i="4"/>
  <c r="G903" i="4"/>
  <c r="G897" i="4"/>
  <c r="G910" i="29"/>
  <c r="G905" i="29"/>
  <c r="H908" i="29"/>
  <c r="F777" i="30"/>
  <c r="F776" i="30"/>
  <c r="F773" i="30"/>
  <c r="H818" i="29"/>
  <c r="H815" i="29"/>
  <c r="G773" i="30"/>
  <c r="G815" i="29"/>
  <c r="H910" i="29"/>
  <c r="F1040" i="30"/>
  <c r="F1039" i="30"/>
  <c r="F1036" i="30"/>
  <c r="G1038" i="30"/>
  <c r="G1037" i="30"/>
  <c r="G1036" i="30"/>
  <c r="H905" i="29"/>
  <c r="H946" i="29"/>
  <c r="H990" i="29"/>
  <c r="H992" i="29"/>
  <c r="G946" i="29"/>
  <c r="G992" i="29"/>
  <c r="G9" i="29"/>
  <c r="H857" i="29"/>
  <c r="H9" i="29"/>
  <c r="H834" i="32"/>
  <c r="H833" i="32"/>
  <c r="G834" i="32"/>
  <c r="G835" i="32"/>
  <c r="H784" i="32"/>
  <c r="H785" i="32"/>
  <c r="G784" i="32"/>
  <c r="G785" i="32"/>
  <c r="H226" i="32"/>
  <c r="H973" i="32"/>
  <c r="H972" i="32"/>
  <c r="H971" i="32"/>
  <c r="H970" i="32"/>
  <c r="H969" i="32"/>
  <c r="G973" i="32"/>
  <c r="G972" i="32"/>
  <c r="G971" i="32"/>
  <c r="G970" i="32"/>
  <c r="G969" i="32"/>
  <c r="G967" i="32"/>
  <c r="H957" i="32"/>
  <c r="H956" i="32"/>
  <c r="H955" i="32"/>
  <c r="H954" i="32"/>
  <c r="H953" i="32"/>
  <c r="G957" i="32"/>
  <c r="G956" i="32"/>
  <c r="G955" i="32"/>
  <c r="G954" i="32"/>
  <c r="G953" i="32"/>
  <c r="H915" i="32"/>
  <c r="G915" i="32"/>
  <c r="G914" i="32"/>
  <c r="G913" i="32"/>
  <c r="G912" i="32"/>
  <c r="G911" i="32"/>
  <c r="G910" i="32"/>
  <c r="H908" i="32"/>
  <c r="H907" i="32"/>
  <c r="H906" i="32"/>
  <c r="H905" i="32"/>
  <c r="H904" i="32"/>
  <c r="G908" i="32"/>
  <c r="G907" i="32"/>
  <c r="G906" i="32"/>
  <c r="H902" i="32"/>
  <c r="H903" i="32"/>
  <c r="G902" i="32"/>
  <c r="H892" i="32"/>
  <c r="H893" i="32"/>
  <c r="G892" i="32"/>
  <c r="H886" i="32"/>
  <c r="H887" i="32"/>
  <c r="G886" i="32"/>
  <c r="H882" i="32"/>
  <c r="H881" i="32"/>
  <c r="H880" i="32"/>
  <c r="G882" i="32"/>
  <c r="H877" i="32"/>
  <c r="G877" i="32"/>
  <c r="G876" i="32"/>
  <c r="G875" i="32"/>
  <c r="G874" i="32"/>
  <c r="H872" i="32"/>
  <c r="H871" i="32"/>
  <c r="H870" i="32"/>
  <c r="H869" i="32"/>
  <c r="G872" i="32"/>
  <c r="H865" i="32"/>
  <c r="G865" i="32"/>
  <c r="G866" i="32"/>
  <c r="H861" i="32"/>
  <c r="G861" i="32"/>
  <c r="G862" i="32"/>
  <c r="H837" i="32"/>
  <c r="G837" i="32"/>
  <c r="H841" i="32"/>
  <c r="G841" i="32"/>
  <c r="H747" i="32"/>
  <c r="G747" i="32"/>
  <c r="H721" i="32"/>
  <c r="G721" i="32"/>
  <c r="H703" i="32"/>
  <c r="G703" i="32"/>
  <c r="H682" i="32"/>
  <c r="H681" i="32"/>
  <c r="H680" i="32"/>
  <c r="G682" i="32"/>
  <c r="G681" i="32"/>
  <c r="G680" i="32"/>
  <c r="H673" i="32"/>
  <c r="H672" i="32"/>
  <c r="H671" i="32"/>
  <c r="H670" i="32"/>
  <c r="G673" i="32"/>
  <c r="G674" i="32"/>
  <c r="H667" i="32"/>
  <c r="H666" i="32"/>
  <c r="H665" i="32"/>
  <c r="H664" i="32"/>
  <c r="G667" i="32"/>
  <c r="G666" i="32"/>
  <c r="G665" i="32"/>
  <c r="G664" i="32"/>
  <c r="H662" i="32"/>
  <c r="H663" i="32"/>
  <c r="G662" i="32"/>
  <c r="H657" i="32"/>
  <c r="H656" i="32"/>
  <c r="H655" i="32"/>
  <c r="H654" i="32"/>
  <c r="G657" i="32"/>
  <c r="G658" i="32"/>
  <c r="H645" i="32"/>
  <c r="H644" i="32"/>
  <c r="H643" i="32"/>
  <c r="H642" i="32"/>
  <c r="H641" i="32"/>
  <c r="G645" i="32"/>
  <c r="G644" i="32"/>
  <c r="G643" i="32"/>
  <c r="G642" i="32"/>
  <c r="G641" i="32"/>
  <c r="H615" i="32"/>
  <c r="H614" i="32"/>
  <c r="H613" i="32"/>
  <c r="H612" i="32"/>
  <c r="H611" i="32"/>
  <c r="H610" i="32"/>
  <c r="G615" i="32"/>
  <c r="G616" i="32"/>
  <c r="H608" i="32"/>
  <c r="G608" i="32"/>
  <c r="H601" i="32"/>
  <c r="H602" i="32"/>
  <c r="G601" i="32"/>
  <c r="G602" i="32"/>
  <c r="H595" i="32"/>
  <c r="H598" i="32"/>
  <c r="G595" i="32"/>
  <c r="G598" i="32"/>
  <c r="H589" i="32"/>
  <c r="H590" i="32"/>
  <c r="G589" i="32"/>
  <c r="G590" i="32"/>
  <c r="H585" i="32"/>
  <c r="H586" i="32"/>
  <c r="G585" i="32"/>
  <c r="G584" i="32"/>
  <c r="G583" i="32"/>
  <c r="H578" i="32"/>
  <c r="G578" i="32"/>
  <c r="G577" i="32"/>
  <c r="G576" i="32"/>
  <c r="G575" i="32"/>
  <c r="G574" i="32"/>
  <c r="H568" i="32"/>
  <c r="G568" i="32"/>
  <c r="G569" i="32"/>
  <c r="H562" i="32"/>
  <c r="G562" i="32"/>
  <c r="G561" i="32"/>
  <c r="G560" i="32"/>
  <c r="G559" i="32"/>
  <c r="G558" i="32"/>
  <c r="H548" i="32"/>
  <c r="G548" i="32"/>
  <c r="G549" i="32"/>
  <c r="H539" i="32"/>
  <c r="H538" i="32"/>
  <c r="G539" i="32"/>
  <c r="H535" i="32"/>
  <c r="H534" i="32"/>
  <c r="G535" i="32"/>
  <c r="G554" i="29"/>
  <c r="H528" i="32"/>
  <c r="G528" i="32"/>
  <c r="G527" i="32"/>
  <c r="H525" i="32"/>
  <c r="H526" i="32"/>
  <c r="G525" i="32"/>
  <c r="G522" i="32"/>
  <c r="G521" i="32"/>
  <c r="H492" i="32"/>
  <c r="G492" i="32"/>
  <c r="G493" i="32"/>
  <c r="H489" i="32"/>
  <c r="H488" i="32"/>
  <c r="G489" i="32"/>
  <c r="G486" i="32"/>
  <c r="G485" i="32"/>
  <c r="H457" i="32"/>
  <c r="H458" i="32"/>
  <c r="G457" i="32"/>
  <c r="G456" i="32"/>
  <c r="H454" i="32"/>
  <c r="G454" i="32"/>
  <c r="H447" i="32"/>
  <c r="H446" i="32"/>
  <c r="H445" i="32"/>
  <c r="H444" i="32"/>
  <c r="H443" i="32"/>
  <c r="H442" i="32"/>
  <c r="G447" i="32"/>
  <c r="G446" i="32"/>
  <c r="G445" i="32"/>
  <c r="G444" i="32"/>
  <c r="G443" i="32"/>
  <c r="G442" i="32"/>
  <c r="H425" i="32"/>
  <c r="H426" i="32"/>
  <c r="G425" i="32"/>
  <c r="G424" i="32"/>
  <c r="G423" i="32"/>
  <c r="G410" i="32"/>
  <c r="H402" i="32"/>
  <c r="H403" i="32"/>
  <c r="G402" i="32"/>
  <c r="H394" i="32"/>
  <c r="H395" i="32"/>
  <c r="G394" i="32"/>
  <c r="G395" i="32"/>
  <c r="H383" i="32"/>
  <c r="H382" i="32"/>
  <c r="G383" i="32"/>
  <c r="G384" i="32"/>
  <c r="H380" i="32"/>
  <c r="H381" i="32"/>
  <c r="G380" i="32"/>
  <c r="G381" i="32"/>
  <c r="H375" i="32"/>
  <c r="H374" i="32"/>
  <c r="H373" i="32"/>
  <c r="G375" i="32"/>
  <c r="G374" i="32"/>
  <c r="G373" i="32"/>
  <c r="H368" i="32"/>
  <c r="H369" i="32"/>
  <c r="G368" i="32"/>
  <c r="G369" i="32"/>
  <c r="H360" i="32"/>
  <c r="H361" i="32"/>
  <c r="G360" i="32"/>
  <c r="G361" i="32"/>
  <c r="H352" i="32"/>
  <c r="H353" i="32"/>
  <c r="H273" i="32"/>
  <c r="H272" i="32"/>
  <c r="H271" i="32"/>
  <c r="H270" i="32"/>
  <c r="G273" i="32"/>
  <c r="G272" i="32"/>
  <c r="G271" i="32"/>
  <c r="G270" i="32"/>
  <c r="H268" i="32"/>
  <c r="H269" i="32"/>
  <c r="G268" i="32"/>
  <c r="G269" i="32"/>
  <c r="H259" i="32"/>
  <c r="H260" i="32"/>
  <c r="G259" i="32"/>
  <c r="G260" i="32"/>
  <c r="H255" i="32"/>
  <c r="H254" i="32"/>
  <c r="H253" i="32"/>
  <c r="G255" i="32"/>
  <c r="G254" i="32"/>
  <c r="G253" i="32"/>
  <c r="H237" i="32"/>
  <c r="H236" i="32"/>
  <c r="H235" i="32"/>
  <c r="H222" i="32"/>
  <c r="G237" i="32"/>
  <c r="G236" i="32"/>
  <c r="G235" i="32"/>
  <c r="H219" i="32"/>
  <c r="H220" i="32"/>
  <c r="G219" i="32"/>
  <c r="G218" i="32"/>
  <c r="G217" i="32"/>
  <c r="H204" i="32"/>
  <c r="H205" i="32"/>
  <c r="G204" i="32"/>
  <c r="G205" i="32"/>
  <c r="H200" i="32"/>
  <c r="G200" i="32"/>
  <c r="G201" i="32"/>
  <c r="H191" i="32"/>
  <c r="H192" i="32"/>
  <c r="G191" i="32"/>
  <c r="G192" i="32"/>
  <c r="H183" i="32"/>
  <c r="H182" i="32"/>
  <c r="H181" i="32"/>
  <c r="G183" i="32"/>
  <c r="G182" i="32"/>
  <c r="G181" i="32"/>
  <c r="H174" i="32"/>
  <c r="H175" i="32"/>
  <c r="G174" i="32"/>
  <c r="G175" i="32"/>
  <c r="H66" i="32"/>
  <c r="H65" i="32"/>
  <c r="H64" i="32"/>
  <c r="H63" i="32"/>
  <c r="H62" i="32"/>
  <c r="H61" i="32"/>
  <c r="H60" i="32"/>
  <c r="H67" i="32"/>
  <c r="G66" i="32"/>
  <c r="G65" i="32"/>
  <c r="G64" i="32"/>
  <c r="G63" i="32"/>
  <c r="G62" i="32"/>
  <c r="G61" i="32"/>
  <c r="G60" i="32"/>
  <c r="G67" i="32"/>
  <c r="H145" i="32"/>
  <c r="H146" i="32"/>
  <c r="G145" i="32"/>
  <c r="G146" i="32"/>
  <c r="H139" i="32"/>
  <c r="H138" i="32"/>
  <c r="H137" i="32"/>
  <c r="H136" i="32"/>
  <c r="H135" i="32"/>
  <c r="G139" i="32"/>
  <c r="G140" i="32"/>
  <c r="H132" i="32"/>
  <c r="H133" i="32"/>
  <c r="G132" i="32"/>
  <c r="G131" i="32"/>
  <c r="H122" i="32"/>
  <c r="H123" i="32"/>
  <c r="G122" i="32"/>
  <c r="G123" i="32"/>
  <c r="H81" i="32"/>
  <c r="H82" i="32"/>
  <c r="G81" i="32"/>
  <c r="H58" i="32"/>
  <c r="G58" i="32"/>
  <c r="G59" i="32"/>
  <c r="H48" i="32"/>
  <c r="G48" i="32"/>
  <c r="G47" i="32"/>
  <c r="G46" i="32"/>
  <c r="H37" i="32"/>
  <c r="H36" i="32"/>
  <c r="H35" i="32"/>
  <c r="G37" i="32"/>
  <c r="H25" i="32"/>
  <c r="H26" i="32"/>
  <c r="G25" i="32"/>
  <c r="G24" i="32"/>
  <c r="H22" i="32"/>
  <c r="H982" i="32"/>
  <c r="H949" i="32"/>
  <c r="H948" i="32" s="1"/>
  <c r="H947" i="32" s="1"/>
  <c r="H946" i="32" s="1"/>
  <c r="H945" i="32" s="1"/>
  <c r="H942" i="32"/>
  <c r="H941" i="32"/>
  <c r="H940" i="32" s="1"/>
  <c r="H939" i="32" s="1"/>
  <c r="H938" i="32" s="1"/>
  <c r="H937" i="32" s="1"/>
  <c r="H936" i="32" s="1"/>
  <c r="H928" i="32" s="1"/>
  <c r="H935" i="32" s="1"/>
  <c r="H926" i="32"/>
  <c r="H922" i="32"/>
  <c r="H921" i="32" s="1"/>
  <c r="H920" i="32" s="1"/>
  <c r="H891" i="32"/>
  <c r="H890" i="32"/>
  <c r="H853" i="32"/>
  <c r="H849" i="32"/>
  <c r="H845" i="32"/>
  <c r="H826" i="32"/>
  <c r="H827" i="32" s="1"/>
  <c r="H819" i="32"/>
  <c r="H812" i="32"/>
  <c r="H813" i="32" s="1"/>
  <c r="H805" i="32"/>
  <c r="H798" i="32"/>
  <c r="H799" i="32" s="1"/>
  <c r="H791" i="32"/>
  <c r="H776" i="32"/>
  <c r="H777" i="32" s="1"/>
  <c r="H754" i="32"/>
  <c r="H743" i="32"/>
  <c r="H732" i="32"/>
  <c r="H733" i="32" s="1"/>
  <c r="H728" i="32"/>
  <c r="H717" i="32"/>
  <c r="H718" i="32" s="1"/>
  <c r="H713" i="32"/>
  <c r="H710" i="32"/>
  <c r="H711" i="32" s="1"/>
  <c r="H696" i="32"/>
  <c r="H695" i="32" s="1"/>
  <c r="H694" i="32" s="1"/>
  <c r="H689" i="32"/>
  <c r="H687" i="32"/>
  <c r="H686" i="32"/>
  <c r="H685" i="32"/>
  <c r="H684" i="32"/>
  <c r="H652" i="32"/>
  <c r="H651" i="32" s="1"/>
  <c r="H650" i="32" s="1"/>
  <c r="H649" i="32" s="1"/>
  <c r="H648" i="32" s="1"/>
  <c r="H647" i="32" s="1"/>
  <c r="H640" i="32" s="1"/>
  <c r="H639" i="32" s="1"/>
  <c r="H637" i="32"/>
  <c r="H633" i="32"/>
  <c r="H634" i="32" s="1"/>
  <c r="H626" i="32"/>
  <c r="H627" i="32" s="1"/>
  <c r="H619" i="32"/>
  <c r="H551" i="32"/>
  <c r="H552" i="32"/>
  <c r="H542" i="32"/>
  <c r="H516" i="32"/>
  <c r="H515" i="32" s="1"/>
  <c r="H514" i="32" s="1"/>
  <c r="H496" i="32"/>
  <c r="H495" i="32" s="1"/>
  <c r="H494" i="32" s="1"/>
  <c r="H497" i="32" s="1"/>
  <c r="H471" i="32"/>
  <c r="H470" i="32" s="1"/>
  <c r="H469" i="32" s="1"/>
  <c r="H468" i="32" s="1"/>
  <c r="H467" i="32" s="1"/>
  <c r="H466" i="32" s="1"/>
  <c r="H472" i="32" s="1"/>
  <c r="H464" i="32"/>
  <c r="H463" i="32" s="1"/>
  <c r="H462" i="32" s="1"/>
  <c r="H461" i="32" s="1"/>
  <c r="H460" i="32" s="1"/>
  <c r="H459" i="32" s="1"/>
  <c r="H436" i="32"/>
  <c r="H437" i="32" s="1"/>
  <c r="H429" i="32"/>
  <c r="H421" i="32"/>
  <c r="H417" i="32"/>
  <c r="H418" i="32" s="1"/>
  <c r="H387" i="32"/>
  <c r="H388" i="32" s="1"/>
  <c r="H346" i="32"/>
  <c r="H345" i="32" s="1"/>
  <c r="H344" i="32" s="1"/>
  <c r="H343" i="32" s="1"/>
  <c r="H342" i="32" s="1"/>
  <c r="H341" i="32" s="1"/>
  <c r="H347" i="32" s="1"/>
  <c r="H339" i="32"/>
  <c r="H338" i="32" s="1"/>
  <c r="H337" i="32" s="1"/>
  <c r="H336" i="32" s="1"/>
  <c r="H335" i="32" s="1"/>
  <c r="H334" i="32" s="1"/>
  <c r="H340" i="32" s="1"/>
  <c r="H332" i="32"/>
  <c r="H333" i="32" s="1"/>
  <c r="H325" i="32"/>
  <c r="H320" i="32"/>
  <c r="H313" i="32"/>
  <c r="H312" i="32" s="1"/>
  <c r="H311" i="32" s="1"/>
  <c r="H310" i="32" s="1"/>
  <c r="H309" i="32" s="1"/>
  <c r="H308" i="32" s="1"/>
  <c r="H314" i="32" s="1"/>
  <c r="H306" i="32"/>
  <c r="H305" i="32" s="1"/>
  <c r="H304" i="32" s="1"/>
  <c r="H264" i="32"/>
  <c r="H251" i="32"/>
  <c r="H233" i="32"/>
  <c r="H230" i="32"/>
  <c r="H224" i="32"/>
  <c r="H223" i="32"/>
  <c r="H215" i="32"/>
  <c r="H214" i="32" s="1"/>
  <c r="H213" i="32" s="1"/>
  <c r="H211" i="32"/>
  <c r="H212" i="32" s="1"/>
  <c r="H167" i="32"/>
  <c r="H166" i="32" s="1"/>
  <c r="H165" i="32" s="1"/>
  <c r="H129" i="32"/>
  <c r="H119" i="32"/>
  <c r="H118" i="32" s="1"/>
  <c r="H117" i="32" s="1"/>
  <c r="H116" i="32" s="1"/>
  <c r="H115" i="32" s="1"/>
  <c r="H114" i="32" s="1"/>
  <c r="H111" i="32"/>
  <c r="H95" i="32"/>
  <c r="H94" i="32" s="1"/>
  <c r="H93" i="32" s="1"/>
  <c r="H92" i="32" s="1"/>
  <c r="H91" i="32" s="1"/>
  <c r="H90" i="32" s="1"/>
  <c r="H88" i="32"/>
  <c r="H89" i="32" s="1"/>
  <c r="H74" i="32"/>
  <c r="H41" i="32"/>
  <c r="H42" i="32"/>
  <c r="H28" i="32"/>
  <c r="H15" i="32"/>
  <c r="H14" i="32" s="1"/>
  <c r="H13" i="32" s="1"/>
  <c r="G942" i="32"/>
  <c r="G941" i="32"/>
  <c r="G940" i="32" s="1"/>
  <c r="G939" i="32" s="1"/>
  <c r="G938" i="32" s="1"/>
  <c r="G937" i="32" s="1"/>
  <c r="G936" i="32" s="1"/>
  <c r="G928" i="32" s="1"/>
  <c r="G935" i="32" s="1"/>
  <c r="G926" i="32"/>
  <c r="G853" i="32"/>
  <c r="G854" i="32" s="1"/>
  <c r="G849" i="32"/>
  <c r="G848" i="32" s="1"/>
  <c r="G847" i="32" s="1"/>
  <c r="G845" i="32"/>
  <c r="G844" i="32" s="1"/>
  <c r="G843" i="32" s="1"/>
  <c r="G783" i="32"/>
  <c r="G782" i="32"/>
  <c r="G781" i="32"/>
  <c r="G780" i="32"/>
  <c r="G779" i="32"/>
  <c r="G754" i="32"/>
  <c r="G717" i="32"/>
  <c r="G716" i="32" s="1"/>
  <c r="G715" i="32" s="1"/>
  <c r="G696" i="32"/>
  <c r="G695" i="32" s="1"/>
  <c r="G694" i="32" s="1"/>
  <c r="G689" i="32"/>
  <c r="G687" i="32"/>
  <c r="G686" i="32"/>
  <c r="G685" i="32"/>
  <c r="G684" i="32"/>
  <c r="G652" i="32"/>
  <c r="G651" i="32" s="1"/>
  <c r="G650" i="32" s="1"/>
  <c r="G649" i="32" s="1"/>
  <c r="G648" i="32" s="1"/>
  <c r="G647" i="32" s="1"/>
  <c r="G640" i="32" s="1"/>
  <c r="G639" i="32" s="1"/>
  <c r="G638" i="32"/>
  <c r="G636" i="32"/>
  <c r="G635" i="32"/>
  <c r="G634" i="32"/>
  <c r="G632" i="32"/>
  <c r="G631" i="32"/>
  <c r="G620" i="32"/>
  <c r="G618" i="32"/>
  <c r="G617" i="32"/>
  <c r="G542" i="32"/>
  <c r="G516" i="32"/>
  <c r="G515" i="32" s="1"/>
  <c r="G514" i="32" s="1"/>
  <c r="K498" i="32"/>
  <c r="G496" i="32"/>
  <c r="G495" i="32" s="1"/>
  <c r="G494" i="32" s="1"/>
  <c r="G497" i="32" s="1"/>
  <c r="G471" i="32"/>
  <c r="G470" i="32" s="1"/>
  <c r="G469" i="32" s="1"/>
  <c r="G468" i="32" s="1"/>
  <c r="G467" i="32" s="1"/>
  <c r="G466" i="32" s="1"/>
  <c r="G472" i="32" s="1"/>
  <c r="G436" i="32"/>
  <c r="G437" i="32" s="1"/>
  <c r="G429" i="32"/>
  <c r="G430" i="32" s="1"/>
  <c r="G421" i="32"/>
  <c r="G417" i="32"/>
  <c r="G387" i="32"/>
  <c r="G346" i="32"/>
  <c r="G345" i="32" s="1"/>
  <c r="G344" i="32" s="1"/>
  <c r="G343" i="32" s="1"/>
  <c r="G342" i="32" s="1"/>
  <c r="G341" i="32" s="1"/>
  <c r="G347" i="32" s="1"/>
  <c r="G339" i="32"/>
  <c r="G338" i="32" s="1"/>
  <c r="G337" i="32" s="1"/>
  <c r="G336" i="32" s="1"/>
  <c r="G335" i="32" s="1"/>
  <c r="G334" i="32" s="1"/>
  <c r="G340" i="32" s="1"/>
  <c r="G332" i="32"/>
  <c r="G325" i="32"/>
  <c r="G326" i="32" s="1"/>
  <c r="G320" i="32"/>
  <c r="G313" i="32"/>
  <c r="G312" i="32" s="1"/>
  <c r="G311" i="32" s="1"/>
  <c r="G310" i="32" s="1"/>
  <c r="G309" i="32" s="1"/>
  <c r="G308" i="32" s="1"/>
  <c r="G314" i="32" s="1"/>
  <c r="G306" i="32"/>
  <c r="G305" i="32" s="1"/>
  <c r="G304" i="32" s="1"/>
  <c r="G264" i="32"/>
  <c r="G265" i="32" s="1"/>
  <c r="G251" i="32"/>
  <c r="G250" i="32" s="1"/>
  <c r="G249" i="32" s="1"/>
  <c r="G248" i="32" s="1"/>
  <c r="G233" i="32"/>
  <c r="G230" i="32"/>
  <c r="G225" i="32"/>
  <c r="G226" i="32" s="1"/>
  <c r="G215" i="32"/>
  <c r="G211" i="32"/>
  <c r="G212" i="32" s="1"/>
  <c r="G167" i="32"/>
  <c r="G166" i="32" s="1"/>
  <c r="G165" i="32" s="1"/>
  <c r="G129" i="32"/>
  <c r="G128" i="32" s="1"/>
  <c r="G127" i="32" s="1"/>
  <c r="G126" i="32" s="1"/>
  <c r="G125" i="32" s="1"/>
  <c r="G124" i="32" s="1"/>
  <c r="G112" i="32"/>
  <c r="G95" i="32"/>
  <c r="G94" i="32" s="1"/>
  <c r="G93" i="32" s="1"/>
  <c r="G92" i="32" s="1"/>
  <c r="G91" i="32" s="1"/>
  <c r="G90" i="32" s="1"/>
  <c r="G88" i="32"/>
  <c r="G89" i="32" s="1"/>
  <c r="G74" i="32"/>
  <c r="G73" i="32" s="1"/>
  <c r="G72" i="32" s="1"/>
  <c r="G71" i="32" s="1"/>
  <c r="G70" i="32" s="1"/>
  <c r="G69" i="32" s="1"/>
  <c r="G28" i="32"/>
  <c r="G20" i="30"/>
  <c r="G19" i="30"/>
  <c r="G18" i="30"/>
  <c r="F20" i="30"/>
  <c r="F19" i="30"/>
  <c r="F18" i="30"/>
  <c r="E45" i="31"/>
  <c r="E16" i="31"/>
  <c r="E55" i="31"/>
  <c r="E19" i="31"/>
  <c r="D19" i="31"/>
  <c r="G8" i="30"/>
  <c r="F8" i="30"/>
  <c r="G115" i="30"/>
  <c r="G114" i="30"/>
  <c r="G113" i="30"/>
  <c r="G110" i="30"/>
  <c r="G109" i="30"/>
  <c r="G15" i="30"/>
  <c r="G14" i="30"/>
  <c r="G934" i="30"/>
  <c r="G933" i="30"/>
  <c r="G932" i="30"/>
  <c r="G931" i="30"/>
  <c r="G930" i="30"/>
  <c r="G929" i="30"/>
  <c r="E43" i="31"/>
  <c r="F934" i="30"/>
  <c r="F933" i="30"/>
  <c r="F932" i="30"/>
  <c r="F931" i="30"/>
  <c r="F930" i="30"/>
  <c r="F929" i="30"/>
  <c r="D43" i="31"/>
  <c r="G941" i="30"/>
  <c r="G940" i="30"/>
  <c r="G939" i="30"/>
  <c r="G938" i="30"/>
  <c r="G937" i="30"/>
  <c r="F941" i="30"/>
  <c r="F940" i="30"/>
  <c r="F939" i="30"/>
  <c r="F938" i="30"/>
  <c r="F937" i="30"/>
  <c r="G1083" i="30"/>
  <c r="G1082" i="30"/>
  <c r="G1081" i="30"/>
  <c r="G1080" i="30"/>
  <c r="G1079" i="30"/>
  <c r="F1083" i="30"/>
  <c r="F1082" i="30"/>
  <c r="F1081" i="30"/>
  <c r="F1080" i="30"/>
  <c r="F1079" i="30"/>
  <c r="G1078" i="30"/>
  <c r="G1077" i="30"/>
  <c r="G1076" i="30"/>
  <c r="F1078" i="30"/>
  <c r="F1077" i="30"/>
  <c r="F1076" i="30"/>
  <c r="G1075" i="30"/>
  <c r="G1074" i="30"/>
  <c r="F1075" i="30"/>
  <c r="F1074" i="30"/>
  <c r="G1073" i="30"/>
  <c r="G1072" i="30"/>
  <c r="F1073" i="30"/>
  <c r="F1072" i="30"/>
  <c r="F1071" i="30"/>
  <c r="F1070" i="30"/>
  <c r="G1064" i="30"/>
  <c r="G1063" i="30"/>
  <c r="F1064" i="30"/>
  <c r="F1063" i="30"/>
  <c r="G1062" i="30"/>
  <c r="G1061" i="30"/>
  <c r="F1062" i="30"/>
  <c r="F1061" i="30"/>
  <c r="G1057" i="30"/>
  <c r="G1056" i="30"/>
  <c r="G1055" i="30"/>
  <c r="F1057" i="30"/>
  <c r="F1056" i="30"/>
  <c r="F1055" i="30"/>
  <c r="F1050" i="30"/>
  <c r="F1049" i="30"/>
  <c r="G1045" i="30"/>
  <c r="G1044" i="30"/>
  <c r="G1043" i="30"/>
  <c r="F1045" i="30"/>
  <c r="F1044" i="30"/>
  <c r="F1043" i="30"/>
  <c r="F1035" i="30"/>
  <c r="F1034" i="30"/>
  <c r="F1033" i="30"/>
  <c r="G1029" i="30"/>
  <c r="G1028" i="30"/>
  <c r="G1027" i="30"/>
  <c r="G1026" i="30"/>
  <c r="G1025" i="30"/>
  <c r="F1029" i="30"/>
  <c r="F1028" i="30"/>
  <c r="F1027" i="30"/>
  <c r="F1026" i="30"/>
  <c r="F1025" i="30"/>
  <c r="G1020" i="30"/>
  <c r="G1019" i="30"/>
  <c r="G1018" i="30"/>
  <c r="G1017" i="30"/>
  <c r="F1020" i="30"/>
  <c r="F1019" i="30"/>
  <c r="F1018" i="30"/>
  <c r="F1017" i="30"/>
  <c r="G1016" i="30"/>
  <c r="G1015" i="30"/>
  <c r="G1014" i="30"/>
  <c r="G1013" i="30"/>
  <c r="F1016" i="30"/>
  <c r="F1015" i="30"/>
  <c r="F1014" i="30"/>
  <c r="F1013" i="30"/>
  <c r="G1012" i="30"/>
  <c r="G1011" i="30"/>
  <c r="G1010" i="30"/>
  <c r="G1009" i="30"/>
  <c r="F1012" i="30"/>
  <c r="F1011" i="30"/>
  <c r="F1010" i="30"/>
  <c r="F1009" i="30"/>
  <c r="G998" i="30"/>
  <c r="G997" i="30"/>
  <c r="G996" i="30" s="1"/>
  <c r="F998" i="30"/>
  <c r="F988" i="30"/>
  <c r="F987" i="30"/>
  <c r="F986" i="30"/>
  <c r="F985" i="30"/>
  <c r="G976" i="30"/>
  <c r="G975" i="30"/>
  <c r="F976" i="30"/>
  <c r="F975" i="30"/>
  <c r="G974" i="30"/>
  <c r="G973" i="30"/>
  <c r="F974" i="30"/>
  <c r="F973" i="30"/>
  <c r="G963" i="30"/>
  <c r="F963" i="30"/>
  <c r="G958" i="30"/>
  <c r="G957" i="30"/>
  <c r="G956" i="30"/>
  <c r="G955" i="30"/>
  <c r="F958" i="30"/>
  <c r="F957" i="30"/>
  <c r="F956" i="30"/>
  <c r="F955" i="30"/>
  <c r="G954" i="30"/>
  <c r="G953" i="30"/>
  <c r="F954" i="30"/>
  <c r="F953" i="30"/>
  <c r="G948" i="30"/>
  <c r="G947" i="30"/>
  <c r="F948" i="30"/>
  <c r="F947" i="30"/>
  <c r="G927" i="30"/>
  <c r="G926" i="30"/>
  <c r="G925" i="30"/>
  <c r="G923" i="30"/>
  <c r="F927" i="30"/>
  <c r="F926" i="30"/>
  <c r="F925" i="30"/>
  <c r="F923" i="30"/>
  <c r="G922" i="30"/>
  <c r="G921" i="30"/>
  <c r="G920" i="30"/>
  <c r="G919" i="30"/>
  <c r="G918" i="30"/>
  <c r="G917" i="30"/>
  <c r="F922" i="30"/>
  <c r="F921" i="30"/>
  <c r="F920" i="30"/>
  <c r="F919" i="30"/>
  <c r="F918" i="30"/>
  <c r="F917" i="30"/>
  <c r="G912" i="30"/>
  <c r="G911" i="30"/>
  <c r="F912" i="30"/>
  <c r="F911" i="30"/>
  <c r="G910" i="30"/>
  <c r="G909" i="30"/>
  <c r="F910" i="30"/>
  <c r="F909" i="30"/>
  <c r="F908" i="30"/>
  <c r="F907" i="30"/>
  <c r="G905" i="30"/>
  <c r="G904" i="30"/>
  <c r="G903" i="30"/>
  <c r="F905" i="30"/>
  <c r="F904" i="30"/>
  <c r="F903" i="30"/>
  <c r="G900" i="30"/>
  <c r="G899" i="30"/>
  <c r="G898" i="30"/>
  <c r="F900" i="30"/>
  <c r="F899" i="30"/>
  <c r="F898" i="30"/>
  <c r="F897" i="30"/>
  <c r="F896" i="30"/>
  <c r="F895" i="30"/>
  <c r="G894" i="30"/>
  <c r="G893" i="30"/>
  <c r="F894" i="30"/>
  <c r="F893" i="30"/>
  <c r="F892" i="30"/>
  <c r="F891" i="30"/>
  <c r="G883" i="30"/>
  <c r="G882" i="30"/>
  <c r="G881" i="30"/>
  <c r="F883" i="30"/>
  <c r="F882" i="30"/>
  <c r="F881" i="30"/>
  <c r="G875" i="30"/>
  <c r="G874" i="30"/>
  <c r="G873" i="30"/>
  <c r="F875" i="30"/>
  <c r="F874" i="30"/>
  <c r="F873" i="30"/>
  <c r="G870" i="30"/>
  <c r="G869" i="30"/>
  <c r="G868" i="30"/>
  <c r="F870" i="30"/>
  <c r="F869" i="30"/>
  <c r="F868" i="30"/>
  <c r="G867" i="30"/>
  <c r="G866" i="30"/>
  <c r="G865" i="30"/>
  <c r="F867" i="30"/>
  <c r="F866" i="30"/>
  <c r="F865" i="30"/>
  <c r="F856" i="30"/>
  <c r="F855" i="30"/>
  <c r="F854" i="30"/>
  <c r="G853" i="30"/>
  <c r="G852" i="30"/>
  <c r="G851" i="30"/>
  <c r="G850" i="30"/>
  <c r="F853" i="30"/>
  <c r="F852" i="30"/>
  <c r="F851" i="30"/>
  <c r="G849" i="30"/>
  <c r="G848" i="30"/>
  <c r="G847" i="30"/>
  <c r="G846" i="30"/>
  <c r="F849" i="30"/>
  <c r="F848" i="30"/>
  <c r="F847" i="30"/>
  <c r="F846" i="30"/>
  <c r="G845" i="30"/>
  <c r="G844" i="30"/>
  <c r="G843" i="30"/>
  <c r="F845" i="30"/>
  <c r="F844" i="30"/>
  <c r="F843" i="30"/>
  <c r="G840" i="30"/>
  <c r="G839" i="30"/>
  <c r="G838" i="30"/>
  <c r="F840" i="30"/>
  <c r="F839" i="30"/>
  <c r="F838" i="30"/>
  <c r="G833" i="30"/>
  <c r="G832" i="30"/>
  <c r="G831" i="30"/>
  <c r="G830" i="30"/>
  <c r="F833" i="30"/>
  <c r="F832" i="30"/>
  <c r="F831" i="30"/>
  <c r="F830" i="30"/>
  <c r="G824" i="30"/>
  <c r="G823" i="30"/>
  <c r="F824" i="30"/>
  <c r="F823" i="30"/>
  <c r="G803" i="30"/>
  <c r="G802" i="30"/>
  <c r="G801" i="30"/>
  <c r="F803" i="30"/>
  <c r="F802" i="30"/>
  <c r="F801" i="30"/>
  <c r="G800" i="30"/>
  <c r="G799" i="30"/>
  <c r="F800" i="30"/>
  <c r="F799" i="30"/>
  <c r="G796" i="30"/>
  <c r="G795" i="30"/>
  <c r="F796" i="30"/>
  <c r="F795" i="30"/>
  <c r="G792" i="30"/>
  <c r="G791" i="30"/>
  <c r="F792" i="30"/>
  <c r="F791" i="30"/>
  <c r="G782" i="30"/>
  <c r="G781" i="30"/>
  <c r="G780" i="30"/>
  <c r="F782" i="30"/>
  <c r="F781" i="30"/>
  <c r="F780" i="30"/>
  <c r="G772" i="30"/>
  <c r="G771" i="30"/>
  <c r="F772" i="30"/>
  <c r="F771" i="30"/>
  <c r="G770" i="30"/>
  <c r="G769" i="30"/>
  <c r="F770" i="30"/>
  <c r="F769" i="30"/>
  <c r="G759" i="30"/>
  <c r="G758" i="30"/>
  <c r="G757" i="30"/>
  <c r="G756" i="30"/>
  <c r="F759" i="30"/>
  <c r="F758" i="30"/>
  <c r="F757" i="30"/>
  <c r="F756" i="30"/>
  <c r="G753" i="30"/>
  <c r="G752" i="30"/>
  <c r="F753" i="30"/>
  <c r="F752" i="30"/>
  <c r="G746" i="30"/>
  <c r="G745" i="30"/>
  <c r="G744" i="30"/>
  <c r="F746" i="30"/>
  <c r="F745" i="30"/>
  <c r="F744" i="30"/>
  <c r="G739" i="30"/>
  <c r="G738" i="30"/>
  <c r="G737" i="30"/>
  <c r="F739" i="30"/>
  <c r="F738" i="30"/>
  <c r="F737" i="30"/>
  <c r="G736" i="30"/>
  <c r="G735" i="30"/>
  <c r="G734" i="30"/>
  <c r="F736" i="30"/>
  <c r="F735" i="30"/>
  <c r="F734" i="30"/>
  <c r="G731" i="30"/>
  <c r="F731" i="30"/>
  <c r="F730" i="30"/>
  <c r="F729" i="30"/>
  <c r="F727" i="30"/>
  <c r="G726" i="30"/>
  <c r="G725" i="30"/>
  <c r="G724" i="30"/>
  <c r="F726" i="30"/>
  <c r="F725" i="30"/>
  <c r="F724" i="30"/>
  <c r="G723" i="30"/>
  <c r="G722" i="30"/>
  <c r="G721" i="30"/>
  <c r="F723" i="30"/>
  <c r="F722" i="30"/>
  <c r="F721" i="30"/>
  <c r="G719" i="30"/>
  <c r="G718" i="30"/>
  <c r="G717" i="30"/>
  <c r="G716" i="30"/>
  <c r="F719" i="30"/>
  <c r="F718" i="30"/>
  <c r="F717" i="30"/>
  <c r="F716" i="30"/>
  <c r="G713" i="30"/>
  <c r="G712" i="30"/>
  <c r="F713" i="30"/>
  <c r="F712" i="30"/>
  <c r="G710" i="30"/>
  <c r="G709" i="30"/>
  <c r="G708" i="30"/>
  <c r="F710" i="30"/>
  <c r="F709" i="30"/>
  <c r="F708" i="30"/>
  <c r="G703" i="30"/>
  <c r="G702" i="30"/>
  <c r="F703" i="30"/>
  <c r="F702" i="30"/>
  <c r="G701" i="30"/>
  <c r="G700" i="30"/>
  <c r="F701" i="30"/>
  <c r="F700" i="30"/>
  <c r="F699" i="30"/>
  <c r="F698" i="30"/>
  <c r="G694" i="30"/>
  <c r="G693" i="30"/>
  <c r="G692" i="30"/>
  <c r="G691" i="30"/>
  <c r="F694" i="30"/>
  <c r="F693" i="30"/>
  <c r="F692" i="30"/>
  <c r="F691" i="30"/>
  <c r="G686" i="30"/>
  <c r="G685" i="30"/>
  <c r="G684" i="30"/>
  <c r="F686" i="30"/>
  <c r="F685" i="30"/>
  <c r="F684" i="30"/>
  <c r="G683" i="30"/>
  <c r="G682" i="30"/>
  <c r="G681" i="30"/>
  <c r="F683" i="30"/>
  <c r="F682" i="30"/>
  <c r="F681" i="30"/>
  <c r="G670" i="30"/>
  <c r="G669" i="30"/>
  <c r="G668" i="30"/>
  <c r="G667" i="30"/>
  <c r="G666" i="30"/>
  <c r="F670" i="30"/>
  <c r="F669" i="30"/>
  <c r="F668" i="30"/>
  <c r="F667" i="30"/>
  <c r="F666" i="30"/>
  <c r="G665" i="30"/>
  <c r="G664" i="30"/>
  <c r="G663" i="30"/>
  <c r="G662" i="30"/>
  <c r="G661" i="30"/>
  <c r="F665" i="30"/>
  <c r="F664" i="30"/>
  <c r="F663" i="30"/>
  <c r="F662" i="30"/>
  <c r="F661" i="30"/>
  <c r="G660" i="30"/>
  <c r="G659" i="30"/>
  <c r="G658" i="30"/>
  <c r="G657" i="30"/>
  <c r="G620" i="30"/>
  <c r="G619" i="30"/>
  <c r="G618" i="30"/>
  <c r="F620" i="30"/>
  <c r="F619" i="30"/>
  <c r="F618" i="30"/>
  <c r="G613" i="30"/>
  <c r="G612" i="30"/>
  <c r="G611" i="30"/>
  <c r="F613" i="30"/>
  <c r="F612" i="30"/>
  <c r="F611" i="30"/>
  <c r="G597" i="30"/>
  <c r="G596" i="30"/>
  <c r="G595" i="30"/>
  <c r="F597" i="30"/>
  <c r="F596" i="30"/>
  <c r="F595" i="30"/>
  <c r="G591" i="30"/>
  <c r="G590" i="30"/>
  <c r="G589" i="30"/>
  <c r="F591" i="30"/>
  <c r="F590" i="30"/>
  <c r="F589" i="30"/>
  <c r="G581" i="30"/>
  <c r="G580" i="30"/>
  <c r="G579" i="30"/>
  <c r="G578" i="30"/>
  <c r="G577" i="30"/>
  <c r="F581" i="30"/>
  <c r="F580" i="30"/>
  <c r="F579" i="30"/>
  <c r="F578" i="30"/>
  <c r="F577" i="30"/>
  <c r="G576" i="30"/>
  <c r="G575" i="30"/>
  <c r="G574" i="30"/>
  <c r="G573" i="30"/>
  <c r="G572" i="30"/>
  <c r="F576" i="30"/>
  <c r="F575" i="30"/>
  <c r="F574" i="30"/>
  <c r="F573" i="30"/>
  <c r="F572" i="30"/>
  <c r="G555" i="30"/>
  <c r="G554" i="30"/>
  <c r="G553" i="30"/>
  <c r="F555" i="30"/>
  <c r="F554" i="30"/>
  <c r="F553" i="30"/>
  <c r="G552" i="30"/>
  <c r="G551" i="30"/>
  <c r="G550" i="30"/>
  <c r="F552" i="30"/>
  <c r="F551" i="30"/>
  <c r="F550" i="30"/>
  <c r="G545" i="30"/>
  <c r="G544" i="30"/>
  <c r="G543" i="30"/>
  <c r="F545" i="30"/>
  <c r="F544" i="30"/>
  <c r="F543" i="30"/>
  <c r="G532" i="30"/>
  <c r="G531" i="30"/>
  <c r="G530" i="30"/>
  <c r="F532" i="30"/>
  <c r="F531" i="30"/>
  <c r="F530" i="30"/>
  <c r="G509" i="30"/>
  <c r="F509" i="30"/>
  <c r="F499" i="30"/>
  <c r="F498" i="30"/>
  <c r="G496" i="30"/>
  <c r="G495" i="30"/>
  <c r="G494" i="30"/>
  <c r="F496" i="30"/>
  <c r="F495" i="30"/>
  <c r="F494" i="30"/>
  <c r="F488" i="30"/>
  <c r="F487" i="30"/>
  <c r="F486" i="30"/>
  <c r="G483" i="30"/>
  <c r="G482" i="30"/>
  <c r="F483" i="30"/>
  <c r="F482" i="30"/>
  <c r="F481" i="30"/>
  <c r="F480" i="30"/>
  <c r="G462" i="30"/>
  <c r="G461" i="30"/>
  <c r="G460" i="30"/>
  <c r="G459" i="30"/>
  <c r="F462" i="30"/>
  <c r="F461" i="30"/>
  <c r="F460" i="30"/>
  <c r="F459" i="30"/>
  <c r="G458" i="30"/>
  <c r="G457" i="30"/>
  <c r="G456" i="30"/>
  <c r="F458" i="30"/>
  <c r="F457" i="30"/>
  <c r="F456" i="30"/>
  <c r="G440" i="30"/>
  <c r="G439" i="30"/>
  <c r="G438" i="30"/>
  <c r="F440" i="30"/>
  <c r="F439" i="30"/>
  <c r="F438" i="30"/>
  <c r="G428" i="30"/>
  <c r="G427" i="30"/>
  <c r="G426" i="30"/>
  <c r="F428" i="30"/>
  <c r="F427" i="30"/>
  <c r="F426" i="30"/>
  <c r="G419" i="30"/>
  <c r="G418" i="30"/>
  <c r="G417" i="30"/>
  <c r="G416" i="30"/>
  <c r="G415" i="30"/>
  <c r="F419" i="30"/>
  <c r="F418" i="30"/>
  <c r="F417" i="30"/>
  <c r="F416" i="30"/>
  <c r="F415" i="30"/>
  <c r="G408" i="30"/>
  <c r="G407" i="30"/>
  <c r="G406" i="30"/>
  <c r="G405" i="30"/>
  <c r="F408" i="30"/>
  <c r="F407" i="30"/>
  <c r="F406" i="30"/>
  <c r="F405" i="30"/>
  <c r="G404" i="30"/>
  <c r="G403" i="30"/>
  <c r="G402" i="30"/>
  <c r="G401" i="30"/>
  <c r="F404" i="30"/>
  <c r="F403" i="30"/>
  <c r="F402" i="30"/>
  <c r="F401" i="30"/>
  <c r="G400" i="30"/>
  <c r="G399" i="30"/>
  <c r="G398" i="30"/>
  <c r="G397" i="30"/>
  <c r="F400" i="30"/>
  <c r="F399" i="30"/>
  <c r="F398" i="30"/>
  <c r="F397" i="30"/>
  <c r="G396" i="30"/>
  <c r="G395" i="30"/>
  <c r="G394" i="30"/>
  <c r="G393" i="30"/>
  <c r="F396" i="30"/>
  <c r="F395" i="30"/>
  <c r="F394" i="30"/>
  <c r="F393" i="30"/>
  <c r="G392" i="30"/>
  <c r="G391" i="30"/>
  <c r="G390" i="30"/>
  <c r="G389" i="30"/>
  <c r="F392" i="30"/>
  <c r="F391" i="30"/>
  <c r="F390" i="30"/>
  <c r="F389" i="30"/>
  <c r="G388" i="30"/>
  <c r="G387" i="30"/>
  <c r="G386" i="30"/>
  <c r="G385" i="30"/>
  <c r="F388" i="30"/>
  <c r="F387" i="30"/>
  <c r="F386" i="30"/>
  <c r="F385" i="30"/>
  <c r="G384" i="30"/>
  <c r="G383" i="30"/>
  <c r="G382" i="30"/>
  <c r="G381" i="30"/>
  <c r="F384" i="30"/>
  <c r="F383" i="30"/>
  <c r="F382" i="30"/>
  <c r="F381" i="30"/>
  <c r="G348" i="30"/>
  <c r="G347" i="30"/>
  <c r="G346" i="30"/>
  <c r="G345" i="30"/>
  <c r="G344" i="30"/>
  <c r="G343" i="30"/>
  <c r="F345" i="30"/>
  <c r="F344" i="30"/>
  <c r="F343" i="30"/>
  <c r="G342" i="30"/>
  <c r="G341" i="30"/>
  <c r="G340" i="30"/>
  <c r="F342" i="30"/>
  <c r="F341" i="30"/>
  <c r="F340" i="30"/>
  <c r="G330" i="30"/>
  <c r="G329" i="30"/>
  <c r="G328" i="30"/>
  <c r="G327" i="30"/>
  <c r="G326" i="30"/>
  <c r="F330" i="30"/>
  <c r="F329" i="30"/>
  <c r="F328" i="30"/>
  <c r="F327" i="30"/>
  <c r="F326" i="30"/>
  <c r="G317" i="30"/>
  <c r="G316" i="30"/>
  <c r="G315" i="30"/>
  <c r="G314" i="30"/>
  <c r="F316" i="30"/>
  <c r="F315" i="30"/>
  <c r="F314" i="30"/>
  <c r="F317" i="30"/>
  <c r="G307" i="30"/>
  <c r="G306" i="30"/>
  <c r="F307" i="30"/>
  <c r="F306" i="30"/>
  <c r="G305" i="30"/>
  <c r="G304" i="30"/>
  <c r="F305" i="30"/>
  <c r="F304" i="30"/>
  <c r="G297" i="30"/>
  <c r="G296" i="30"/>
  <c r="F297" i="30"/>
  <c r="F296" i="30"/>
  <c r="G295" i="30"/>
  <c r="G294" i="30"/>
  <c r="G285" i="30"/>
  <c r="G284" i="30"/>
  <c r="G283" i="30"/>
  <c r="G282" i="30"/>
  <c r="G281" i="30"/>
  <c r="G280" i="30"/>
  <c r="E25" i="31"/>
  <c r="F285" i="30"/>
  <c r="F284" i="30"/>
  <c r="F283" i="30"/>
  <c r="F282" i="30"/>
  <c r="F281" i="30"/>
  <c r="F280" i="30"/>
  <c r="D25" i="31"/>
  <c r="F275" i="30"/>
  <c r="F274" i="30"/>
  <c r="F273" i="30"/>
  <c r="F272" i="30"/>
  <c r="G251" i="30"/>
  <c r="G250" i="30"/>
  <c r="G249" i="30"/>
  <c r="F251" i="30"/>
  <c r="F250" i="30"/>
  <c r="F249" i="30"/>
  <c r="G259" i="30"/>
  <c r="G258" i="30"/>
  <c r="F259" i="30"/>
  <c r="F258" i="30"/>
  <c r="G256" i="30"/>
  <c r="F254" i="30"/>
  <c r="F253" i="30"/>
  <c r="G248" i="30"/>
  <c r="G247" i="30"/>
  <c r="G246" i="30"/>
  <c r="F248" i="30"/>
  <c r="F247" i="30"/>
  <c r="F246" i="30"/>
  <c r="G234" i="30"/>
  <c r="G233" i="30"/>
  <c r="G232" i="30"/>
  <c r="G231" i="30"/>
  <c r="G230" i="30"/>
  <c r="F234" i="30"/>
  <c r="F233" i="30"/>
  <c r="F232" i="30"/>
  <c r="F231" i="30"/>
  <c r="F230" i="30"/>
  <c r="G224" i="30"/>
  <c r="G223" i="30"/>
  <c r="G222" i="30"/>
  <c r="G221" i="30"/>
  <c r="G220" i="30"/>
  <c r="F224" i="30"/>
  <c r="F223" i="30"/>
  <c r="F222" i="30"/>
  <c r="F221" i="30"/>
  <c r="F220" i="30"/>
  <c r="G214" i="30"/>
  <c r="G213" i="30"/>
  <c r="G212" i="30"/>
  <c r="G211" i="30"/>
  <c r="F214" i="30"/>
  <c r="F213" i="30"/>
  <c r="F212" i="30"/>
  <c r="F211" i="30"/>
  <c r="G210" i="30"/>
  <c r="G209" i="30"/>
  <c r="G208" i="30"/>
  <c r="G207" i="30"/>
  <c r="F210" i="30"/>
  <c r="F209" i="30"/>
  <c r="F208" i="30"/>
  <c r="F207" i="30"/>
  <c r="G196" i="30"/>
  <c r="G195" i="30"/>
  <c r="G194" i="30"/>
  <c r="F193" i="30"/>
  <c r="F192" i="30"/>
  <c r="F191" i="30"/>
  <c r="F196" i="30"/>
  <c r="F195" i="30"/>
  <c r="F194" i="30"/>
  <c r="G193" i="30"/>
  <c r="G192" i="30"/>
  <c r="G191" i="30"/>
  <c r="G188" i="30"/>
  <c r="G187" i="30"/>
  <c r="G186" i="30"/>
  <c r="G185" i="30"/>
  <c r="F188" i="30"/>
  <c r="F187" i="30"/>
  <c r="F186" i="30"/>
  <c r="F185" i="30"/>
  <c r="G171" i="30"/>
  <c r="G170" i="30"/>
  <c r="F171" i="30"/>
  <c r="F170" i="30"/>
  <c r="G168" i="30"/>
  <c r="F168" i="30"/>
  <c r="F166" i="30"/>
  <c r="G158" i="30"/>
  <c r="G157" i="30"/>
  <c r="F158" i="30"/>
  <c r="F157" i="30"/>
  <c r="G154" i="30"/>
  <c r="G153" i="30"/>
  <c r="F154" i="30"/>
  <c r="F153" i="30"/>
  <c r="G152" i="30"/>
  <c r="G151" i="30"/>
  <c r="F152" i="30"/>
  <c r="F151" i="30"/>
  <c r="F150" i="30"/>
  <c r="F149" i="30"/>
  <c r="G147" i="30"/>
  <c r="G146" i="30"/>
  <c r="G145" i="30"/>
  <c r="F147" i="30"/>
  <c r="F146" i="30"/>
  <c r="F145" i="30"/>
  <c r="G141" i="30"/>
  <c r="G140" i="30"/>
  <c r="G139" i="30"/>
  <c r="G138" i="30"/>
  <c r="G137" i="30"/>
  <c r="G136" i="30"/>
  <c r="E17" i="31"/>
  <c r="F141" i="30"/>
  <c r="F140" i="30"/>
  <c r="F139" i="30"/>
  <c r="F138" i="30"/>
  <c r="F137" i="30"/>
  <c r="F136" i="30"/>
  <c r="D17" i="31"/>
  <c r="F124" i="30"/>
  <c r="F123" i="30"/>
  <c r="F122" i="30"/>
  <c r="G121" i="30"/>
  <c r="G120" i="30"/>
  <c r="F121" i="30"/>
  <c r="F119" i="30"/>
  <c r="F118" i="30"/>
  <c r="F110" i="30"/>
  <c r="F109" i="30"/>
  <c r="F108" i="30"/>
  <c r="F107" i="30"/>
  <c r="F120" i="30"/>
  <c r="F115" i="30"/>
  <c r="F114" i="30"/>
  <c r="F113" i="30"/>
  <c r="G112" i="30"/>
  <c r="G111" i="30"/>
  <c r="F112" i="30"/>
  <c r="F111" i="30"/>
  <c r="G102" i="30"/>
  <c r="G101" i="30"/>
  <c r="G100" i="30"/>
  <c r="G99" i="30"/>
  <c r="F102" i="30"/>
  <c r="F101" i="30"/>
  <c r="F100" i="30"/>
  <c r="F99" i="30"/>
  <c r="G89" i="30"/>
  <c r="G88" i="30"/>
  <c r="G87" i="30"/>
  <c r="G86" i="30"/>
  <c r="F89" i="30"/>
  <c r="F88" i="30"/>
  <c r="F87" i="30"/>
  <c r="F86" i="30"/>
  <c r="G95" i="30"/>
  <c r="G94" i="30"/>
  <c r="F95" i="30"/>
  <c r="F94" i="30"/>
  <c r="G93" i="30"/>
  <c r="G92" i="30"/>
  <c r="F93" i="30"/>
  <c r="F92" i="30"/>
  <c r="G84" i="30"/>
  <c r="G83" i="30"/>
  <c r="F84" i="30"/>
  <c r="F83" i="30"/>
  <c r="G82" i="30"/>
  <c r="G81" i="30"/>
  <c r="F82" i="30"/>
  <c r="F81" i="30"/>
  <c r="G79" i="30"/>
  <c r="G78" i="30"/>
  <c r="G77" i="30"/>
  <c r="F79" i="30"/>
  <c r="F78" i="30"/>
  <c r="F77" i="30"/>
  <c r="G76" i="30"/>
  <c r="G75" i="30"/>
  <c r="F76" i="30"/>
  <c r="F75" i="30"/>
  <c r="G74" i="30"/>
  <c r="G73" i="30"/>
  <c r="F74" i="30"/>
  <c r="F73" i="30"/>
  <c r="G69" i="30"/>
  <c r="G68" i="30"/>
  <c r="F69" i="30"/>
  <c r="F68" i="30"/>
  <c r="G59" i="30"/>
  <c r="G58" i="30"/>
  <c r="G57" i="30"/>
  <c r="F59" i="30"/>
  <c r="F58" i="30"/>
  <c r="F57" i="30"/>
  <c r="G56" i="30"/>
  <c r="G55" i="30"/>
  <c r="G54" i="30"/>
  <c r="F56" i="30"/>
  <c r="F55" i="30"/>
  <c r="F54" i="30"/>
  <c r="G53" i="30"/>
  <c r="G52" i="30"/>
  <c r="F53" i="30"/>
  <c r="F52" i="30"/>
  <c r="G49" i="30"/>
  <c r="G48" i="30"/>
  <c r="F49" i="30"/>
  <c r="F48" i="30"/>
  <c r="F47" i="30"/>
  <c r="F46" i="30"/>
  <c r="F36" i="30"/>
  <c r="F35" i="30"/>
  <c r="G33" i="30"/>
  <c r="G32" i="30"/>
  <c r="F33" i="30"/>
  <c r="F32" i="30"/>
  <c r="F31" i="30"/>
  <c r="F30" i="30"/>
  <c r="G25" i="30"/>
  <c r="G24" i="30"/>
  <c r="G23" i="30"/>
  <c r="G22" i="30"/>
  <c r="G21" i="30"/>
  <c r="F25" i="30"/>
  <c r="F24" i="30"/>
  <c r="F23" i="30"/>
  <c r="F15" i="30"/>
  <c r="F14" i="30"/>
  <c r="G1024" i="30"/>
  <c r="G1023" i="30" s="1"/>
  <c r="G1022" i="30" s="1"/>
  <c r="G1021" i="30" s="1"/>
  <c r="G1005" i="30"/>
  <c r="G1004" i="30" s="1"/>
  <c r="G1003" i="30"/>
  <c r="G1001" i="30"/>
  <c r="G1000" i="30" s="1"/>
  <c r="G999" i="30" s="1"/>
  <c r="G995" i="30"/>
  <c r="G994" i="30"/>
  <c r="G993" i="30" s="1"/>
  <c r="G992" i="30"/>
  <c r="G991" i="30"/>
  <c r="G990" i="30" s="1"/>
  <c r="G968" i="30"/>
  <c r="G967" i="30" s="1"/>
  <c r="G966" i="30" s="1"/>
  <c r="G965" i="30" s="1"/>
  <c r="G964" i="30" s="1"/>
  <c r="G961" i="30"/>
  <c r="G960" i="30"/>
  <c r="G959" i="30"/>
  <c r="G952" i="30"/>
  <c r="G946" i="30"/>
  <c r="G945" i="30" s="1"/>
  <c r="G944" i="30" s="1"/>
  <c r="G943" i="30" s="1"/>
  <c r="G916" i="30"/>
  <c r="G915" i="30" s="1"/>
  <c r="G914" i="30" s="1"/>
  <c r="G913" i="30" s="1"/>
  <c r="G901" i="30" s="1"/>
  <c r="G887" i="30" s="1"/>
  <c r="E41" i="31" s="1"/>
  <c r="G864" i="30"/>
  <c r="G863" i="30" s="1"/>
  <c r="G862" i="30" s="1"/>
  <c r="G861" i="30" s="1"/>
  <c r="G860" i="30"/>
  <c r="G859" i="30" s="1"/>
  <c r="G858" i="30" s="1"/>
  <c r="G857" i="30" s="1"/>
  <c r="G856" i="30"/>
  <c r="G855" i="30" s="1"/>
  <c r="G854" i="30" s="1"/>
  <c r="G826" i="30"/>
  <c r="G825" i="30" s="1"/>
  <c r="G822" i="30" s="1"/>
  <c r="G821" i="30" s="1"/>
  <c r="G820" i="30"/>
  <c r="G819" i="30" s="1"/>
  <c r="G818" i="30" s="1"/>
  <c r="G807" i="30" s="1"/>
  <c r="G790" i="30"/>
  <c r="G789" i="30" s="1"/>
  <c r="G788" i="30" s="1"/>
  <c r="G787" i="30"/>
  <c r="G786" i="30" s="1"/>
  <c r="G785" i="30" s="1"/>
  <c r="G749" i="30"/>
  <c r="G748" i="30" s="1"/>
  <c r="G747" i="30" s="1"/>
  <c r="G743" i="30" s="1"/>
  <c r="G742" i="30" s="1"/>
  <c r="G741" i="30" s="1"/>
  <c r="G740" i="30" s="1"/>
  <c r="E37" i="31" s="1"/>
  <c r="G715" i="30"/>
  <c r="G714" i="30" s="1"/>
  <c r="G711" i="30" s="1"/>
  <c r="G707" i="30" s="1"/>
  <c r="G706" i="30"/>
  <c r="G705" i="30" s="1"/>
  <c r="G704" i="30" s="1"/>
  <c r="G696" i="30" s="1"/>
  <c r="G690" i="30"/>
  <c r="G689" i="30" s="1"/>
  <c r="G688" i="30" s="1"/>
  <c r="G687" i="30" s="1"/>
  <c r="G679" i="30"/>
  <c r="G678" i="30" s="1"/>
  <c r="G677" i="30" s="1"/>
  <c r="G673" i="30" s="1"/>
  <c r="G672" i="30" s="1"/>
  <c r="G656" i="30"/>
  <c r="G655" i="30" s="1"/>
  <c r="G654" i="30" s="1"/>
  <c r="G653" i="30" s="1"/>
  <c r="G652" i="30"/>
  <c r="G651" i="30" s="1"/>
  <c r="G650" i="30" s="1"/>
  <c r="G649" i="30" s="1"/>
  <c r="G648" i="30"/>
  <c r="G647" i="30" s="1"/>
  <c r="G646" i="30" s="1"/>
  <c r="G645" i="30" s="1"/>
  <c r="G644" i="30"/>
  <c r="G643" i="30" s="1"/>
  <c r="G642" i="30" s="1"/>
  <c r="G641" i="30" s="1"/>
  <c r="G640" i="30"/>
  <c r="G639" i="30" s="1"/>
  <c r="G638" i="30" s="1"/>
  <c r="G637" i="30" s="1"/>
  <c r="G632" i="30"/>
  <c r="G631" i="30" s="1"/>
  <c r="G630" i="30" s="1"/>
  <c r="G629" i="30" s="1"/>
  <c r="G628" i="30"/>
  <c r="G627" i="30" s="1"/>
  <c r="G626" i="30" s="1"/>
  <c r="G625" i="30" s="1"/>
  <c r="G617" i="30"/>
  <c r="G616" i="30" s="1"/>
  <c r="G615" i="30" s="1"/>
  <c r="G614" i="30" s="1"/>
  <c r="G610" i="30"/>
  <c r="G609" i="30" s="1"/>
  <c r="G608" i="30" s="1"/>
  <c r="G601" i="30" s="1"/>
  <c r="G606" i="30"/>
  <c r="G605" i="30"/>
  <c r="G603" i="30"/>
  <c r="G602" i="30"/>
  <c r="G571" i="30"/>
  <c r="G570" i="30" s="1"/>
  <c r="G569" i="30" s="1"/>
  <c r="G568" i="30" s="1"/>
  <c r="G567" i="30"/>
  <c r="G566" i="30" s="1"/>
  <c r="G565" i="30" s="1"/>
  <c r="G564" i="30" s="1"/>
  <c r="G549" i="30"/>
  <c r="G548" i="30" s="1"/>
  <c r="G547" i="30" s="1"/>
  <c r="G546" i="30" s="1"/>
  <c r="G542" i="30"/>
  <c r="G541" i="30" s="1"/>
  <c r="G540" i="30" s="1"/>
  <c r="G539" i="30"/>
  <c r="G538" i="30" s="1"/>
  <c r="G537" i="30" s="1"/>
  <c r="G521" i="30"/>
  <c r="G520" i="30" s="1"/>
  <c r="G519" i="30" s="1"/>
  <c r="G518" i="30" s="1"/>
  <c r="G517" i="30" s="1"/>
  <c r="G516" i="30"/>
  <c r="G515" i="30" s="1"/>
  <c r="G514" i="30"/>
  <c r="G513" i="30" s="1"/>
  <c r="G511" i="30"/>
  <c r="G510" i="30"/>
  <c r="G507" i="30"/>
  <c r="G506" i="30" s="1"/>
  <c r="G485" i="30"/>
  <c r="G484" i="30" s="1"/>
  <c r="G479" i="30" s="1"/>
  <c r="G478" i="30" s="1"/>
  <c r="G477" i="30" s="1"/>
  <c r="G475" i="30"/>
  <c r="G474" i="30" s="1"/>
  <c r="G473" i="30" s="1"/>
  <c r="G455" i="30"/>
  <c r="G454" i="30" s="1"/>
  <c r="G453" i="30" s="1"/>
  <c r="G452" i="30" s="1"/>
  <c r="G448" i="30"/>
  <c r="G447" i="30" s="1"/>
  <c r="G446" i="30" s="1"/>
  <c r="G445" i="30"/>
  <c r="G444" i="30" s="1"/>
  <c r="G441" i="30" s="1"/>
  <c r="G437" i="30"/>
  <c r="G436" i="30" s="1"/>
  <c r="G435" i="30" s="1"/>
  <c r="G434" i="30"/>
  <c r="G433" i="30"/>
  <c r="G424" i="30"/>
  <c r="G423" i="30" s="1"/>
  <c r="G422" i="30" s="1"/>
  <c r="G421" i="30" s="1"/>
  <c r="G379" i="30"/>
  <c r="G378" i="30" s="1"/>
  <c r="G377" i="30" s="1"/>
  <c r="G376" i="30"/>
  <c r="G375" i="30" s="1"/>
  <c r="G374" i="30"/>
  <c r="G373" i="30" s="1"/>
  <c r="G371" i="30"/>
  <c r="G370" i="30" s="1"/>
  <c r="G369" i="30" s="1"/>
  <c r="G368" i="30"/>
  <c r="G367" i="30" s="1"/>
  <c r="G366" i="30"/>
  <c r="G365" i="30" s="1"/>
  <c r="G362" i="30"/>
  <c r="G361" i="30" s="1"/>
  <c r="G358" i="30" s="1"/>
  <c r="G357" i="30"/>
  <c r="G356" i="30"/>
  <c r="G354" i="30"/>
  <c r="G353" i="30" s="1"/>
  <c r="G339" i="30"/>
  <c r="G338" i="30" s="1"/>
  <c r="G337" i="30"/>
  <c r="G336" i="30" s="1"/>
  <c r="G325" i="30"/>
  <c r="G324" i="30" s="1"/>
  <c r="G323" i="30" s="1"/>
  <c r="G322" i="30" s="1"/>
  <c r="G321" i="30"/>
  <c r="G320" i="30" s="1"/>
  <c r="G319" i="30" s="1"/>
  <c r="G318" i="30" s="1"/>
  <c r="G313" i="30"/>
  <c r="G312" i="30" s="1"/>
  <c r="G311" i="30" s="1"/>
  <c r="G310" i="30" s="1"/>
  <c r="G299" i="30"/>
  <c r="G298" i="30" s="1"/>
  <c r="G293" i="30" s="1"/>
  <c r="G292" i="30" s="1"/>
  <c r="G291" i="30"/>
  <c r="G290" i="30" s="1"/>
  <c r="G289" i="30" s="1"/>
  <c r="G288" i="30" s="1"/>
  <c r="G279" i="30"/>
  <c r="G278" i="30" s="1"/>
  <c r="G277" i="30" s="1"/>
  <c r="G276" i="30" s="1"/>
  <c r="G271" i="30" s="1"/>
  <c r="G270" i="30" s="1"/>
  <c r="E24" i="31" s="1"/>
  <c r="G268" i="30"/>
  <c r="G267" i="30" s="1"/>
  <c r="G266" i="30" s="1"/>
  <c r="G265" i="30"/>
  <c r="G264" i="30" s="1"/>
  <c r="G263" i="30" s="1"/>
  <c r="G241" i="30"/>
  <c r="G240" i="30" s="1"/>
  <c r="G239" i="30" s="1"/>
  <c r="G238" i="30" s="1"/>
  <c r="G237" i="30" s="1"/>
  <c r="G236" i="30" s="1"/>
  <c r="G235" i="30" s="1"/>
  <c r="G219" i="30"/>
  <c r="G218" i="30" s="1"/>
  <c r="G217" i="30" s="1"/>
  <c r="G205" i="30"/>
  <c r="G204" i="30" s="1"/>
  <c r="G203" i="30" s="1"/>
  <c r="G202" i="30"/>
  <c r="G201" i="30" s="1"/>
  <c r="G200" i="30" s="1"/>
  <c r="G199" i="30"/>
  <c r="G198" i="30" s="1"/>
  <c r="G197" i="30" s="1"/>
  <c r="G183" i="30"/>
  <c r="G182" i="30"/>
  <c r="G163" i="30"/>
  <c r="G162" i="30" s="1"/>
  <c r="G161" i="30" s="1"/>
  <c r="G155" i="30" s="1"/>
  <c r="G143" i="30" s="1"/>
  <c r="G159" i="30"/>
  <c r="G135" i="30"/>
  <c r="G134" i="30" s="1"/>
  <c r="G133" i="30"/>
  <c r="G132" i="30" s="1"/>
  <c r="G127" i="30"/>
  <c r="G126" i="30" s="1"/>
  <c r="G125" i="30" s="1"/>
  <c r="G116" i="30" s="1"/>
  <c r="G104" i="30" s="1"/>
  <c r="G103" i="30" s="1"/>
  <c r="E15" i="31" s="1"/>
  <c r="G97" i="30"/>
  <c r="G96" i="30"/>
  <c r="G71" i="30"/>
  <c r="G70" i="30" s="1"/>
  <c r="G67" i="30" s="1"/>
  <c r="G60" i="30" s="1"/>
  <c r="G65" i="30"/>
  <c r="G64" i="30"/>
  <c r="G63" i="30"/>
  <c r="G62" i="30" s="1"/>
  <c r="G61" i="30" s="1"/>
  <c r="G51" i="30"/>
  <c r="G50" i="30" s="1"/>
  <c r="G45" i="30" s="1"/>
  <c r="G44" i="30" s="1"/>
  <c r="G41" i="30"/>
  <c r="G40" i="30" s="1"/>
  <c r="G39" i="30" s="1"/>
  <c r="G38" i="30"/>
  <c r="G37" i="30" s="1"/>
  <c r="G34" i="30" s="1"/>
  <c r="F1024" i="30"/>
  <c r="F1023" i="30" s="1"/>
  <c r="F1022" i="30" s="1"/>
  <c r="F1021" i="30" s="1"/>
  <c r="F1005" i="30"/>
  <c r="F1004" i="30" s="1"/>
  <c r="F1003" i="30"/>
  <c r="F1001" i="30"/>
  <c r="F1000" i="30" s="1"/>
  <c r="F999" i="30" s="1"/>
  <c r="F997" i="30"/>
  <c r="F996" i="30" s="1"/>
  <c r="F995" i="30"/>
  <c r="F994" i="30"/>
  <c r="F993" i="30" s="1"/>
  <c r="F992" i="30"/>
  <c r="F991" i="30"/>
  <c r="F990" i="30" s="1"/>
  <c r="F961" i="30"/>
  <c r="F960" i="30"/>
  <c r="F959" i="30"/>
  <c r="F952" i="30"/>
  <c r="F951" i="30" s="1"/>
  <c r="F916" i="30"/>
  <c r="F915" i="30" s="1"/>
  <c r="F914" i="30" s="1"/>
  <c r="F913" i="30" s="1"/>
  <c r="F901" i="30" s="1"/>
  <c r="F887" i="30" s="1"/>
  <c r="D41" i="31" s="1"/>
  <c r="F864" i="30"/>
  <c r="F863" i="30" s="1"/>
  <c r="F862" i="30" s="1"/>
  <c r="F861" i="30" s="1"/>
  <c r="F826" i="30"/>
  <c r="F825" i="30" s="1"/>
  <c r="F822" i="30" s="1"/>
  <c r="F821" i="30" s="1"/>
  <c r="F820" i="30"/>
  <c r="F819" i="30" s="1"/>
  <c r="F818" i="30" s="1"/>
  <c r="F807" i="30" s="1"/>
  <c r="F790" i="30"/>
  <c r="F789" i="30" s="1"/>
  <c r="F788" i="30" s="1"/>
  <c r="F787" i="30"/>
  <c r="F786" i="30" s="1"/>
  <c r="F785" i="30" s="1"/>
  <c r="F749" i="30"/>
  <c r="F748" i="30" s="1"/>
  <c r="F747" i="30" s="1"/>
  <c r="F743" i="30" s="1"/>
  <c r="F742" i="30" s="1"/>
  <c r="F741" i="30" s="1"/>
  <c r="F740" i="30" s="1"/>
  <c r="D37" i="31" s="1"/>
  <c r="F715" i="30"/>
  <c r="F714" i="30" s="1"/>
  <c r="F711" i="30" s="1"/>
  <c r="F707" i="30" s="1"/>
  <c r="F706" i="30"/>
  <c r="F705" i="30" s="1"/>
  <c r="F704" i="30" s="1"/>
  <c r="F696" i="30" s="1"/>
  <c r="F690" i="30"/>
  <c r="F689" i="30" s="1"/>
  <c r="F688" i="30" s="1"/>
  <c r="F687" i="30" s="1"/>
  <c r="F679" i="30"/>
  <c r="F678" i="30" s="1"/>
  <c r="F677" i="30" s="1"/>
  <c r="F673" i="30" s="1"/>
  <c r="F672" i="30" s="1"/>
  <c r="F656" i="30"/>
  <c r="F655" i="30" s="1"/>
  <c r="F654" i="30" s="1"/>
  <c r="F653" i="30" s="1"/>
  <c r="F652" i="30"/>
  <c r="F651" i="30" s="1"/>
  <c r="F650" i="30" s="1"/>
  <c r="F649" i="30" s="1"/>
  <c r="F648" i="30"/>
  <c r="F647" i="30" s="1"/>
  <c r="F646" i="30" s="1"/>
  <c r="F645" i="30" s="1"/>
  <c r="F644" i="30"/>
  <c r="F643" i="30" s="1"/>
  <c r="F642" i="30" s="1"/>
  <c r="F641" i="30" s="1"/>
  <c r="F640" i="30"/>
  <c r="F639" i="30" s="1"/>
  <c r="F638" i="30" s="1"/>
  <c r="F637" i="30" s="1"/>
  <c r="F632" i="30"/>
  <c r="F631" i="30" s="1"/>
  <c r="F630" i="30" s="1"/>
  <c r="F629" i="30" s="1"/>
  <c r="F628" i="30"/>
  <c r="F627" i="30" s="1"/>
  <c r="F626" i="30" s="1"/>
  <c r="F625" i="30" s="1"/>
  <c r="F617" i="30"/>
  <c r="F616" i="30" s="1"/>
  <c r="F615" i="30" s="1"/>
  <c r="F614" i="30" s="1"/>
  <c r="F610" i="30"/>
  <c r="F609" i="30" s="1"/>
  <c r="F608" i="30" s="1"/>
  <c r="F606" i="30"/>
  <c r="F605" i="30"/>
  <c r="F604" i="30"/>
  <c r="F603" i="30" s="1"/>
  <c r="F602" i="30" s="1"/>
  <c r="F571" i="30"/>
  <c r="F570" i="30" s="1"/>
  <c r="F569" i="30" s="1"/>
  <c r="F568" i="30" s="1"/>
  <c r="F567" i="30"/>
  <c r="F566" i="30" s="1"/>
  <c r="F565" i="30" s="1"/>
  <c r="F564" i="30" s="1"/>
  <c r="F549" i="30"/>
  <c r="F548" i="30" s="1"/>
  <c r="F547" i="30" s="1"/>
  <c r="F546" i="30" s="1"/>
  <c r="F542" i="30"/>
  <c r="F541" i="30" s="1"/>
  <c r="F540" i="30" s="1"/>
  <c r="F539" i="30"/>
  <c r="F538" i="30" s="1"/>
  <c r="F537" i="30" s="1"/>
  <c r="F521" i="30"/>
  <c r="F520" i="30" s="1"/>
  <c r="F519" i="30" s="1"/>
  <c r="F518" i="30" s="1"/>
  <c r="F517" i="30" s="1"/>
  <c r="F516" i="30"/>
  <c r="F515" i="30" s="1"/>
  <c r="F514" i="30"/>
  <c r="F513" i="30" s="1"/>
  <c r="F510" i="30"/>
  <c r="F475" i="30"/>
  <c r="F474" i="30" s="1"/>
  <c r="F473" i="30" s="1"/>
  <c r="F455" i="30"/>
  <c r="F454" i="30" s="1"/>
  <c r="F453" i="30" s="1"/>
  <c r="F452" i="30" s="1"/>
  <c r="L331" i="30" s="1"/>
  <c r="F448" i="30"/>
  <c r="F447" i="30" s="1"/>
  <c r="F446" i="30" s="1"/>
  <c r="F437" i="30"/>
  <c r="F436" i="30" s="1"/>
  <c r="F435" i="30" s="1"/>
  <c r="F433" i="30"/>
  <c r="F424" i="30"/>
  <c r="F423" i="30" s="1"/>
  <c r="F422" i="30" s="1"/>
  <c r="F421" i="30" s="1"/>
  <c r="F379" i="30"/>
  <c r="F378" i="30" s="1"/>
  <c r="F377" i="30" s="1"/>
  <c r="F376" i="30"/>
  <c r="F375" i="30" s="1"/>
  <c r="F374" i="30"/>
  <c r="F373" i="30" s="1"/>
  <c r="F371" i="30"/>
  <c r="F370" i="30" s="1"/>
  <c r="F369" i="30" s="1"/>
  <c r="F368" i="30"/>
  <c r="F367" i="30" s="1"/>
  <c r="F366" i="30"/>
  <c r="F365" i="30" s="1"/>
  <c r="F362" i="30"/>
  <c r="F361" i="30" s="1"/>
  <c r="F358" i="30" s="1"/>
  <c r="F357" i="30"/>
  <c r="F356" i="30"/>
  <c r="F354" i="30"/>
  <c r="F353" i="30" s="1"/>
  <c r="F339" i="30"/>
  <c r="F338" i="30" s="1"/>
  <c r="F337" i="30"/>
  <c r="F336" i="30" s="1"/>
  <c r="F325" i="30"/>
  <c r="F324" i="30" s="1"/>
  <c r="F323" i="30" s="1"/>
  <c r="F322" i="30" s="1"/>
  <c r="F321" i="30"/>
  <c r="F320" i="30" s="1"/>
  <c r="F319" i="30" s="1"/>
  <c r="F318" i="30" s="1"/>
  <c r="F313" i="30"/>
  <c r="F312" i="30" s="1"/>
  <c r="F311" i="30" s="1"/>
  <c r="F310" i="30" s="1"/>
  <c r="F299" i="30"/>
  <c r="F298" i="30" s="1"/>
  <c r="F293" i="30" s="1"/>
  <c r="F292" i="30" s="1"/>
  <c r="F279" i="30"/>
  <c r="F278" i="30" s="1"/>
  <c r="F277" i="30" s="1"/>
  <c r="F276" i="30" s="1"/>
  <c r="F271" i="30" s="1"/>
  <c r="F270" i="30" s="1"/>
  <c r="D24" i="31" s="1"/>
  <c r="F268" i="30"/>
  <c r="F267" i="30" s="1"/>
  <c r="F266" i="30" s="1"/>
  <c r="F241" i="30"/>
  <c r="F240" i="30" s="1"/>
  <c r="F239" i="30" s="1"/>
  <c r="F238" i="30" s="1"/>
  <c r="F237" i="30" s="1"/>
  <c r="F236" i="30" s="1"/>
  <c r="F235" i="30" s="1"/>
  <c r="F219" i="30"/>
  <c r="F218" i="30" s="1"/>
  <c r="F217" i="30" s="1"/>
  <c r="F205" i="30"/>
  <c r="F204" i="30" s="1"/>
  <c r="F203" i="30" s="1"/>
  <c r="F202" i="30"/>
  <c r="F201" i="30" s="1"/>
  <c r="F200" i="30" s="1"/>
  <c r="F199" i="30"/>
  <c r="F198" i="30" s="1"/>
  <c r="F197" i="30" s="1"/>
  <c r="F183" i="30"/>
  <c r="F182" i="30"/>
  <c r="F159" i="30"/>
  <c r="F135" i="30"/>
  <c r="F134" i="30" s="1"/>
  <c r="F133" i="30"/>
  <c r="F132" i="30" s="1"/>
  <c r="F127" i="30"/>
  <c r="F126" i="30" s="1"/>
  <c r="F125" i="30" s="1"/>
  <c r="F116" i="30" s="1"/>
  <c r="F104" i="30" s="1"/>
  <c r="F103" i="30" s="1"/>
  <c r="D15" i="31" s="1"/>
  <c r="F97" i="30"/>
  <c r="F96" i="30"/>
  <c r="F71" i="30"/>
  <c r="F70" i="30" s="1"/>
  <c r="F67" i="30" s="1"/>
  <c r="F60" i="30" s="1"/>
  <c r="F65" i="30"/>
  <c r="F64" i="30"/>
  <c r="F63" i="30"/>
  <c r="F62" i="30" s="1"/>
  <c r="F61" i="30" s="1"/>
  <c r="F41" i="30"/>
  <c r="F40" i="30" s="1"/>
  <c r="F39" i="30" s="1"/>
  <c r="F38" i="30"/>
  <c r="F37" i="30" s="1"/>
  <c r="F34" i="30" s="1"/>
  <c r="G718" i="5"/>
  <c r="G717" i="5" s="1"/>
  <c r="G716" i="5" s="1"/>
  <c r="G715" i="5" s="1"/>
  <c r="G729" i="5"/>
  <c r="G701" i="5"/>
  <c r="H889" i="32"/>
  <c r="H888" i="32"/>
  <c r="G630" i="32"/>
  <c r="G629" i="32"/>
  <c r="G628" i="32"/>
  <c r="G880" i="30"/>
  <c r="G879" i="30"/>
  <c r="F880" i="30"/>
  <c r="F879" i="30"/>
  <c r="G872" i="30"/>
  <c r="G871" i="30"/>
  <c r="F872" i="30"/>
  <c r="F871" i="30"/>
  <c r="F252" i="30"/>
  <c r="H783" i="32"/>
  <c r="H782" i="32"/>
  <c r="H781" i="32"/>
  <c r="H780" i="32"/>
  <c r="H779" i="32"/>
  <c r="G646" i="32"/>
  <c r="H524" i="32"/>
  <c r="F1032" i="30"/>
  <c r="F1031" i="30"/>
  <c r="G769" i="32"/>
  <c r="G770" i="32"/>
  <c r="G614" i="32"/>
  <c r="G613" i="32"/>
  <c r="G612" i="32"/>
  <c r="G611" i="32"/>
  <c r="G610" i="32"/>
  <c r="G656" i="32"/>
  <c r="G655" i="32"/>
  <c r="G654" i="32"/>
  <c r="H201" i="32"/>
  <c r="H199" i="32"/>
  <c r="H198" i="32"/>
  <c r="G228" i="32"/>
  <c r="G227" i="32"/>
  <c r="H709" i="32"/>
  <c r="H731" i="32"/>
  <c r="H730" i="32"/>
  <c r="H550" i="32"/>
  <c r="H873" i="32"/>
  <c r="G448" i="32"/>
  <c r="G916" i="32"/>
  <c r="G579" i="32"/>
  <c r="G833" i="32"/>
  <c r="G864" i="32"/>
  <c r="G863" i="32"/>
  <c r="H40" i="32"/>
  <c r="H39" i="32"/>
  <c r="H34" i="32" s="1"/>
  <c r="H33" i="32" s="1"/>
  <c r="H228" i="32"/>
  <c r="H227" i="32"/>
  <c r="H775" i="32"/>
  <c r="H774" i="32"/>
  <c r="H773" i="32" s="1"/>
  <c r="H772" i="32" s="1"/>
  <c r="H771" i="32" s="1"/>
  <c r="H763" i="32" s="1"/>
  <c r="H797" i="32"/>
  <c r="H796" i="32" s="1"/>
  <c r="H795" i="32" s="1"/>
  <c r="H794" i="32" s="1"/>
  <c r="H793" i="32" s="1"/>
  <c r="H811" i="32"/>
  <c r="H810" i="32" s="1"/>
  <c r="H809" i="32" s="1"/>
  <c r="H808" i="32" s="1"/>
  <c r="H807" i="32" s="1"/>
  <c r="H825" i="32"/>
  <c r="H824" i="32" s="1"/>
  <c r="H823" i="32" s="1"/>
  <c r="H822" i="32" s="1"/>
  <c r="H821" i="32" s="1"/>
  <c r="G523" i="32"/>
  <c r="G594" i="32"/>
  <c r="G672" i="32"/>
  <c r="G671" i="32"/>
  <c r="G670" i="32"/>
  <c r="G426" i="32"/>
  <c r="G563" i="32"/>
  <c r="G586" i="32"/>
  <c r="G600" i="32"/>
  <c r="G599" i="32"/>
  <c r="G668" i="32"/>
  <c r="G860" i="32"/>
  <c r="G859" i="32"/>
  <c r="G878" i="32"/>
  <c r="G382" i="32"/>
  <c r="G529" i="32"/>
  <c r="H588" i="32"/>
  <c r="H587" i="32"/>
  <c r="H883" i="32"/>
  <c r="H901" i="32"/>
  <c r="H900" i="32"/>
  <c r="H899" i="32"/>
  <c r="H898" i="32"/>
  <c r="H540" i="32"/>
  <c r="H600" i="32"/>
  <c r="H599" i="32"/>
  <c r="H885" i="32"/>
  <c r="H884" i="32"/>
  <c r="H879" i="32"/>
  <c r="G220" i="32"/>
  <c r="G238" i="32"/>
  <c r="G258" i="32"/>
  <c r="G257" i="32"/>
  <c r="G274" i="32"/>
  <c r="H24" i="32"/>
  <c r="H38" i="32"/>
  <c r="H424" i="32"/>
  <c r="H423" i="32"/>
  <c r="H536" i="32"/>
  <c r="H584" i="32"/>
  <c r="H583" i="32"/>
  <c r="H594" i="32"/>
  <c r="H593" i="32"/>
  <c r="H616" i="32"/>
  <c r="H658" i="32"/>
  <c r="H835" i="32"/>
  <c r="G57" i="32"/>
  <c r="G56" i="32"/>
  <c r="G55" i="32"/>
  <c r="G54" i="32"/>
  <c r="G458" i="32"/>
  <c r="G487" i="32"/>
  <c r="G547" i="32"/>
  <c r="G546" i="32"/>
  <c r="G567" i="32"/>
  <c r="G566" i="32"/>
  <c r="H490" i="32"/>
  <c r="H646" i="32"/>
  <c r="H668" i="32"/>
  <c r="G491" i="32"/>
  <c r="G588" i="32"/>
  <c r="G587" i="32"/>
  <c r="G582" i="32"/>
  <c r="G581" i="32"/>
  <c r="H80" i="32"/>
  <c r="H79" i="32"/>
  <c r="H78" i="32"/>
  <c r="H77" i="32"/>
  <c r="H76" i="32"/>
  <c r="H144" i="32"/>
  <c r="H143" i="32"/>
  <c r="H142" i="32"/>
  <c r="H141" i="32"/>
  <c r="H134" i="32"/>
  <c r="H456" i="32"/>
  <c r="H674" i="32"/>
  <c r="H218" i="32"/>
  <c r="H217" i="32"/>
  <c r="H238" i="32"/>
  <c r="H256" i="32"/>
  <c r="H274" i="32"/>
  <c r="H448" i="32"/>
  <c r="G26" i="32"/>
  <c r="H190" i="32"/>
  <c r="H189" i="32"/>
  <c r="H384" i="32"/>
  <c r="G49" i="32"/>
  <c r="G121" i="32"/>
  <c r="H258" i="32"/>
  <c r="H257" i="32"/>
  <c r="G190" i="32"/>
  <c r="G189" i="32"/>
  <c r="H140" i="32"/>
  <c r="G133" i="32"/>
  <c r="G256" i="32"/>
  <c r="H221" i="32"/>
  <c r="H23" i="32"/>
  <c r="H21" i="32"/>
  <c r="H49" i="32"/>
  <c r="H47" i="32"/>
  <c r="H46" i="32"/>
  <c r="H59" i="32"/>
  <c r="H57" i="32"/>
  <c r="H56" i="32"/>
  <c r="H184" i="32"/>
  <c r="H376" i="32"/>
  <c r="H372" i="32"/>
  <c r="H952" i="32"/>
  <c r="H951" i="32"/>
  <c r="H958" i="32"/>
  <c r="H968" i="32"/>
  <c r="H967" i="32"/>
  <c r="H455" i="32"/>
  <c r="H453" i="32"/>
  <c r="H479" i="32"/>
  <c r="H477" i="32"/>
  <c r="H476" i="32"/>
  <c r="H475" i="32"/>
  <c r="H474" i="32"/>
  <c r="H473" i="32"/>
  <c r="H493" i="32"/>
  <c r="H491" i="32"/>
  <c r="H529" i="32"/>
  <c r="H527" i="32"/>
  <c r="H549" i="32"/>
  <c r="H547" i="32"/>
  <c r="H546" i="32"/>
  <c r="H545" i="32"/>
  <c r="H563" i="32"/>
  <c r="H561" i="32"/>
  <c r="H560" i="32"/>
  <c r="H559" i="32"/>
  <c r="H558" i="32"/>
  <c r="H579" i="32"/>
  <c r="H577" i="32"/>
  <c r="H576" i="32"/>
  <c r="H575" i="32"/>
  <c r="H574" i="32"/>
  <c r="H609" i="32"/>
  <c r="H607" i="32"/>
  <c r="H606" i="32"/>
  <c r="H605" i="32"/>
  <c r="H604" i="32"/>
  <c r="H603" i="32"/>
  <c r="H683" i="32"/>
  <c r="H679" i="32"/>
  <c r="H669" i="32"/>
  <c r="H842" i="32"/>
  <c r="H840" i="32"/>
  <c r="H839" i="32"/>
  <c r="H866" i="32"/>
  <c r="H864" i="32"/>
  <c r="H863" i="32"/>
  <c r="H909" i="32"/>
  <c r="H121" i="32"/>
  <c r="H131" i="32"/>
  <c r="H173" i="32"/>
  <c r="H172" i="32"/>
  <c r="H203" i="32"/>
  <c r="H202" i="32"/>
  <c r="H267" i="32"/>
  <c r="H266" i="32"/>
  <c r="H351" i="32"/>
  <c r="H350" i="32"/>
  <c r="H349" i="32"/>
  <c r="H348" i="32"/>
  <c r="H359" i="32"/>
  <c r="H358" i="32"/>
  <c r="H357" i="32"/>
  <c r="H356" i="32"/>
  <c r="H367" i="32"/>
  <c r="H366" i="32"/>
  <c r="H365" i="32"/>
  <c r="H379" i="32"/>
  <c r="H378" i="32"/>
  <c r="H377" i="32"/>
  <c r="H393" i="32"/>
  <c r="H392" i="32"/>
  <c r="H391" i="32"/>
  <c r="H390" i="32"/>
  <c r="H389" i="32"/>
  <c r="H401" i="32"/>
  <c r="H400" i="32"/>
  <c r="H399" i="32"/>
  <c r="H398" i="32"/>
  <c r="H569" i="32"/>
  <c r="H567" i="32"/>
  <c r="H566" i="32"/>
  <c r="H565" i="32"/>
  <c r="H661" i="32"/>
  <c r="H660" i="32"/>
  <c r="H659" i="32"/>
  <c r="H653" i="32"/>
  <c r="H704" i="32"/>
  <c r="H702" i="32"/>
  <c r="H701" i="32"/>
  <c r="H714" i="32"/>
  <c r="H712" i="32"/>
  <c r="H722" i="32"/>
  <c r="H720" i="32"/>
  <c r="H719" i="32"/>
  <c r="H744" i="32"/>
  <c r="H742" i="32"/>
  <c r="H741" i="32"/>
  <c r="H748" i="32"/>
  <c r="H746" i="32"/>
  <c r="H745" i="32"/>
  <c r="H838" i="32"/>
  <c r="H836" i="32"/>
  <c r="H832" i="32"/>
  <c r="H862" i="32"/>
  <c r="H860" i="32"/>
  <c r="H859" i="32"/>
  <c r="H792" i="32"/>
  <c r="H790" i="32"/>
  <c r="H789" i="32"/>
  <c r="H788" i="32" s="1"/>
  <c r="H787" i="32" s="1"/>
  <c r="H786" i="32" s="1"/>
  <c r="H806" i="32"/>
  <c r="H804" i="32"/>
  <c r="H803" i="32" s="1"/>
  <c r="H802" i="32" s="1"/>
  <c r="H801" i="32" s="1"/>
  <c r="H800" i="32" s="1"/>
  <c r="H820" i="32"/>
  <c r="H818" i="32"/>
  <c r="H817" i="32"/>
  <c r="H816" i="32" s="1"/>
  <c r="H815" i="32" s="1"/>
  <c r="H814" i="32" s="1"/>
  <c r="H878" i="32"/>
  <c r="H876" i="32"/>
  <c r="H875" i="32"/>
  <c r="H874" i="32"/>
  <c r="H916" i="32"/>
  <c r="H914" i="32"/>
  <c r="H913" i="32"/>
  <c r="H912" i="32"/>
  <c r="H911" i="32"/>
  <c r="H910" i="32"/>
  <c r="G38" i="32"/>
  <c r="G36" i="32"/>
  <c r="G35" i="32"/>
  <c r="G82" i="32"/>
  <c r="G80" i="32"/>
  <c r="G79" i="32"/>
  <c r="G78" i="32"/>
  <c r="G77" i="32"/>
  <c r="G76" i="32"/>
  <c r="G184" i="32"/>
  <c r="G376" i="32"/>
  <c r="G372" i="32"/>
  <c r="G683" i="32"/>
  <c r="G679" i="32"/>
  <c r="G455" i="32"/>
  <c r="G453" i="32"/>
  <c r="G452" i="32"/>
  <c r="G451" i="32"/>
  <c r="G450" i="32"/>
  <c r="G449" i="32"/>
  <c r="G465" i="32"/>
  <c r="G463" i="32"/>
  <c r="G462" i="32"/>
  <c r="G461" i="32"/>
  <c r="G460" i="32"/>
  <c r="G459" i="32"/>
  <c r="G479" i="32"/>
  <c r="G477" i="32"/>
  <c r="G476" i="32"/>
  <c r="G475" i="32"/>
  <c r="G474" i="32"/>
  <c r="G473" i="32"/>
  <c r="G490" i="32"/>
  <c r="G488" i="32"/>
  <c r="G526" i="32"/>
  <c r="G524" i="32"/>
  <c r="G520" i="32"/>
  <c r="G519" i="32"/>
  <c r="G518" i="32"/>
  <c r="G536" i="32"/>
  <c r="G534" i="32"/>
  <c r="G540" i="32"/>
  <c r="G538" i="32"/>
  <c r="G663" i="32"/>
  <c r="G661" i="32"/>
  <c r="G660" i="32"/>
  <c r="G659" i="32"/>
  <c r="G704" i="32"/>
  <c r="G702" i="32"/>
  <c r="G701" i="32"/>
  <c r="G722" i="32"/>
  <c r="G720" i="32"/>
  <c r="G719" i="32"/>
  <c r="G748" i="32"/>
  <c r="G746" i="32"/>
  <c r="G745" i="32"/>
  <c r="G893" i="32"/>
  <c r="G891" i="32"/>
  <c r="G890" i="32"/>
  <c r="G909" i="32"/>
  <c r="G905" i="32"/>
  <c r="G904" i="32"/>
  <c r="G951" i="32"/>
  <c r="G958" i="32"/>
  <c r="G952" i="32"/>
  <c r="G974" i="32"/>
  <c r="G110" i="32"/>
  <c r="G109" i="32"/>
  <c r="G138" i="32"/>
  <c r="G137" i="32"/>
  <c r="G136" i="32"/>
  <c r="G135" i="32"/>
  <c r="G144" i="32"/>
  <c r="G143" i="32"/>
  <c r="G142" i="32"/>
  <c r="G141" i="32"/>
  <c r="G173" i="32"/>
  <c r="G172" i="32"/>
  <c r="G199" i="32"/>
  <c r="G198" i="32"/>
  <c r="G203" i="32"/>
  <c r="G202" i="32"/>
  <c r="G267" i="32"/>
  <c r="G266" i="32"/>
  <c r="G359" i="32"/>
  <c r="G358" i="32"/>
  <c r="G357" i="32"/>
  <c r="G356" i="32"/>
  <c r="G367" i="32"/>
  <c r="G366" i="32"/>
  <c r="G365" i="32"/>
  <c r="G379" i="32"/>
  <c r="G393" i="32"/>
  <c r="G392" i="32"/>
  <c r="G391" i="32"/>
  <c r="G390" i="32"/>
  <c r="G389" i="32"/>
  <c r="G403" i="32"/>
  <c r="G401" i="32"/>
  <c r="G400" i="32"/>
  <c r="G399" i="32"/>
  <c r="G398" i="32"/>
  <c r="G411" i="32"/>
  <c r="G409" i="32"/>
  <c r="G408" i="32"/>
  <c r="G407" i="32"/>
  <c r="G406" i="32"/>
  <c r="G405" i="32"/>
  <c r="G609" i="32"/>
  <c r="G607" i="32"/>
  <c r="G606" i="32"/>
  <c r="G605" i="32"/>
  <c r="G604" i="32"/>
  <c r="G603" i="32"/>
  <c r="G968" i="32"/>
  <c r="G838" i="32"/>
  <c r="G836" i="32"/>
  <c r="G842" i="32"/>
  <c r="G840" i="32"/>
  <c r="G839" i="32"/>
  <c r="G873" i="32"/>
  <c r="G871" i="32"/>
  <c r="G870" i="32"/>
  <c r="G869" i="32"/>
  <c r="G883" i="32"/>
  <c r="G881" i="32"/>
  <c r="G880" i="32"/>
  <c r="G887" i="32"/>
  <c r="G885" i="32"/>
  <c r="G884" i="32"/>
  <c r="G903" i="32"/>
  <c r="G901" i="32"/>
  <c r="G900" i="32"/>
  <c r="G899" i="32"/>
  <c r="G898" i="32"/>
  <c r="E10" i="31"/>
  <c r="D10" i="31"/>
  <c r="G156" i="30"/>
  <c r="G924" i="30"/>
  <c r="F1069" i="30"/>
  <c r="F1068" i="30"/>
  <c r="F1067" i="30"/>
  <c r="F1066" i="30"/>
  <c r="F1065" i="30"/>
  <c r="D51" i="31"/>
  <c r="D50" i="31"/>
  <c r="G1060" i="30"/>
  <c r="G1059" i="30"/>
  <c r="G1058" i="30"/>
  <c r="F1060" i="30"/>
  <c r="F1059" i="30"/>
  <c r="F1058" i="30"/>
  <c r="F924" i="30"/>
  <c r="G972" i="30"/>
  <c r="G971" i="30"/>
  <c r="G970" i="30"/>
  <c r="F972" i="30"/>
  <c r="F971" i="30"/>
  <c r="F970" i="30"/>
  <c r="G733" i="30"/>
  <c r="G732" i="30"/>
  <c r="G768" i="30"/>
  <c r="G767" i="30"/>
  <c r="F890" i="30"/>
  <c r="F889" i="30"/>
  <c r="F888" i="30"/>
  <c r="F850" i="30"/>
  <c r="G837" i="30"/>
  <c r="F733" i="30"/>
  <c r="F732" i="30"/>
  <c r="G680" i="30"/>
  <c r="G380" i="30"/>
  <c r="F380" i="30"/>
  <c r="F697" i="30"/>
  <c r="F720" i="30"/>
  <c r="F837" i="30"/>
  <c r="G720" i="30"/>
  <c r="F680" i="30"/>
  <c r="G303" i="30"/>
  <c r="G302" i="30"/>
  <c r="G301" i="30"/>
  <c r="G206" i="30"/>
  <c r="F245" i="30"/>
  <c r="F80" i="30"/>
  <c r="F91" i="30"/>
  <c r="F90" i="30"/>
  <c r="F85" i="30"/>
  <c r="F29" i="30"/>
  <c r="F148" i="30"/>
  <c r="F144" i="30"/>
  <c r="F106" i="30"/>
  <c r="F105" i="30"/>
  <c r="F117" i="30"/>
  <c r="G91" i="30"/>
  <c r="G90" i="30"/>
  <c r="G85" i="30"/>
  <c r="G80" i="30"/>
  <c r="G72" i="30"/>
  <c r="F72" i="30"/>
  <c r="G245" i="30"/>
  <c r="G730" i="30"/>
  <c r="G729" i="30"/>
  <c r="G727" i="30"/>
  <c r="G728" i="30"/>
  <c r="F22" i="30"/>
  <c r="F21" i="30"/>
  <c r="F156" i="30"/>
  <c r="F165" i="30"/>
  <c r="F206" i="30"/>
  <c r="F303" i="30"/>
  <c r="F768" i="30"/>
  <c r="F906" i="30"/>
  <c r="F902" i="30"/>
  <c r="F728" i="30"/>
  <c r="C68" i="1"/>
  <c r="C70" i="1"/>
  <c r="C72" i="1"/>
  <c r="C74" i="1"/>
  <c r="G889" i="32"/>
  <c r="G888" i="32"/>
  <c r="H557" i="32"/>
  <c r="G593" i="32"/>
  <c r="J583" i="32"/>
  <c r="G565" i="32"/>
  <c r="G53" i="32"/>
  <c r="G653" i="32"/>
  <c r="G768" i="32"/>
  <c r="G767" i="32"/>
  <c r="G766" i="32"/>
  <c r="G765" i="32"/>
  <c r="G764" i="32"/>
  <c r="C67" i="1"/>
  <c r="F767" i="30"/>
  <c r="F766" i="30"/>
  <c r="G484" i="32"/>
  <c r="G879" i="32"/>
  <c r="G868" i="32"/>
  <c r="G867" i="32"/>
  <c r="G669" i="32"/>
  <c r="H582" i="32"/>
  <c r="H581" i="32"/>
  <c r="H592" i="32"/>
  <c r="H591" i="32"/>
  <c r="H544" i="32"/>
  <c r="G858" i="32"/>
  <c r="G857" i="32"/>
  <c r="G856" i="32"/>
  <c r="G832" i="32"/>
  <c r="G378" i="32"/>
  <c r="G377" i="32"/>
  <c r="G371" i="32"/>
  <c r="G370" i="32"/>
  <c r="H858" i="32"/>
  <c r="H857" i="32"/>
  <c r="H856" i="32"/>
  <c r="H452" i="32"/>
  <c r="H451" i="32"/>
  <c r="H450" i="32"/>
  <c r="H449" i="32"/>
  <c r="H740" i="32"/>
  <c r="H739" i="32" s="1"/>
  <c r="H738" i="32" s="1"/>
  <c r="H564" i="32"/>
  <c r="H397" i="32"/>
  <c r="H396" i="32"/>
  <c r="H355" i="32"/>
  <c r="H354" i="32"/>
  <c r="H868" i="32"/>
  <c r="H867" i="32"/>
  <c r="H363" i="32"/>
  <c r="H364" i="32"/>
  <c r="H197" i="32"/>
  <c r="H974" i="32"/>
  <c r="H371" i="32"/>
  <c r="H370" i="32"/>
  <c r="H55" i="32"/>
  <c r="H54" i="32"/>
  <c r="H53" i="32"/>
  <c r="G355" i="32"/>
  <c r="G354" i="32"/>
  <c r="G397" i="32"/>
  <c r="G396" i="32"/>
  <c r="G363" i="32"/>
  <c r="G364" i="32"/>
  <c r="G197" i="32"/>
  <c r="G134" i="32"/>
  <c r="G766" i="30"/>
  <c r="L804" i="30"/>
  <c r="F244" i="30"/>
  <c r="F302" i="30"/>
  <c r="F164" i="30"/>
  <c r="P8" i="25"/>
  <c r="P11" i="25"/>
  <c r="J22" i="25"/>
  <c r="R32" i="25"/>
  <c r="P23" i="25"/>
  <c r="P22" i="25"/>
  <c r="P21" i="25"/>
  <c r="P20" i="25"/>
  <c r="P19" i="25"/>
  <c r="U18" i="25"/>
  <c r="S18" i="25"/>
  <c r="T18" i="25"/>
  <c r="U17" i="25"/>
  <c r="S17" i="25"/>
  <c r="P17" i="25"/>
  <c r="T17" i="25"/>
  <c r="U16" i="25"/>
  <c r="S16" i="25"/>
  <c r="P16" i="25"/>
  <c r="T16" i="25"/>
  <c r="P15" i="25"/>
  <c r="P14" i="25"/>
  <c r="P13" i="25"/>
  <c r="U12" i="25"/>
  <c r="S12" i="25"/>
  <c r="P12" i="25"/>
  <c r="U9" i="25"/>
  <c r="S9" i="25"/>
  <c r="P9" i="25"/>
  <c r="U6" i="25"/>
  <c r="S6" i="25"/>
  <c r="P6" i="25"/>
  <c r="U5" i="25"/>
  <c r="S5" i="25"/>
  <c r="P5" i="25"/>
  <c r="J8" i="25"/>
  <c r="J18" i="25"/>
  <c r="O17" i="25"/>
  <c r="M17" i="25"/>
  <c r="J17" i="25"/>
  <c r="N17" i="25"/>
  <c r="O16" i="25"/>
  <c r="M16" i="25"/>
  <c r="J16" i="25"/>
  <c r="N16" i="25"/>
  <c r="J14" i="25"/>
  <c r="J13" i="25"/>
  <c r="O12" i="25"/>
  <c r="M12" i="25"/>
  <c r="J12" i="25"/>
  <c r="O9" i="25"/>
  <c r="O6" i="25"/>
  <c r="O5" i="25"/>
  <c r="M5" i="25"/>
  <c r="J5" i="25"/>
  <c r="J15" i="25"/>
  <c r="L32" i="25"/>
  <c r="J23" i="25"/>
  <c r="J21" i="25"/>
  <c r="J20" i="25"/>
  <c r="J19" i="25"/>
  <c r="G773" i="29"/>
  <c r="F348" i="30"/>
  <c r="F347" i="30"/>
  <c r="F346" i="30"/>
  <c r="H1206" i="29"/>
  <c r="G36" i="30"/>
  <c r="G35" i="30"/>
  <c r="H1201" i="29"/>
  <c r="G31" i="30"/>
  <c r="G30" i="30"/>
  <c r="G29" i="30"/>
  <c r="G499" i="30"/>
  <c r="G498" i="30"/>
  <c r="H1152" i="29"/>
  <c r="G488" i="30"/>
  <c r="G487" i="30"/>
  <c r="G486" i="30"/>
  <c r="H1145" i="29"/>
  <c r="G481" i="30"/>
  <c r="G480" i="30"/>
  <c r="H944" i="29"/>
  <c r="G150" i="30"/>
  <c r="G149" i="30"/>
  <c r="G148" i="30"/>
  <c r="G144" i="30"/>
  <c r="G1050" i="30"/>
  <c r="G1049" i="30"/>
  <c r="H904" i="29"/>
  <c r="G1035" i="30"/>
  <c r="G1034" i="30"/>
  <c r="G1033" i="30"/>
  <c r="H884" i="29"/>
  <c r="G884" i="29"/>
  <c r="H806" i="29"/>
  <c r="G806" i="29"/>
  <c r="H564" i="29"/>
  <c r="H553" i="29"/>
  <c r="G124" i="30"/>
  <c r="G123" i="30"/>
  <c r="G122" i="30"/>
  <c r="H548" i="29"/>
  <c r="G119" i="30"/>
  <c r="H527" i="29"/>
  <c r="H480" i="29"/>
  <c r="G908" i="30"/>
  <c r="G907" i="30"/>
  <c r="G906" i="30"/>
  <c r="G902" i="30"/>
  <c r="H465" i="29"/>
  <c r="G897" i="30"/>
  <c r="G896" i="30"/>
  <c r="G895" i="30"/>
  <c r="G892" i="30"/>
  <c r="G891" i="30"/>
  <c r="G890" i="30"/>
  <c r="G592" i="32"/>
  <c r="G591" i="32"/>
  <c r="G564" i="32"/>
  <c r="G557" i="32"/>
  <c r="G1032" i="30"/>
  <c r="G1031" i="30"/>
  <c r="G535" i="30"/>
  <c r="G534" i="30"/>
  <c r="G533" i="30"/>
  <c r="G529" i="30"/>
  <c r="H178" i="32"/>
  <c r="H244" i="32"/>
  <c r="G764" i="30"/>
  <c r="G763" i="30"/>
  <c r="G762" i="30"/>
  <c r="G761" i="30"/>
  <c r="G760" i="30"/>
  <c r="F636" i="30"/>
  <c r="F635" i="30"/>
  <c r="F634" i="30"/>
  <c r="F633" i="30"/>
  <c r="G299" i="32"/>
  <c r="G298" i="32"/>
  <c r="G297" i="32"/>
  <c r="G296" i="32"/>
  <c r="G295" i="32"/>
  <c r="G294" i="32"/>
  <c r="G300" i="32"/>
  <c r="H684" i="29"/>
  <c r="H158" i="32"/>
  <c r="G158" i="32"/>
  <c r="F587" i="30"/>
  <c r="F586" i="30"/>
  <c r="F585" i="30"/>
  <c r="F584" i="30"/>
  <c r="F624" i="30"/>
  <c r="F623" i="30"/>
  <c r="F622" i="30"/>
  <c r="F621" i="30"/>
  <c r="G285" i="32"/>
  <c r="G352" i="32"/>
  <c r="F660" i="30"/>
  <c r="F659" i="30"/>
  <c r="F658" i="30"/>
  <c r="F657" i="30"/>
  <c r="H622" i="29"/>
  <c r="H153" i="32"/>
  <c r="F528" i="30"/>
  <c r="F527" i="30"/>
  <c r="F526" i="30"/>
  <c r="F525" i="30"/>
  <c r="G153" i="32"/>
  <c r="H299" i="32"/>
  <c r="H298" i="32"/>
  <c r="H297" i="32"/>
  <c r="H296" i="32"/>
  <c r="H295" i="32"/>
  <c r="H294" i="32"/>
  <c r="H300" i="32"/>
  <c r="G636" i="30"/>
  <c r="G635" i="30"/>
  <c r="G634" i="30"/>
  <c r="G633" i="30"/>
  <c r="H773" i="29"/>
  <c r="H163" i="32"/>
  <c r="F676" i="30"/>
  <c r="F675" i="30"/>
  <c r="F674" i="30"/>
  <c r="G163" i="32"/>
  <c r="H195" i="32"/>
  <c r="G600" i="30"/>
  <c r="G599" i="30"/>
  <c r="G598" i="30"/>
  <c r="H381" i="29"/>
  <c r="G813" i="30"/>
  <c r="G812" i="30"/>
  <c r="G506" i="32"/>
  <c r="F813" i="30"/>
  <c r="F812" i="30"/>
  <c r="G178" i="32"/>
  <c r="F535" i="30"/>
  <c r="F534" i="30"/>
  <c r="F533" i="30"/>
  <c r="F529" i="30"/>
  <c r="H285" i="32"/>
  <c r="G624" i="30"/>
  <c r="G623" i="30"/>
  <c r="G622" i="30"/>
  <c r="G621" i="30"/>
  <c r="G244" i="32"/>
  <c r="F764" i="30"/>
  <c r="F763" i="30"/>
  <c r="F762" i="30"/>
  <c r="F761" i="30"/>
  <c r="F760" i="30"/>
  <c r="H580" i="32"/>
  <c r="G1071" i="30"/>
  <c r="G1070" i="30"/>
  <c r="G1069" i="30"/>
  <c r="G1068" i="30"/>
  <c r="G1067" i="30"/>
  <c r="G1066" i="30"/>
  <c r="G1065" i="30"/>
  <c r="E51" i="31"/>
  <c r="E50" i="31"/>
  <c r="H522" i="32"/>
  <c r="G988" i="30"/>
  <c r="G987" i="30"/>
  <c r="G986" i="30"/>
  <c r="G985" i="30"/>
  <c r="H410" i="32"/>
  <c r="G587" i="30"/>
  <c r="G586" i="30"/>
  <c r="G585" i="30"/>
  <c r="G584" i="30"/>
  <c r="H362" i="32"/>
  <c r="G362" i="32"/>
  <c r="G889" i="30"/>
  <c r="G888" i="30"/>
  <c r="G118" i="30"/>
  <c r="G117" i="30"/>
  <c r="F301" i="30"/>
  <c r="L269" i="30"/>
  <c r="P18" i="25"/>
  <c r="Q32" i="25"/>
  <c r="Q33" i="25"/>
  <c r="U4" i="25"/>
  <c r="S4" i="25"/>
  <c r="S32" i="25"/>
  <c r="M9" i="25"/>
  <c r="J9" i="25"/>
  <c r="K32" i="25"/>
  <c r="K33" i="25"/>
  <c r="M6" i="25"/>
  <c r="J6" i="25"/>
  <c r="J11" i="25"/>
  <c r="G580" i="32"/>
  <c r="G676" i="30"/>
  <c r="G675" i="30"/>
  <c r="G674" i="30"/>
  <c r="G528" i="30"/>
  <c r="G527" i="30"/>
  <c r="G526" i="30"/>
  <c r="G525" i="30"/>
  <c r="H245" i="32"/>
  <c r="H243" i="32"/>
  <c r="H242" i="32"/>
  <c r="H241" i="32"/>
  <c r="H240" i="32"/>
  <c r="H239" i="32"/>
  <c r="H506" i="32"/>
  <c r="H505" i="32"/>
  <c r="G154" i="32"/>
  <c r="G152" i="32"/>
  <c r="G151" i="32"/>
  <c r="G150" i="32"/>
  <c r="G149" i="32"/>
  <c r="G353" i="32"/>
  <c r="G351" i="32"/>
  <c r="G350" i="32"/>
  <c r="G349" i="32"/>
  <c r="G348" i="32"/>
  <c r="G159" i="32"/>
  <c r="G157" i="32"/>
  <c r="G156" i="32"/>
  <c r="G155" i="32"/>
  <c r="H179" i="32"/>
  <c r="H177" i="32"/>
  <c r="H176" i="32"/>
  <c r="H171" i="32"/>
  <c r="G162" i="32"/>
  <c r="G161" i="32"/>
  <c r="G164" i="32"/>
  <c r="G245" i="32"/>
  <c r="G243" i="32"/>
  <c r="G242" i="32"/>
  <c r="G241" i="32"/>
  <c r="G240" i="32"/>
  <c r="G239" i="32"/>
  <c r="G179" i="32"/>
  <c r="G177" i="32"/>
  <c r="G176" i="32"/>
  <c r="G171" i="32"/>
  <c r="H284" i="32"/>
  <c r="H283" i="32"/>
  <c r="H282" i="32"/>
  <c r="H286" i="32"/>
  <c r="G505" i="32"/>
  <c r="G507" i="32"/>
  <c r="H196" i="32"/>
  <c r="H194" i="32"/>
  <c r="H193" i="32"/>
  <c r="G286" i="32"/>
  <c r="G284" i="32"/>
  <c r="G283" i="32"/>
  <c r="G282" i="32"/>
  <c r="H521" i="32"/>
  <c r="H520" i="32"/>
  <c r="H519" i="32"/>
  <c r="H518" i="32"/>
  <c r="H523" i="32"/>
  <c r="H411" i="32"/>
  <c r="H409" i="32"/>
  <c r="H408" i="32"/>
  <c r="H407" i="32"/>
  <c r="H406" i="32"/>
  <c r="H405" i="32"/>
  <c r="H164" i="32"/>
  <c r="H162" i="32"/>
  <c r="H161" i="32"/>
  <c r="H159" i="32"/>
  <c r="H157" i="32"/>
  <c r="H156" i="32"/>
  <c r="H155" i="32"/>
  <c r="H154" i="32"/>
  <c r="H152" i="32"/>
  <c r="H151" i="32"/>
  <c r="H150" i="32"/>
  <c r="H149" i="32"/>
  <c r="P4" i="25"/>
  <c r="P32" i="25"/>
  <c r="J32" i="25"/>
  <c r="M32" i="25"/>
  <c r="H507" i="32"/>
  <c r="H309" i="29"/>
  <c r="H486" i="32"/>
  <c r="H184" i="29"/>
  <c r="G255" i="30"/>
  <c r="H130" i="29"/>
  <c r="H109" i="29"/>
  <c r="H108" i="29"/>
  <c r="H107" i="29"/>
  <c r="H17" i="29"/>
  <c r="H1227" i="29"/>
  <c r="H1210" i="29"/>
  <c r="H1209" i="29"/>
  <c r="H1207" i="29"/>
  <c r="H1205" i="29"/>
  <c r="H1202" i="29"/>
  <c r="H1200" i="29"/>
  <c r="G981" i="30"/>
  <c r="G980" i="30"/>
  <c r="G979" i="30"/>
  <c r="G978" i="30"/>
  <c r="G977" i="30"/>
  <c r="G969" i="30"/>
  <c r="H1184" i="29"/>
  <c r="H1183" i="29"/>
  <c r="H1182" i="29"/>
  <c r="H1181" i="29"/>
  <c r="H1179" i="29"/>
  <c r="H1177" i="29"/>
  <c r="H1175" i="29"/>
  <c r="H1172" i="29"/>
  <c r="H1171" i="29"/>
  <c r="H1170" i="29"/>
  <c r="H1167" i="29"/>
  <c r="H1165" i="29"/>
  <c r="G501" i="30"/>
  <c r="H1162" i="29"/>
  <c r="H1159" i="29"/>
  <c r="H1158" i="29"/>
  <c r="H1155" i="29"/>
  <c r="H1151" i="29"/>
  <c r="H1150" i="29"/>
  <c r="H1148" i="29"/>
  <c r="H1146" i="29"/>
  <c r="H1144" i="29"/>
  <c r="H1138" i="29"/>
  <c r="H1137" i="29"/>
  <c r="H1136" i="29"/>
  <c r="H1135" i="29"/>
  <c r="H1125" i="29"/>
  <c r="H1124" i="29"/>
  <c r="H1123" i="29"/>
  <c r="H1121" i="29"/>
  <c r="H1120" i="29"/>
  <c r="H1118" i="29"/>
  <c r="H1117" i="29"/>
  <c r="H1115" i="29"/>
  <c r="H1111" i="29"/>
  <c r="H1110" i="29"/>
  <c r="H1109" i="29"/>
  <c r="H1108" i="29"/>
  <c r="H1107" i="29"/>
  <c r="H1103" i="29"/>
  <c r="H1102" i="29"/>
  <c r="H1100" i="29"/>
  <c r="H1099" i="29"/>
  <c r="H1098" i="29"/>
  <c r="H1096" i="29"/>
  <c r="H1091" i="29"/>
  <c r="H1090" i="29"/>
  <c r="H1087" i="29"/>
  <c r="H1086" i="29"/>
  <c r="H1085" i="29"/>
  <c r="H1082" i="29"/>
  <c r="H1081" i="29"/>
  <c r="H1080" i="29"/>
  <c r="H1079" i="29"/>
  <c r="H1077" i="29"/>
  <c r="H1071" i="29"/>
  <c r="H1070" i="29"/>
  <c r="H1069" i="29"/>
  <c r="H1067" i="29"/>
  <c r="H1066" i="29"/>
  <c r="H1065" i="29"/>
  <c r="H1063" i="29"/>
  <c r="H1062" i="29"/>
  <c r="H1061" i="29"/>
  <c r="H1059" i="29"/>
  <c r="H1058" i="29"/>
  <c r="H1057" i="29"/>
  <c r="H1055" i="29"/>
  <c r="H1054" i="29"/>
  <c r="H1053" i="29"/>
  <c r="H1051" i="29"/>
  <c r="H1050" i="29"/>
  <c r="H1049" i="29"/>
  <c r="H1047" i="29"/>
  <c r="H1046" i="29"/>
  <c r="H1045" i="29"/>
  <c r="H1042" i="29"/>
  <c r="H1041" i="29"/>
  <c r="H1039" i="29"/>
  <c r="H1037" i="29"/>
  <c r="H1034" i="29"/>
  <c r="H1033" i="29"/>
  <c r="H1031" i="29"/>
  <c r="H1029" i="29"/>
  <c r="H1025" i="29"/>
  <c r="G360" i="30"/>
  <c r="G359" i="30"/>
  <c r="H1019" i="29"/>
  <c r="H1017" i="29"/>
  <c r="H1011" i="29"/>
  <c r="H1010" i="29"/>
  <c r="H1008" i="29"/>
  <c r="H1007" i="29"/>
  <c r="H1005" i="29"/>
  <c r="H1004" i="29"/>
  <c r="H1002" i="29"/>
  <c r="H1000" i="29"/>
  <c r="H993" i="29"/>
  <c r="H991" i="29"/>
  <c r="H989" i="29"/>
  <c r="H985" i="29"/>
  <c r="H984" i="29"/>
  <c r="H983" i="29"/>
  <c r="H979" i="29"/>
  <c r="H978" i="29"/>
  <c r="H977" i="29"/>
  <c r="H976" i="29"/>
  <c r="H975" i="29"/>
  <c r="H963" i="29"/>
  <c r="H962" i="29"/>
  <c r="H961" i="29"/>
  <c r="H947" i="29"/>
  <c r="H945" i="29"/>
  <c r="H943" i="29"/>
  <c r="H940" i="29"/>
  <c r="H939" i="29"/>
  <c r="H932" i="29"/>
  <c r="H930" i="29"/>
  <c r="H925" i="29"/>
  <c r="H924" i="29"/>
  <c r="G1054" i="30"/>
  <c r="G1053" i="30"/>
  <c r="H922" i="29"/>
  <c r="H918" i="29"/>
  <c r="H913" i="29"/>
  <c r="H912" i="29"/>
  <c r="H903" i="29"/>
  <c r="H902" i="29"/>
  <c r="H897" i="29"/>
  <c r="H896" i="29"/>
  <c r="H895" i="29"/>
  <c r="H894" i="29"/>
  <c r="H892" i="29"/>
  <c r="H891" i="29"/>
  <c r="H890" i="29"/>
  <c r="H888" i="29"/>
  <c r="H887" i="29"/>
  <c r="H886" i="29"/>
  <c r="H883" i="29"/>
  <c r="H882" i="29"/>
  <c r="H880" i="29"/>
  <c r="H879" i="29"/>
  <c r="H878" i="29"/>
  <c r="H877" i="29"/>
  <c r="H873" i="29"/>
  <c r="H872" i="29"/>
  <c r="H869" i="29"/>
  <c r="H868" i="29"/>
  <c r="H866" i="29"/>
  <c r="H865" i="29"/>
  <c r="H863" i="29"/>
  <c r="H862" i="29"/>
  <c r="H860" i="29"/>
  <c r="H859" i="29"/>
  <c r="H856" i="29"/>
  <c r="H855" i="29"/>
  <c r="H854" i="29"/>
  <c r="H849" i="29"/>
  <c r="H848" i="29"/>
  <c r="H847" i="29"/>
  <c r="H846" i="29"/>
  <c r="H845" i="29"/>
  <c r="H844" i="29"/>
  <c r="H841" i="29"/>
  <c r="H840" i="29"/>
  <c r="H838" i="29"/>
  <c r="H834" i="29"/>
  <c r="H830" i="29"/>
  <c r="H828" i="29"/>
  <c r="H823" i="29"/>
  <c r="H822" i="29"/>
  <c r="H813" i="29"/>
  <c r="H811" i="29"/>
  <c r="H805" i="29"/>
  <c r="H804" i="29"/>
  <c r="H803" i="29"/>
  <c r="H802" i="29"/>
  <c r="H801" i="29"/>
  <c r="H799" i="29"/>
  <c r="H798" i="29"/>
  <c r="H794" i="29"/>
  <c r="H793" i="29"/>
  <c r="H792" i="29"/>
  <c r="H790" i="29"/>
  <c r="H789" i="29"/>
  <c r="H788" i="29"/>
  <c r="H786" i="29"/>
  <c r="H785" i="29"/>
  <c r="H784" i="29"/>
  <c r="H782" i="29"/>
  <c r="H781" i="29"/>
  <c r="H779" i="29"/>
  <c r="H778" i="29"/>
  <c r="H775" i="29"/>
  <c r="H774" i="29"/>
  <c r="H772" i="29"/>
  <c r="H771" i="29"/>
  <c r="H766" i="29"/>
  <c r="H765" i="29"/>
  <c r="H764" i="29"/>
  <c r="H763" i="29"/>
  <c r="H761" i="29"/>
  <c r="H760" i="29"/>
  <c r="H759" i="29"/>
  <c r="H758" i="29"/>
  <c r="H756" i="29"/>
  <c r="H755" i="29"/>
  <c r="H754" i="29"/>
  <c r="H752" i="29"/>
  <c r="H751" i="29"/>
  <c r="H750" i="29"/>
  <c r="H748" i="29"/>
  <c r="H747" i="29"/>
  <c r="H746" i="29"/>
  <c r="H744" i="29"/>
  <c r="H743" i="29"/>
  <c r="H742" i="29"/>
  <c r="H740" i="29"/>
  <c r="H739" i="29"/>
  <c r="H738" i="29"/>
  <c r="H736" i="29"/>
  <c r="H735" i="29"/>
  <c r="H734" i="29"/>
  <c r="H732" i="29"/>
  <c r="H731" i="29"/>
  <c r="H730" i="29"/>
  <c r="H728" i="29"/>
  <c r="H727" i="29"/>
  <c r="H726" i="29"/>
  <c r="H724" i="29"/>
  <c r="H723" i="29"/>
  <c r="H722" i="29"/>
  <c r="H720" i="29"/>
  <c r="H719" i="29"/>
  <c r="H718" i="29"/>
  <c r="H716" i="29"/>
  <c r="H715" i="29"/>
  <c r="H713" i="29"/>
  <c r="H712" i="29"/>
  <c r="H709" i="29"/>
  <c r="H708" i="29"/>
  <c r="H706" i="29"/>
  <c r="H705" i="29"/>
  <c r="H703" i="29"/>
  <c r="H702" i="29"/>
  <c r="H700" i="29"/>
  <c r="H699" i="29"/>
  <c r="H696" i="29"/>
  <c r="H695" i="29"/>
  <c r="H693" i="29"/>
  <c r="H692" i="29"/>
  <c r="H687" i="29"/>
  <c r="H686" i="29"/>
  <c r="H683" i="29"/>
  <c r="H682" i="29"/>
  <c r="H681" i="29"/>
  <c r="H677" i="29"/>
  <c r="H676" i="29"/>
  <c r="H672" i="29"/>
  <c r="H671" i="29"/>
  <c r="H670" i="29"/>
  <c r="H669" i="29"/>
  <c r="H667" i="29"/>
  <c r="H666" i="29"/>
  <c r="H665" i="29"/>
  <c r="H663" i="29"/>
  <c r="H662" i="29"/>
  <c r="H661" i="29"/>
  <c r="H659" i="29"/>
  <c r="H658" i="29"/>
  <c r="H648" i="29"/>
  <c r="H647" i="29"/>
  <c r="H645" i="29"/>
  <c r="H644" i="29"/>
  <c r="H642" i="29"/>
  <c r="H641" i="29"/>
  <c r="H638" i="29"/>
  <c r="H637" i="29"/>
  <c r="H635" i="29"/>
  <c r="H634" i="29"/>
  <c r="H632" i="29"/>
  <c r="H631" i="29"/>
  <c r="H628" i="29"/>
  <c r="H627" i="29"/>
  <c r="H625" i="29"/>
  <c r="H624" i="29"/>
  <c r="H621" i="29"/>
  <c r="H620" i="29"/>
  <c r="H619" i="29"/>
  <c r="H614" i="29"/>
  <c r="H613" i="29"/>
  <c r="H612" i="29"/>
  <c r="H611" i="29"/>
  <c r="H610" i="29"/>
  <c r="H609" i="29"/>
  <c r="H607" i="29"/>
  <c r="H606" i="29"/>
  <c r="H605" i="29"/>
  <c r="H604" i="29"/>
  <c r="H603" i="29"/>
  <c r="H602" i="29"/>
  <c r="H600" i="29"/>
  <c r="H599" i="29"/>
  <c r="H597" i="29"/>
  <c r="H596" i="29"/>
  <c r="H590" i="29"/>
  <c r="H589" i="29"/>
  <c r="H588" i="29"/>
  <c r="H587" i="29"/>
  <c r="H1267" i="29"/>
  <c r="H586" i="29"/>
  <c r="H585" i="29"/>
  <c r="H584" i="29"/>
  <c r="H582" i="29"/>
  <c r="H580" i="29"/>
  <c r="H574" i="29"/>
  <c r="H573" i="29"/>
  <c r="H572" i="29"/>
  <c r="H570" i="29"/>
  <c r="H569" i="29"/>
  <c r="H567" i="29"/>
  <c r="H565" i="29"/>
  <c r="H563" i="29"/>
  <c r="H555" i="29"/>
  <c r="H554" i="29"/>
  <c r="H552" i="29"/>
  <c r="H551" i="29"/>
  <c r="H549" i="29"/>
  <c r="H547" i="29"/>
  <c r="H539" i="29"/>
  <c r="H538" i="29"/>
  <c r="H534" i="29"/>
  <c r="H533" i="29"/>
  <c r="H532" i="29"/>
  <c r="H530" i="29"/>
  <c r="H528" i="29"/>
  <c r="H526" i="29"/>
  <c r="H519" i="29"/>
  <c r="H518" i="29"/>
  <c r="H517" i="29"/>
  <c r="H515" i="29"/>
  <c r="H513" i="29"/>
  <c r="H512" i="29"/>
  <c r="H511" i="29"/>
  <c r="H509" i="29"/>
  <c r="H506" i="29"/>
  <c r="H505" i="29"/>
  <c r="H507" i="29"/>
  <c r="H502" i="29"/>
  <c r="H501" i="29"/>
  <c r="H500" i="29"/>
  <c r="H499" i="29"/>
  <c r="H494" i="29"/>
  <c r="H493" i="29"/>
  <c r="H491" i="29"/>
  <c r="H492" i="29"/>
  <c r="H489" i="29"/>
  <c r="H488" i="29"/>
  <c r="H487" i="29"/>
  <c r="H486" i="29"/>
  <c r="H485" i="29"/>
  <c r="H483" i="29"/>
  <c r="H481" i="29"/>
  <c r="H479" i="29"/>
  <c r="H476" i="29"/>
  <c r="H475" i="29"/>
  <c r="H472" i="29"/>
  <c r="H471" i="29"/>
  <c r="H470" i="29"/>
  <c r="H467" i="29"/>
  <c r="H466" i="29"/>
  <c r="H464" i="29"/>
  <c r="H463" i="29"/>
  <c r="H461" i="29"/>
  <c r="H459" i="29"/>
  <c r="H450" i="29"/>
  <c r="H449" i="29"/>
  <c r="H442" i="29"/>
  <c r="H441" i="29"/>
  <c r="H437" i="29"/>
  <c r="H436" i="29"/>
  <c r="H434" i="29"/>
  <c r="H433" i="29"/>
  <c r="H431" i="29"/>
  <c r="H430" i="29"/>
  <c r="H428" i="29"/>
  <c r="H427" i="29"/>
  <c r="H426" i="29"/>
  <c r="H425" i="29"/>
  <c r="H423" i="29"/>
  <c r="H422" i="29"/>
  <c r="H420" i="29"/>
  <c r="H419" i="29"/>
  <c r="H416" i="29"/>
  <c r="H415" i="29"/>
  <c r="H414" i="29"/>
  <c r="H412" i="29"/>
  <c r="H411" i="29"/>
  <c r="H407" i="29"/>
  <c r="H406" i="29"/>
  <c r="H400" i="29"/>
  <c r="H399" i="29"/>
  <c r="H398" i="29"/>
  <c r="H393" i="29"/>
  <c r="H391" i="29"/>
  <c r="H387" i="29"/>
  <c r="H386" i="29"/>
  <c r="H382" i="29"/>
  <c r="H380" i="29"/>
  <c r="H370" i="29"/>
  <c r="H369" i="29"/>
  <c r="H368" i="29"/>
  <c r="H367" i="29"/>
  <c r="H365" i="29"/>
  <c r="H364" i="29"/>
  <c r="H363" i="29"/>
  <c r="H362" i="29"/>
  <c r="H359" i="29"/>
  <c r="H355" i="29"/>
  <c r="H354" i="29"/>
  <c r="H352" i="29"/>
  <c r="H351" i="29"/>
  <c r="H345" i="29"/>
  <c r="H344" i="29"/>
  <c r="H343" i="29"/>
  <c r="H340" i="29"/>
  <c r="H339" i="29"/>
  <c r="H337" i="29"/>
  <c r="H338" i="29"/>
  <c r="H335" i="29"/>
  <c r="H334" i="29"/>
  <c r="H332" i="29"/>
  <c r="H331" i="29"/>
  <c r="H328" i="29"/>
  <c r="H327" i="29"/>
  <c r="H326" i="29"/>
  <c r="H324" i="29"/>
  <c r="H322" i="29"/>
  <c r="H319" i="29"/>
  <c r="H318" i="29"/>
  <c r="H315" i="29"/>
  <c r="H314" i="29"/>
  <c r="H312" i="29"/>
  <c r="H310" i="29"/>
  <c r="H301" i="29"/>
  <c r="H300" i="29"/>
  <c r="H299" i="29"/>
  <c r="H297" i="29"/>
  <c r="H296" i="29"/>
  <c r="H295" i="29"/>
  <c r="H293" i="29"/>
  <c r="H292" i="29"/>
  <c r="H289" i="29"/>
  <c r="H288" i="29"/>
  <c r="H287" i="29"/>
  <c r="H281" i="29"/>
  <c r="H280" i="29"/>
  <c r="H278" i="29"/>
  <c r="H276" i="29"/>
  <c r="H275" i="29"/>
  <c r="H273" i="29"/>
  <c r="H272" i="29"/>
  <c r="H270" i="29"/>
  <c r="H269" i="29"/>
  <c r="H267" i="29"/>
  <c r="H266" i="29"/>
  <c r="H264" i="29"/>
  <c r="H263" i="29"/>
  <c r="H259" i="29"/>
  <c r="H258" i="29"/>
  <c r="H253" i="29"/>
  <c r="H252" i="29"/>
  <c r="H244" i="29"/>
  <c r="H242" i="29"/>
  <c r="H236" i="29"/>
  <c r="H235" i="29"/>
  <c r="H234" i="29"/>
  <c r="H233" i="29"/>
  <c r="H230" i="29"/>
  <c r="H229" i="29"/>
  <c r="H228" i="29"/>
  <c r="H227" i="29"/>
  <c r="H226" i="29"/>
  <c r="H223" i="29"/>
  <c r="H222" i="29"/>
  <c r="H221" i="29"/>
  <c r="H220" i="29"/>
  <c r="H1254" i="29"/>
  <c r="H218" i="29"/>
  <c r="H216" i="29"/>
  <c r="H210" i="29"/>
  <c r="H209" i="29"/>
  <c r="H208" i="29"/>
  <c r="H199" i="29"/>
  <c r="H197" i="29"/>
  <c r="H196" i="29"/>
  <c r="H194" i="29"/>
  <c r="H193" i="29"/>
  <c r="H192" i="29"/>
  <c r="H188" i="29"/>
  <c r="H187" i="29"/>
  <c r="H185" i="29"/>
  <c r="H179" i="29"/>
  <c r="H178" i="29"/>
  <c r="H176" i="29"/>
  <c r="H175" i="29"/>
  <c r="H169" i="29"/>
  <c r="H168" i="29"/>
  <c r="H167" i="29"/>
  <c r="H166" i="29"/>
  <c r="H165" i="29"/>
  <c r="H164" i="29"/>
  <c r="H1224" i="29"/>
  <c r="H162" i="29"/>
  <c r="H161" i="29"/>
  <c r="H159" i="29"/>
  <c r="H1270" i="29"/>
  <c r="H152" i="29"/>
  <c r="H151" i="29"/>
  <c r="H149" i="29"/>
  <c r="H1268" i="29"/>
  <c r="H147" i="29"/>
  <c r="H146" i="29"/>
  <c r="H145" i="29"/>
  <c r="H143" i="29"/>
  <c r="H142" i="29"/>
  <c r="H141" i="29"/>
  <c r="H138" i="29"/>
  <c r="H137" i="29"/>
  <c r="H136" i="29"/>
  <c r="H134" i="29"/>
  <c r="H133" i="29"/>
  <c r="H131" i="29"/>
  <c r="H125" i="29"/>
  <c r="H124" i="29"/>
  <c r="H123" i="29"/>
  <c r="H119" i="29"/>
  <c r="H117" i="29"/>
  <c r="H111" i="29"/>
  <c r="H110" i="29"/>
  <c r="H102" i="29"/>
  <c r="H101" i="29"/>
  <c r="H100" i="29"/>
  <c r="H98" i="29"/>
  <c r="H97" i="29"/>
  <c r="H95" i="29"/>
  <c r="H93" i="29"/>
  <c r="H89" i="29"/>
  <c r="H88" i="29"/>
  <c r="H87" i="29"/>
  <c r="H84" i="29"/>
  <c r="H82" i="29"/>
  <c r="H79" i="29"/>
  <c r="H77" i="29"/>
  <c r="H74" i="29"/>
  <c r="H72" i="29"/>
  <c r="H69" i="29"/>
  <c r="H68" i="29"/>
  <c r="H65" i="29"/>
  <c r="H64" i="29"/>
  <c r="H62" i="29"/>
  <c r="H61" i="29"/>
  <c r="H59" i="29"/>
  <c r="H58" i="29"/>
  <c r="H57" i="29"/>
  <c r="H55" i="29"/>
  <c r="H47" i="29"/>
  <c r="H46" i="29"/>
  <c r="H45" i="29"/>
  <c r="H44" i="29"/>
  <c r="H42" i="29"/>
  <c r="H41" i="29"/>
  <c r="H40" i="29"/>
  <c r="H37" i="29"/>
  <c r="H29" i="29"/>
  <c r="H28" i="29"/>
  <c r="H27" i="29"/>
  <c r="H26" i="29"/>
  <c r="H25" i="29"/>
  <c r="H23" i="29"/>
  <c r="H22" i="29"/>
  <c r="H20" i="29"/>
  <c r="H18" i="29"/>
  <c r="AK1227" i="29"/>
  <c r="AJ1227" i="29"/>
  <c r="AI1227" i="29"/>
  <c r="AH1227" i="29"/>
  <c r="AG1227" i="29"/>
  <c r="AF1227" i="29"/>
  <c r="G1227" i="29"/>
  <c r="AL1226" i="29"/>
  <c r="AN1226" i="29"/>
  <c r="AL1225" i="29"/>
  <c r="G1210" i="29"/>
  <c r="G1209" i="29"/>
  <c r="G1207" i="29"/>
  <c r="G1205" i="29"/>
  <c r="G1202" i="29"/>
  <c r="G1200" i="29"/>
  <c r="G1184" i="29"/>
  <c r="G1183" i="29"/>
  <c r="G1182" i="29"/>
  <c r="G1181" i="29"/>
  <c r="G1179" i="29"/>
  <c r="G1177" i="29"/>
  <c r="G1175" i="29"/>
  <c r="G1172" i="29"/>
  <c r="G1171" i="29"/>
  <c r="G1170" i="29"/>
  <c r="G1167" i="29"/>
  <c r="F503" i="30"/>
  <c r="F502" i="30"/>
  <c r="G1165" i="29"/>
  <c r="F501" i="30"/>
  <c r="G1162" i="29"/>
  <c r="G1159" i="29"/>
  <c r="G1158" i="29"/>
  <c r="G1155" i="29"/>
  <c r="G1151" i="29"/>
  <c r="G1150" i="29"/>
  <c r="G1148" i="29"/>
  <c r="G1146" i="29"/>
  <c r="G1144" i="29"/>
  <c r="G1138" i="29"/>
  <c r="G1137" i="29"/>
  <c r="G1136" i="29"/>
  <c r="G1135" i="29"/>
  <c r="G1129" i="29"/>
  <c r="G1128" i="29"/>
  <c r="G1127" i="29"/>
  <c r="G1125" i="29"/>
  <c r="G1124" i="29"/>
  <c r="G1123" i="29"/>
  <c r="G1121" i="29"/>
  <c r="G1120" i="29"/>
  <c r="G1118" i="29"/>
  <c r="G1117" i="29"/>
  <c r="G1115" i="29"/>
  <c r="G1114" i="29"/>
  <c r="G1113" i="29"/>
  <c r="G1111" i="29"/>
  <c r="G1110" i="29"/>
  <c r="G1109" i="29"/>
  <c r="G1108" i="29"/>
  <c r="G1107" i="29"/>
  <c r="G1103" i="29"/>
  <c r="G1102" i="29"/>
  <c r="G1100" i="29"/>
  <c r="G1099" i="29"/>
  <c r="G1098" i="29"/>
  <c r="G1096" i="29"/>
  <c r="G1091" i="29"/>
  <c r="G1090" i="29"/>
  <c r="G1087" i="29"/>
  <c r="G1086" i="29"/>
  <c r="G1085" i="29"/>
  <c r="G1082" i="29"/>
  <c r="G1081" i="29"/>
  <c r="G1080" i="29"/>
  <c r="G1079" i="29"/>
  <c r="G1077" i="29"/>
  <c r="G1071" i="29"/>
  <c r="G1070" i="29"/>
  <c r="G1069" i="29"/>
  <c r="G1067" i="29"/>
  <c r="G1066" i="29"/>
  <c r="G1065" i="29"/>
  <c r="G1063" i="29"/>
  <c r="G1062" i="29"/>
  <c r="G1061" i="29"/>
  <c r="G1059" i="29"/>
  <c r="G1058" i="29"/>
  <c r="G1057" i="29"/>
  <c r="G1055" i="29"/>
  <c r="G1054" i="29"/>
  <c r="G1053" i="29"/>
  <c r="G1051" i="29"/>
  <c r="G1050" i="29"/>
  <c r="G1049" i="29"/>
  <c r="G1047" i="29"/>
  <c r="G1046" i="29"/>
  <c r="G1045" i="29"/>
  <c r="G1042" i="29"/>
  <c r="G1041" i="29"/>
  <c r="G1039" i="29"/>
  <c r="G1037" i="29"/>
  <c r="G1034" i="29"/>
  <c r="G1033" i="29"/>
  <c r="G1031" i="29"/>
  <c r="G1029" i="29"/>
  <c r="G1025" i="29"/>
  <c r="G1019" i="29"/>
  <c r="G1017" i="29"/>
  <c r="G1011" i="29"/>
  <c r="G1010" i="29"/>
  <c r="G1008" i="29"/>
  <c r="G1007" i="29"/>
  <c r="G1005" i="29"/>
  <c r="G1004" i="29"/>
  <c r="G1002" i="29"/>
  <c r="G1000" i="29"/>
  <c r="G993" i="29"/>
  <c r="G991" i="29"/>
  <c r="G990" i="29"/>
  <c r="G985" i="29"/>
  <c r="G984" i="29"/>
  <c r="G983" i="29"/>
  <c r="G979" i="29"/>
  <c r="G978" i="29"/>
  <c r="G977" i="29"/>
  <c r="G976" i="29"/>
  <c r="G975" i="29"/>
  <c r="G963" i="29"/>
  <c r="G962" i="29"/>
  <c r="G961" i="29"/>
  <c r="G947" i="29"/>
  <c r="G945" i="29"/>
  <c r="G943" i="29"/>
  <c r="G940" i="29"/>
  <c r="G939" i="29"/>
  <c r="G932" i="29"/>
  <c r="G930" i="29"/>
  <c r="G925" i="29"/>
  <c r="G924" i="29"/>
  <c r="F1054" i="30"/>
  <c r="F1053" i="30"/>
  <c r="F1052" i="30"/>
  <c r="F1051" i="30"/>
  <c r="G920" i="29"/>
  <c r="G918" i="29"/>
  <c r="G913" i="29"/>
  <c r="G912" i="29"/>
  <c r="G903" i="29"/>
  <c r="G902" i="29"/>
  <c r="G897" i="29"/>
  <c r="G896" i="29"/>
  <c r="G895" i="29"/>
  <c r="G894" i="29"/>
  <c r="G892" i="29"/>
  <c r="G891" i="29"/>
  <c r="G890" i="29"/>
  <c r="G888" i="29"/>
  <c r="G887" i="29"/>
  <c r="G886" i="29"/>
  <c r="G883" i="29"/>
  <c r="G882" i="29"/>
  <c r="G880" i="29"/>
  <c r="G879" i="29"/>
  <c r="G878" i="29"/>
  <c r="G877" i="29"/>
  <c r="G873" i="29"/>
  <c r="G872" i="29"/>
  <c r="G869" i="29"/>
  <c r="G868" i="29"/>
  <c r="G866" i="29"/>
  <c r="G865" i="29"/>
  <c r="G863" i="29"/>
  <c r="G862" i="29"/>
  <c r="G860" i="29"/>
  <c r="G859" i="29"/>
  <c r="G856" i="29"/>
  <c r="G855" i="29"/>
  <c r="G854" i="29"/>
  <c r="G849" i="29"/>
  <c r="G848" i="29"/>
  <c r="G847" i="29"/>
  <c r="G846" i="29"/>
  <c r="G845" i="29"/>
  <c r="G844" i="29"/>
  <c r="G841" i="29"/>
  <c r="G840" i="29"/>
  <c r="G838" i="29"/>
  <c r="G834" i="29"/>
  <c r="G830" i="29"/>
  <c r="G828" i="29"/>
  <c r="G823" i="29"/>
  <c r="G822" i="29"/>
  <c r="G813" i="29"/>
  <c r="G811" i="29"/>
  <c r="G805" i="29"/>
  <c r="G804" i="29"/>
  <c r="G803" i="29"/>
  <c r="G802" i="29"/>
  <c r="G801" i="29"/>
  <c r="G799" i="29"/>
  <c r="G798" i="29"/>
  <c r="G794" i="29"/>
  <c r="G793" i="29"/>
  <c r="G792" i="29"/>
  <c r="G790" i="29"/>
  <c r="G789" i="29"/>
  <c r="G788" i="29"/>
  <c r="G786" i="29"/>
  <c r="G785" i="29"/>
  <c r="G784" i="29"/>
  <c r="G782" i="29"/>
  <c r="G781" i="29"/>
  <c r="G779" i="29"/>
  <c r="G778" i="29"/>
  <c r="G775" i="29"/>
  <c r="G774" i="29"/>
  <c r="G772" i="29"/>
  <c r="G771" i="29"/>
  <c r="G766" i="29"/>
  <c r="G765" i="29"/>
  <c r="G764" i="29"/>
  <c r="G763" i="29"/>
  <c r="G761" i="29"/>
  <c r="G760" i="29"/>
  <c r="G759" i="29"/>
  <c r="G758" i="29"/>
  <c r="G756" i="29"/>
  <c r="G755" i="29"/>
  <c r="G754" i="29"/>
  <c r="G752" i="29"/>
  <c r="G751" i="29"/>
  <c r="G750" i="29"/>
  <c r="G748" i="29"/>
  <c r="G747" i="29"/>
  <c r="G746" i="29"/>
  <c r="G744" i="29"/>
  <c r="G743" i="29"/>
  <c r="G742" i="29"/>
  <c r="G740" i="29"/>
  <c r="G739" i="29"/>
  <c r="G738" i="29"/>
  <c r="G736" i="29"/>
  <c r="G735" i="29"/>
  <c r="G734" i="29"/>
  <c r="G732" i="29"/>
  <c r="G731" i="29"/>
  <c r="G730" i="29"/>
  <c r="G728" i="29"/>
  <c r="G727" i="29"/>
  <c r="G726" i="29"/>
  <c r="G724" i="29"/>
  <c r="G723" i="29"/>
  <c r="G722" i="29"/>
  <c r="G720" i="29"/>
  <c r="G719" i="29"/>
  <c r="G718" i="29"/>
  <c r="G716" i="29"/>
  <c r="G715" i="29"/>
  <c r="G713" i="29"/>
  <c r="G712" i="29"/>
  <c r="G709" i="29"/>
  <c r="G708" i="29"/>
  <c r="G706" i="29"/>
  <c r="G705" i="29"/>
  <c r="G703" i="29"/>
  <c r="G702" i="29"/>
  <c r="G700" i="29"/>
  <c r="G699" i="29"/>
  <c r="G693" i="29"/>
  <c r="G692" i="29"/>
  <c r="G687" i="29"/>
  <c r="G686" i="29"/>
  <c r="G683" i="29"/>
  <c r="G682" i="29"/>
  <c r="G681" i="29"/>
  <c r="G677" i="29"/>
  <c r="G676" i="29"/>
  <c r="G672" i="29"/>
  <c r="G671" i="29"/>
  <c r="G670" i="29"/>
  <c r="G669" i="29"/>
  <c r="G667" i="29"/>
  <c r="G666" i="29"/>
  <c r="G665" i="29"/>
  <c r="G663" i="29"/>
  <c r="G662" i="29"/>
  <c r="G661" i="29"/>
  <c r="G659" i="29"/>
  <c r="G658" i="29"/>
  <c r="G648" i="29"/>
  <c r="G647" i="29"/>
  <c r="G645" i="29"/>
  <c r="G644" i="29"/>
  <c r="G642" i="29"/>
  <c r="G641" i="29"/>
  <c r="G638" i="29"/>
  <c r="G637" i="29"/>
  <c r="G635" i="29"/>
  <c r="G634" i="29"/>
  <c r="G632" i="29"/>
  <c r="G631" i="29"/>
  <c r="G628" i="29"/>
  <c r="G627" i="29"/>
  <c r="G625" i="29"/>
  <c r="G624" i="29"/>
  <c r="G621" i="29"/>
  <c r="G620" i="29"/>
  <c r="G619" i="29"/>
  <c r="G614" i="29"/>
  <c r="G613" i="29"/>
  <c r="G612" i="29"/>
  <c r="G611" i="29"/>
  <c r="G610" i="29"/>
  <c r="G609" i="29"/>
  <c r="G607" i="29"/>
  <c r="G606" i="29"/>
  <c r="G605" i="29"/>
  <c r="G604" i="29"/>
  <c r="G603" i="29"/>
  <c r="G602" i="29"/>
  <c r="G600" i="29"/>
  <c r="G599" i="29"/>
  <c r="G597" i="29"/>
  <c r="G596" i="29"/>
  <c r="G590" i="29"/>
  <c r="G589" i="29"/>
  <c r="G588" i="29"/>
  <c r="G587" i="29"/>
  <c r="G1267" i="29"/>
  <c r="G586" i="29"/>
  <c r="G585" i="29"/>
  <c r="G584" i="29"/>
  <c r="G582" i="29"/>
  <c r="G580" i="29"/>
  <c r="G574" i="29"/>
  <c r="G573" i="29"/>
  <c r="G572" i="29"/>
  <c r="G570" i="29"/>
  <c r="G569" i="29"/>
  <c r="G567" i="29"/>
  <c r="G565" i="29"/>
  <c r="G563" i="29"/>
  <c r="G555" i="29"/>
  <c r="G552" i="29"/>
  <c r="G551" i="29"/>
  <c r="G549" i="29"/>
  <c r="G547" i="29"/>
  <c r="G539" i="29"/>
  <c r="G538" i="29"/>
  <c r="G534" i="29"/>
  <c r="G533" i="29"/>
  <c r="G532" i="29"/>
  <c r="G530" i="29"/>
  <c r="G528" i="29"/>
  <c r="G526" i="29"/>
  <c r="G519" i="29"/>
  <c r="G518" i="29"/>
  <c r="G517" i="29"/>
  <c r="G515" i="29"/>
  <c r="G513" i="29"/>
  <c r="G512" i="29"/>
  <c r="G511" i="29"/>
  <c r="G509" i="29"/>
  <c r="G506" i="29"/>
  <c r="G505" i="29"/>
  <c r="G507" i="29"/>
  <c r="G502" i="29"/>
  <c r="G501" i="29"/>
  <c r="G500" i="29"/>
  <c r="G499" i="29"/>
  <c r="G494" i="29"/>
  <c r="G493" i="29"/>
  <c r="G491" i="29"/>
  <c r="G492" i="29"/>
  <c r="G489" i="29"/>
  <c r="G488" i="29"/>
  <c r="G487" i="29"/>
  <c r="G486" i="29"/>
  <c r="G485" i="29"/>
  <c r="G483" i="29"/>
  <c r="G481" i="29"/>
  <c r="G479" i="29"/>
  <c r="G476" i="29"/>
  <c r="G475" i="29"/>
  <c r="G472" i="29"/>
  <c r="G471" i="29"/>
  <c r="G470" i="29"/>
  <c r="G467" i="29"/>
  <c r="G466" i="29"/>
  <c r="G464" i="29"/>
  <c r="G463" i="29"/>
  <c r="G461" i="29"/>
  <c r="G459" i="29"/>
  <c r="G450" i="29"/>
  <c r="G449" i="29"/>
  <c r="G442" i="29"/>
  <c r="G441" i="29"/>
  <c r="G437" i="29"/>
  <c r="G436" i="29"/>
  <c r="G434" i="29"/>
  <c r="G433" i="29"/>
  <c r="G431" i="29"/>
  <c r="G430" i="29"/>
  <c r="G428" i="29"/>
  <c r="G427" i="29"/>
  <c r="G426" i="29"/>
  <c r="G425" i="29"/>
  <c r="G423" i="29"/>
  <c r="G422" i="29"/>
  <c r="G420" i="29"/>
  <c r="G419" i="29"/>
  <c r="G416" i="29"/>
  <c r="G415" i="29"/>
  <c r="G414" i="29"/>
  <c r="G412" i="29"/>
  <c r="G411" i="29"/>
  <c r="G407" i="29"/>
  <c r="G406" i="29"/>
  <c r="G400" i="29"/>
  <c r="G399" i="29"/>
  <c r="G398" i="29"/>
  <c r="G393" i="29"/>
  <c r="G391" i="29"/>
  <c r="G387" i="29"/>
  <c r="G386" i="29"/>
  <c r="G380" i="29"/>
  <c r="G370" i="29"/>
  <c r="G369" i="29"/>
  <c r="G368" i="29"/>
  <c r="G367" i="29"/>
  <c r="G365" i="29"/>
  <c r="G364" i="29"/>
  <c r="G363" i="29"/>
  <c r="G362" i="29"/>
  <c r="G359" i="29"/>
  <c r="G355" i="29"/>
  <c r="G354" i="29"/>
  <c r="G352" i="29"/>
  <c r="G351" i="29"/>
  <c r="G345" i="29"/>
  <c r="G344" i="29"/>
  <c r="G340" i="29"/>
  <c r="G339" i="29"/>
  <c r="G337" i="29"/>
  <c r="G338" i="29"/>
  <c r="G335" i="29"/>
  <c r="G334" i="29"/>
  <c r="G332" i="29"/>
  <c r="G331" i="29"/>
  <c r="G328" i="29"/>
  <c r="G327" i="29"/>
  <c r="G326" i="29"/>
  <c r="G324" i="29"/>
  <c r="G322" i="29"/>
  <c r="G319" i="29"/>
  <c r="G318" i="29"/>
  <c r="G315" i="29"/>
  <c r="G314" i="29"/>
  <c r="G312" i="29"/>
  <c r="G310" i="29"/>
  <c r="G308" i="29"/>
  <c r="G301" i="29"/>
  <c r="G300" i="29"/>
  <c r="G299" i="29"/>
  <c r="G297" i="29"/>
  <c r="G296" i="29"/>
  <c r="G295" i="29"/>
  <c r="G293" i="29"/>
  <c r="G292" i="29"/>
  <c r="G289" i="29"/>
  <c r="G288" i="29"/>
  <c r="G287" i="29"/>
  <c r="G281" i="29"/>
  <c r="G280" i="29"/>
  <c r="G276" i="29"/>
  <c r="G275" i="29"/>
  <c r="G273" i="29"/>
  <c r="G272" i="29"/>
  <c r="G270" i="29"/>
  <c r="G269" i="29"/>
  <c r="G267" i="29"/>
  <c r="G266" i="29"/>
  <c r="G264" i="29"/>
  <c r="G263" i="29"/>
  <c r="G259" i="29"/>
  <c r="G258" i="29"/>
  <c r="G253" i="29"/>
  <c r="G252" i="29"/>
  <c r="G244" i="29"/>
  <c r="G242" i="29"/>
  <c r="G236" i="29"/>
  <c r="G235" i="29"/>
  <c r="G234" i="29"/>
  <c r="G233" i="29"/>
  <c r="G230" i="29"/>
  <c r="G229" i="29"/>
  <c r="G228" i="29"/>
  <c r="G227" i="29"/>
  <c r="G226" i="29"/>
  <c r="G223" i="29"/>
  <c r="G222" i="29"/>
  <c r="G221" i="29"/>
  <c r="G220" i="29"/>
  <c r="G1254" i="29"/>
  <c r="G218" i="29"/>
  <c r="G216" i="29"/>
  <c r="G210" i="29"/>
  <c r="G209" i="29"/>
  <c r="G208" i="29"/>
  <c r="G206" i="29"/>
  <c r="G205" i="29"/>
  <c r="G204" i="29"/>
  <c r="G199" i="29"/>
  <c r="G197" i="29"/>
  <c r="G196" i="29"/>
  <c r="G194" i="29"/>
  <c r="G193" i="29"/>
  <c r="G192" i="29"/>
  <c r="G188" i="29"/>
  <c r="G187" i="29"/>
  <c r="G185" i="29"/>
  <c r="G183" i="29"/>
  <c r="G179" i="29"/>
  <c r="G178" i="29"/>
  <c r="G176" i="29"/>
  <c r="G175" i="29"/>
  <c r="G169" i="29"/>
  <c r="G168" i="29"/>
  <c r="G167" i="29"/>
  <c r="G166" i="29"/>
  <c r="G165" i="29"/>
  <c r="G164" i="29"/>
  <c r="G1224" i="29"/>
  <c r="G162" i="29"/>
  <c r="G161" i="29"/>
  <c r="G152" i="29"/>
  <c r="G151" i="29"/>
  <c r="G147" i="29"/>
  <c r="G146" i="29"/>
  <c r="G145" i="29"/>
  <c r="G143" i="29"/>
  <c r="G142" i="29"/>
  <c r="G141" i="29"/>
  <c r="G138" i="29"/>
  <c r="G137" i="29"/>
  <c r="G136" i="29"/>
  <c r="G134" i="29"/>
  <c r="G133" i="29"/>
  <c r="G131" i="29"/>
  <c r="G129" i="29"/>
  <c r="G125" i="29"/>
  <c r="G124" i="29"/>
  <c r="G123" i="29"/>
  <c r="G119" i="29"/>
  <c r="G117" i="29"/>
  <c r="G111" i="29"/>
  <c r="G110" i="29"/>
  <c r="G108" i="29"/>
  <c r="G107" i="29"/>
  <c r="G102" i="29"/>
  <c r="G101" i="29"/>
  <c r="G100" i="29"/>
  <c r="G98" i="29"/>
  <c r="G97" i="29"/>
  <c r="G95" i="29"/>
  <c r="G93" i="29"/>
  <c r="G89" i="29"/>
  <c r="G88" i="29"/>
  <c r="G87" i="29"/>
  <c r="G84" i="29"/>
  <c r="G82" i="29"/>
  <c r="G79" i="29"/>
  <c r="G77" i="29"/>
  <c r="G74" i="29"/>
  <c r="G72" i="29"/>
  <c r="G69" i="29"/>
  <c r="G68" i="29"/>
  <c r="G65" i="29"/>
  <c r="G64" i="29"/>
  <c r="G62" i="29"/>
  <c r="G61" i="29"/>
  <c r="G59" i="29"/>
  <c r="G58" i="29"/>
  <c r="G57" i="29"/>
  <c r="G55" i="29"/>
  <c r="G53" i="29"/>
  <c r="G47" i="29"/>
  <c r="G46" i="29"/>
  <c r="G45" i="29"/>
  <c r="G44" i="29"/>
  <c r="G42" i="29"/>
  <c r="G41" i="29"/>
  <c r="G40" i="29"/>
  <c r="G37" i="29"/>
  <c r="G29" i="29"/>
  <c r="G28" i="29"/>
  <c r="G27" i="29"/>
  <c r="G26" i="29"/>
  <c r="G25" i="29"/>
  <c r="G23" i="29"/>
  <c r="G22" i="29"/>
  <c r="G20" i="29"/>
  <c r="G18" i="29"/>
  <c r="G16" i="29"/>
  <c r="G405" i="29"/>
  <c r="H448" i="29"/>
  <c r="H447" i="29"/>
  <c r="G448" i="29"/>
  <c r="G447" i="29"/>
  <c r="G167" i="30"/>
  <c r="G166" i="30"/>
  <c r="G165" i="30"/>
  <c r="G164" i="30"/>
  <c r="H960" i="29"/>
  <c r="H959" i="29"/>
  <c r="H958" i="29"/>
  <c r="G960" i="29"/>
  <c r="G959" i="29"/>
  <c r="G958" i="29"/>
  <c r="G1166" i="29"/>
  <c r="G1161" i="29"/>
  <c r="G1157" i="29"/>
  <c r="H901" i="29"/>
  <c r="H900" i="29"/>
  <c r="G901" i="29"/>
  <c r="G900" i="29"/>
  <c r="H1192" i="29"/>
  <c r="H1191" i="29"/>
  <c r="H1190" i="29"/>
  <c r="H1189" i="29"/>
  <c r="H1188" i="29"/>
  <c r="H1187" i="29"/>
  <c r="H1186" i="29"/>
  <c r="F1048" i="30"/>
  <c r="F1047" i="30"/>
  <c r="F1046" i="30"/>
  <c r="F1030" i="30"/>
  <c r="D49" i="31"/>
  <c r="G656" i="29"/>
  <c r="G655" i="29"/>
  <c r="G654" i="29"/>
  <c r="G292" i="32"/>
  <c r="G291" i="32"/>
  <c r="G290" i="32"/>
  <c r="G289" i="32"/>
  <c r="G288" i="32"/>
  <c r="F563" i="30"/>
  <c r="F562" i="30"/>
  <c r="F561" i="30"/>
  <c r="F560" i="30"/>
  <c r="G690" i="29"/>
  <c r="G689" i="29"/>
  <c r="G187" i="32"/>
  <c r="F594" i="30"/>
  <c r="F593" i="30"/>
  <c r="F592" i="30"/>
  <c r="G1023" i="29"/>
  <c r="G1022" i="29"/>
  <c r="F360" i="30"/>
  <c r="F359" i="30"/>
  <c r="G725" i="32"/>
  <c r="F443" i="30"/>
  <c r="F442" i="30"/>
  <c r="G594" i="30"/>
  <c r="G593" i="30"/>
  <c r="G592" i="30"/>
  <c r="G588" i="30"/>
  <c r="H187" i="32"/>
  <c r="G39" i="29"/>
  <c r="G36" i="29"/>
  <c r="G35" i="29"/>
  <c r="G34" i="29"/>
  <c r="G33" i="29"/>
  <c r="F17" i="30"/>
  <c r="F16" i="30"/>
  <c r="F13" i="30"/>
  <c r="F12" i="30"/>
  <c r="F11" i="30"/>
  <c r="F10" i="30"/>
  <c r="D12" i="31"/>
  <c r="G736" i="32"/>
  <c r="F451" i="30"/>
  <c r="F450" i="30"/>
  <c r="F449" i="30"/>
  <c r="F500" i="30"/>
  <c r="F497" i="30"/>
  <c r="F493" i="30"/>
  <c r="H206" i="29"/>
  <c r="H205" i="29"/>
  <c r="H204" i="29"/>
  <c r="H203" i="29"/>
  <c r="H1262" i="29"/>
  <c r="G275" i="30"/>
  <c r="G274" i="30"/>
  <c r="G273" i="30"/>
  <c r="G272" i="30"/>
  <c r="H769" i="32"/>
  <c r="G815" i="30"/>
  <c r="G814" i="30"/>
  <c r="H509" i="32"/>
  <c r="G500" i="30"/>
  <c r="G384" i="29"/>
  <c r="G512" i="32"/>
  <c r="F817" i="30"/>
  <c r="F816" i="30"/>
  <c r="G696" i="29"/>
  <c r="G695" i="29"/>
  <c r="G195" i="32"/>
  <c r="F600" i="30"/>
  <c r="F599" i="30"/>
  <c r="F598" i="30"/>
  <c r="G922" i="29"/>
  <c r="G989" i="29"/>
  <c r="G988" i="29"/>
  <c r="F295" i="30"/>
  <c r="F294" i="30"/>
  <c r="G22" i="32"/>
  <c r="G761" i="32"/>
  <c r="F466" i="30"/>
  <c r="F465" i="30"/>
  <c r="F464" i="30"/>
  <c r="F463" i="30"/>
  <c r="G1154" i="29"/>
  <c r="G1153" i="29"/>
  <c r="F491" i="30"/>
  <c r="F490" i="30"/>
  <c r="F489" i="30"/>
  <c r="G1192" i="29"/>
  <c r="G1191" i="29"/>
  <c r="G1190" i="29"/>
  <c r="G1189" i="29"/>
  <c r="G1188" i="29"/>
  <c r="G1187" i="29"/>
  <c r="G1186" i="29"/>
  <c r="F981" i="30"/>
  <c r="F980" i="30"/>
  <c r="F979" i="30"/>
  <c r="F978" i="30"/>
  <c r="F977" i="30"/>
  <c r="F969" i="30"/>
  <c r="D46" i="31"/>
  <c r="H39" i="29"/>
  <c r="H36" i="29"/>
  <c r="H35" i="29"/>
  <c r="H34" i="29"/>
  <c r="H33" i="29"/>
  <c r="G17" i="30"/>
  <c r="G16" i="30"/>
  <c r="G13" i="30"/>
  <c r="G12" i="30"/>
  <c r="G11" i="30"/>
  <c r="G10" i="30"/>
  <c r="E12" i="31"/>
  <c r="H384" i="29"/>
  <c r="H379" i="29"/>
  <c r="H375" i="29"/>
  <c r="H512" i="32"/>
  <c r="G817" i="30"/>
  <c r="G816" i="30"/>
  <c r="H652" i="29"/>
  <c r="H651" i="29"/>
  <c r="H650" i="29"/>
  <c r="G559" i="30"/>
  <c r="G558" i="30"/>
  <c r="G557" i="30"/>
  <c r="G556" i="30"/>
  <c r="H280" i="32"/>
  <c r="H1154" i="29"/>
  <c r="H1153" i="29"/>
  <c r="G491" i="30"/>
  <c r="G490" i="30"/>
  <c r="G489" i="30"/>
  <c r="H1166" i="29"/>
  <c r="H1161" i="29"/>
  <c r="H1157" i="29"/>
  <c r="G503" i="30"/>
  <c r="G502" i="30"/>
  <c r="E46" i="31"/>
  <c r="G256" i="29"/>
  <c r="G255" i="29"/>
  <c r="G251" i="29"/>
  <c r="G250" i="29"/>
  <c r="G249" i="29"/>
  <c r="G107" i="32"/>
  <c r="F181" i="30"/>
  <c r="F180" i="30"/>
  <c r="F179" i="30"/>
  <c r="G836" i="29"/>
  <c r="G833" i="29"/>
  <c r="G832" i="29"/>
  <c r="F798" i="30"/>
  <c r="F797" i="30"/>
  <c r="F794" i="30"/>
  <c r="F793" i="30"/>
  <c r="G934" i="32"/>
  <c r="G933" i="32"/>
  <c r="G932" i="32"/>
  <c r="G931" i="32"/>
  <c r="G930" i="32"/>
  <c r="G929" i="32"/>
  <c r="F471" i="30"/>
  <c r="F470" i="30"/>
  <c r="F469" i="30"/>
  <c r="H256" i="29"/>
  <c r="H255" i="29"/>
  <c r="H107" i="32"/>
  <c r="G181" i="30"/>
  <c r="G180" i="30"/>
  <c r="G179" i="30"/>
  <c r="H361" i="29"/>
  <c r="H358" i="29"/>
  <c r="H357" i="29"/>
  <c r="H51" i="32"/>
  <c r="G755" i="30"/>
  <c r="G754" i="30"/>
  <c r="G751" i="30"/>
  <c r="G750" i="30"/>
  <c r="H836" i="29"/>
  <c r="H833" i="29"/>
  <c r="H832" i="29"/>
  <c r="G798" i="30"/>
  <c r="G797" i="30"/>
  <c r="G794" i="30"/>
  <c r="G793" i="30"/>
  <c r="H920" i="29"/>
  <c r="H917" i="29"/>
  <c r="H916" i="29"/>
  <c r="H915" i="29"/>
  <c r="G1052" i="30"/>
  <c r="G1051" i="30"/>
  <c r="G1048" i="30"/>
  <c r="G1047" i="30"/>
  <c r="G1046" i="30"/>
  <c r="G1030" i="30"/>
  <c r="E49" i="31"/>
  <c r="H1134" i="29"/>
  <c r="H1133" i="29"/>
  <c r="H1132" i="29"/>
  <c r="H1131" i="29"/>
  <c r="H1266" i="29"/>
  <c r="H934" i="32"/>
  <c r="H933" i="32"/>
  <c r="H932" i="32"/>
  <c r="H931" i="32"/>
  <c r="H930" i="32"/>
  <c r="H929" i="32"/>
  <c r="G471" i="30"/>
  <c r="G470" i="30"/>
  <c r="G469" i="30"/>
  <c r="G361" i="29"/>
  <c r="G358" i="29"/>
  <c r="G357" i="29"/>
  <c r="G51" i="32"/>
  <c r="F755" i="30"/>
  <c r="F754" i="30"/>
  <c r="F751" i="30"/>
  <c r="F750" i="30"/>
  <c r="G382" i="29"/>
  <c r="G509" i="32"/>
  <c r="F815" i="30"/>
  <c r="F814" i="30"/>
  <c r="F178" i="30"/>
  <c r="F177" i="30"/>
  <c r="F176" i="30"/>
  <c r="G103" i="32"/>
  <c r="G652" i="29"/>
  <c r="G651" i="29"/>
  <c r="G650" i="29"/>
  <c r="G280" i="32"/>
  <c r="F559" i="30"/>
  <c r="F558" i="30"/>
  <c r="F557" i="30"/>
  <c r="F556" i="30"/>
  <c r="G876" i="29"/>
  <c r="G875" i="29"/>
  <c r="G871" i="29"/>
  <c r="F1008" i="30"/>
  <c r="F1007" i="30"/>
  <c r="G440" i="32"/>
  <c r="G1076" i="29"/>
  <c r="G1075" i="29"/>
  <c r="G1074" i="29"/>
  <c r="G1073" i="29"/>
  <c r="G981" i="32"/>
  <c r="F413" i="30"/>
  <c r="F412" i="30"/>
  <c r="F411" i="30"/>
  <c r="F410" i="30"/>
  <c r="F409" i="30"/>
  <c r="G1094" i="29"/>
  <c r="G1093" i="29"/>
  <c r="G707" i="32"/>
  <c r="F431" i="30"/>
  <c r="F430" i="30"/>
  <c r="G1106" i="29"/>
  <c r="G1105" i="29"/>
  <c r="G1134" i="29"/>
  <c r="G1133" i="29"/>
  <c r="G1132" i="29"/>
  <c r="G1131" i="29"/>
  <c r="G1266" i="29"/>
  <c r="H103" i="32"/>
  <c r="G178" i="30"/>
  <c r="G177" i="30"/>
  <c r="G176" i="30"/>
  <c r="H656" i="29"/>
  <c r="H655" i="29"/>
  <c r="H654" i="29"/>
  <c r="G563" i="30"/>
  <c r="G562" i="30"/>
  <c r="G561" i="30"/>
  <c r="G560" i="30"/>
  <c r="H292" i="32"/>
  <c r="H291" i="32"/>
  <c r="H290" i="32"/>
  <c r="H289" i="32"/>
  <c r="H288" i="32"/>
  <c r="H690" i="29"/>
  <c r="H689" i="29"/>
  <c r="H876" i="29"/>
  <c r="H875" i="29"/>
  <c r="H871" i="29"/>
  <c r="H440" i="32"/>
  <c r="G1008" i="30"/>
  <c r="G1007" i="30"/>
  <c r="G1006" i="30"/>
  <c r="H1023" i="29"/>
  <c r="H1022" i="29"/>
  <c r="H1271" i="29"/>
  <c r="H981" i="32"/>
  <c r="H980" i="32"/>
  <c r="H979" i="32"/>
  <c r="H978" i="32"/>
  <c r="H977" i="32"/>
  <c r="H976" i="32"/>
  <c r="H975" i="32"/>
  <c r="G413" i="30"/>
  <c r="G412" i="30"/>
  <c r="G411" i="30"/>
  <c r="G410" i="30"/>
  <c r="G409" i="30"/>
  <c r="H1094" i="29"/>
  <c r="H1093" i="29"/>
  <c r="H707" i="32"/>
  <c r="G431" i="30"/>
  <c r="G430" i="30"/>
  <c r="H1106" i="29"/>
  <c r="H1105" i="29"/>
  <c r="G443" i="30"/>
  <c r="G442" i="30"/>
  <c r="H725" i="32"/>
  <c r="H1114" i="29"/>
  <c r="H1113" i="29"/>
  <c r="H736" i="32"/>
  <c r="G451" i="30"/>
  <c r="G450" i="30"/>
  <c r="G449" i="30"/>
  <c r="H1129" i="29"/>
  <c r="H1128" i="29"/>
  <c r="H1127" i="29"/>
  <c r="H761" i="32"/>
  <c r="G466" i="30"/>
  <c r="G465" i="30"/>
  <c r="G464" i="30"/>
  <c r="G463" i="30"/>
  <c r="H485" i="32"/>
  <c r="H484" i="32"/>
  <c r="H487" i="32"/>
  <c r="G203" i="29"/>
  <c r="G1262" i="29"/>
  <c r="H308" i="29"/>
  <c r="G699" i="30"/>
  <c r="G698" i="30"/>
  <c r="G697" i="30"/>
  <c r="H777" i="29"/>
  <c r="H183" i="29"/>
  <c r="H182" i="29"/>
  <c r="H181" i="29"/>
  <c r="G254" i="30"/>
  <c r="G253" i="30"/>
  <c r="G252" i="30"/>
  <c r="G244" i="30"/>
  <c r="G770" i="29"/>
  <c r="H71" i="29"/>
  <c r="H76" i="29"/>
  <c r="H129" i="29"/>
  <c r="H128" i="29"/>
  <c r="H127" i="29"/>
  <c r="H122" i="29"/>
  <c r="H546" i="29"/>
  <c r="H545" i="29"/>
  <c r="H544" i="29"/>
  <c r="H543" i="29"/>
  <c r="H542" i="29"/>
  <c r="H541" i="29"/>
  <c r="H562" i="29"/>
  <c r="H561" i="29"/>
  <c r="H560" i="29"/>
  <c r="H559" i="29"/>
  <c r="G140" i="29"/>
  <c r="G929" i="29"/>
  <c r="G928" i="29"/>
  <c r="G927" i="29"/>
  <c r="H116" i="29"/>
  <c r="H115" i="29"/>
  <c r="H114" i="29"/>
  <c r="H113" i="29"/>
  <c r="H160" i="29"/>
  <c r="H195" i="29"/>
  <c r="H191" i="29"/>
  <c r="H190" i="29"/>
  <c r="G390" i="29"/>
  <c r="G389" i="29"/>
  <c r="G595" i="29"/>
  <c r="G594" i="29"/>
  <c r="G593" i="29"/>
  <c r="G592" i="29"/>
  <c r="G827" i="29"/>
  <c r="G826" i="29"/>
  <c r="H279" i="29"/>
  <c r="H307" i="29"/>
  <c r="H306" i="29"/>
  <c r="H405" i="29"/>
  <c r="H1199" i="29"/>
  <c r="H16" i="29"/>
  <c r="H15" i="29"/>
  <c r="H14" i="29"/>
  <c r="H13" i="29"/>
  <c r="H12" i="29"/>
  <c r="H11" i="29"/>
  <c r="G108" i="30"/>
  <c r="G107" i="30"/>
  <c r="G106" i="30"/>
  <c r="G105" i="30"/>
  <c r="H53" i="29"/>
  <c r="H52" i="29"/>
  <c r="H51" i="29"/>
  <c r="G47" i="30"/>
  <c r="G46" i="30"/>
  <c r="H418" i="29"/>
  <c r="G546" i="29"/>
  <c r="G545" i="29"/>
  <c r="G544" i="29"/>
  <c r="G543" i="29"/>
  <c r="G542" i="29"/>
  <c r="G541" i="29"/>
  <c r="G810" i="29"/>
  <c r="G917" i="29"/>
  <c r="G916" i="29"/>
  <c r="G915" i="29"/>
  <c r="G942" i="29"/>
  <c r="G938" i="29"/>
  <c r="G1176" i="29"/>
  <c r="G1199" i="29"/>
  <c r="G1204" i="29"/>
  <c r="H92" i="29"/>
  <c r="H91" i="29"/>
  <c r="H86" i="29"/>
  <c r="H1255" i="29"/>
  <c r="H140" i="29"/>
  <c r="H121" i="29"/>
  <c r="H215" i="29"/>
  <c r="H214" i="29"/>
  <c r="H213" i="29"/>
  <c r="H212" i="29"/>
  <c r="H478" i="29"/>
  <c r="H474" i="29"/>
  <c r="H469" i="29"/>
  <c r="H525" i="29"/>
  <c r="H524" i="29"/>
  <c r="H523" i="29"/>
  <c r="H579" i="29"/>
  <c r="H578" i="29"/>
  <c r="H577" i="29"/>
  <c r="H576" i="29"/>
  <c r="H711" i="29"/>
  <c r="H770" i="29"/>
  <c r="H769" i="29"/>
  <c r="H827" i="29"/>
  <c r="H826" i="29"/>
  <c r="H929" i="29"/>
  <c r="H928" i="29"/>
  <c r="H927" i="29"/>
  <c r="H1028" i="29"/>
  <c r="H1076" i="29"/>
  <c r="H1075" i="29"/>
  <c r="H1074" i="29"/>
  <c r="H1073" i="29"/>
  <c r="H1204" i="29"/>
  <c r="H1169" i="29"/>
  <c r="G1169" i="29"/>
  <c r="H1143" i="29"/>
  <c r="H1016" i="29"/>
  <c r="H988" i="29"/>
  <c r="H987" i="29"/>
  <c r="G1271" i="29"/>
  <c r="G92" i="29"/>
  <c r="G91" i="29"/>
  <c r="G86" i="29"/>
  <c r="G1255" i="29"/>
  <c r="G116" i="29"/>
  <c r="G115" i="29"/>
  <c r="G114" i="29"/>
  <c r="G113" i="29"/>
  <c r="G195" i="29"/>
  <c r="G191" i="29"/>
  <c r="G190" i="29"/>
  <c r="G215" i="29"/>
  <c r="G214" i="29"/>
  <c r="G213" i="29"/>
  <c r="G212" i="29"/>
  <c r="G458" i="29"/>
  <c r="G457" i="29"/>
  <c r="G456" i="29"/>
  <c r="G525" i="29"/>
  <c r="G524" i="29"/>
  <c r="G523" i="29"/>
  <c r="G1036" i="29"/>
  <c r="H150" i="29"/>
  <c r="H241" i="29"/>
  <c r="H240" i="29"/>
  <c r="H1242" i="29"/>
  <c r="H321" i="29"/>
  <c r="H317" i="29"/>
  <c r="H630" i="29"/>
  <c r="H640" i="29"/>
  <c r="H810" i="29"/>
  <c r="H858" i="29"/>
  <c r="H999" i="29"/>
  <c r="H998" i="29"/>
  <c r="H997" i="29"/>
  <c r="H996" i="29"/>
  <c r="H685" i="29"/>
  <c r="H1116" i="29"/>
  <c r="H174" i="29"/>
  <c r="H262" i="29"/>
  <c r="H261" i="29"/>
  <c r="H1264" i="29"/>
  <c r="H330" i="29"/>
  <c r="H350" i="29"/>
  <c r="H1245" i="29"/>
  <c r="H1036" i="29"/>
  <c r="H698" i="29"/>
  <c r="H623" i="29"/>
  <c r="H595" i="29"/>
  <c r="H594" i="29"/>
  <c r="H593" i="29"/>
  <c r="H592" i="29"/>
  <c r="H504" i="29"/>
  <c r="H498" i="29"/>
  <c r="H497" i="29"/>
  <c r="H496" i="29"/>
  <c r="G307" i="29"/>
  <c r="G306" i="29"/>
  <c r="G241" i="29"/>
  <c r="G240" i="29"/>
  <c r="G239" i="29"/>
  <c r="G238" i="29"/>
  <c r="H106" i="29"/>
  <c r="H105" i="29"/>
  <c r="H104" i="29"/>
  <c r="G71" i="29"/>
  <c r="H1256" i="29"/>
  <c r="H232" i="29"/>
  <c r="H291" i="29"/>
  <c r="H286" i="29"/>
  <c r="H285" i="29"/>
  <c r="H284" i="29"/>
  <c r="H283" i="29"/>
  <c r="H1260" i="29"/>
  <c r="H251" i="29"/>
  <c r="H250" i="29"/>
  <c r="H249" i="29"/>
  <c r="H1044" i="29"/>
  <c r="H1263" i="29"/>
  <c r="H342" i="29"/>
  <c r="H390" i="29"/>
  <c r="H389" i="29"/>
  <c r="H429" i="29"/>
  <c r="H537" i="29"/>
  <c r="H536" i="29"/>
  <c r="H1164" i="29"/>
  <c r="H81" i="29"/>
  <c r="H675" i="29"/>
  <c r="H674" i="29"/>
  <c r="H796" i="29"/>
  <c r="H797" i="29"/>
  <c r="H1176" i="29"/>
  <c r="H458" i="29"/>
  <c r="H457" i="29"/>
  <c r="H456" i="29"/>
  <c r="H942" i="29"/>
  <c r="H938" i="29"/>
  <c r="G278" i="29"/>
  <c r="G279" i="29"/>
  <c r="G150" i="29"/>
  <c r="G149" i="29"/>
  <c r="G1268" i="29"/>
  <c r="G698" i="29"/>
  <c r="G128" i="29"/>
  <c r="G127" i="29"/>
  <c r="G122" i="29"/>
  <c r="G160" i="29"/>
  <c r="G159" i="29"/>
  <c r="G1270" i="29"/>
  <c r="G675" i="29"/>
  <c r="G674" i="29"/>
  <c r="G174" i="29"/>
  <c r="G330" i="29"/>
  <c r="G640" i="29"/>
  <c r="G562" i="29"/>
  <c r="G561" i="29"/>
  <c r="G560" i="29"/>
  <c r="G559" i="29"/>
  <c r="G630" i="29"/>
  <c r="G1245" i="29"/>
  <c r="G999" i="29"/>
  <c r="G998" i="29"/>
  <c r="G997" i="29"/>
  <c r="G996" i="29"/>
  <c r="G1116" i="29"/>
  <c r="G52" i="29"/>
  <c r="G51" i="29"/>
  <c r="G76" i="29"/>
  <c r="G182" i="29"/>
  <c r="G181" i="29"/>
  <c r="G321" i="29"/>
  <c r="G317" i="29"/>
  <c r="G350" i="29"/>
  <c r="G579" i="29"/>
  <c r="G578" i="29"/>
  <c r="G577" i="29"/>
  <c r="G576" i="29"/>
  <c r="G623" i="29"/>
  <c r="G711" i="29"/>
  <c r="G81" i="29"/>
  <c r="G262" i="29"/>
  <c r="G261" i="29"/>
  <c r="G1264" i="29"/>
  <c r="G418" i="29"/>
  <c r="G15" i="29"/>
  <c r="G14" i="29"/>
  <c r="G13" i="29"/>
  <c r="G12" i="29"/>
  <c r="G11" i="29"/>
  <c r="G106" i="29"/>
  <c r="G105" i="29"/>
  <c r="G104" i="29"/>
  <c r="G1260" i="29"/>
  <c r="G429" i="29"/>
  <c r="G478" i="29"/>
  <c r="G474" i="29"/>
  <c r="G469" i="29"/>
  <c r="G858" i="29"/>
  <c r="G1044" i="29"/>
  <c r="G1263" i="29"/>
  <c r="G343" i="29"/>
  <c r="G342" i="29"/>
  <c r="G504" i="29"/>
  <c r="G498" i="29"/>
  <c r="G497" i="29"/>
  <c r="G496" i="29"/>
  <c r="G1256" i="29"/>
  <c r="G232" i="29"/>
  <c r="G796" i="29"/>
  <c r="G797" i="29"/>
  <c r="G537" i="29"/>
  <c r="G536" i="29"/>
  <c r="G291" i="29"/>
  <c r="G286" i="29"/>
  <c r="G285" i="29"/>
  <c r="G284" i="29"/>
  <c r="G283" i="29"/>
  <c r="G1164" i="29"/>
  <c r="G777" i="29"/>
  <c r="G1016" i="29"/>
  <c r="G1028" i="29"/>
  <c r="AL1227" i="29"/>
  <c r="G1143" i="29"/>
  <c r="G121" i="29"/>
  <c r="G248" i="29"/>
  <c r="H248" i="29"/>
  <c r="F175" i="30"/>
  <c r="F174" i="30"/>
  <c r="F173" i="30"/>
  <c r="G349" i="29"/>
  <c r="G348" i="29"/>
  <c r="G347" i="29"/>
  <c r="H937" i="29"/>
  <c r="H936" i="29"/>
  <c r="H935" i="29"/>
  <c r="H349" i="29"/>
  <c r="H348" i="29"/>
  <c r="H347" i="29"/>
  <c r="G937" i="29"/>
  <c r="G936" i="29"/>
  <c r="G935" i="29"/>
  <c r="G1142" i="29"/>
  <c r="G1141" i="29"/>
  <c r="G1168" i="29"/>
  <c r="G1156" i="29"/>
  <c r="H809" i="29"/>
  <c r="H808" i="29"/>
  <c r="G809" i="29"/>
  <c r="G808" i="29"/>
  <c r="H825" i="29"/>
  <c r="G685" i="29"/>
  <c r="G680" i="29"/>
  <c r="G679" i="29"/>
  <c r="G379" i="29"/>
  <c r="F811" i="30"/>
  <c r="G987" i="29"/>
  <c r="G982" i="29"/>
  <c r="G981" i="29"/>
  <c r="G974" i="29"/>
  <c r="H762" i="32"/>
  <c r="H760" i="32"/>
  <c r="H759" i="32"/>
  <c r="H758" i="32"/>
  <c r="H757" i="32"/>
  <c r="H756" i="32"/>
  <c r="G439" i="32"/>
  <c r="G438" i="32"/>
  <c r="G441" i="32"/>
  <c r="G281" i="32"/>
  <c r="G279" i="32"/>
  <c r="G278" i="32"/>
  <c r="G277" i="32"/>
  <c r="G276" i="32"/>
  <c r="G275" i="32"/>
  <c r="G108" i="32"/>
  <c r="G106" i="32"/>
  <c r="G105" i="32"/>
  <c r="G811" i="30"/>
  <c r="H706" i="32"/>
  <c r="H705" i="32"/>
  <c r="H708" i="32"/>
  <c r="G508" i="32"/>
  <c r="G510" i="32"/>
  <c r="H108" i="32"/>
  <c r="H106" i="32"/>
  <c r="H105" i="32"/>
  <c r="H281" i="32"/>
  <c r="H279" i="32"/>
  <c r="H278" i="32"/>
  <c r="H277" i="32"/>
  <c r="H276" i="32"/>
  <c r="H275" i="32"/>
  <c r="H513" i="32"/>
  <c r="H511" i="32"/>
  <c r="G497" i="30"/>
  <c r="G493" i="30"/>
  <c r="H770" i="32"/>
  <c r="H768" i="32"/>
  <c r="H767" i="32"/>
  <c r="H766" i="32"/>
  <c r="H765" i="32"/>
  <c r="H764" i="32"/>
  <c r="G853" i="29"/>
  <c r="G1258" i="29"/>
  <c r="H1198" i="29"/>
  <c r="H1197" i="29"/>
  <c r="H1196" i="29"/>
  <c r="H1195" i="29"/>
  <c r="H1194" i="29"/>
  <c r="G175" i="30"/>
  <c r="G174" i="30"/>
  <c r="G173" i="30"/>
  <c r="G104" i="32"/>
  <c r="G102" i="32"/>
  <c r="G101" i="32"/>
  <c r="G468" i="30"/>
  <c r="H52" i="32"/>
  <c r="H50" i="32"/>
  <c r="H45" i="32"/>
  <c r="H44" i="32"/>
  <c r="H43" i="32"/>
  <c r="G762" i="32"/>
  <c r="G760" i="32"/>
  <c r="G759" i="32"/>
  <c r="G758" i="32"/>
  <c r="G757" i="32"/>
  <c r="G756" i="32"/>
  <c r="F588" i="30"/>
  <c r="G293" i="32"/>
  <c r="G287" i="32"/>
  <c r="H439" i="32"/>
  <c r="H438" i="32"/>
  <c r="H441" i="32"/>
  <c r="G52" i="32"/>
  <c r="G50" i="32"/>
  <c r="G45" i="32"/>
  <c r="G44" i="32"/>
  <c r="G43" i="32"/>
  <c r="G194" i="32"/>
  <c r="G193" i="32"/>
  <c r="G196" i="32"/>
  <c r="H188" i="32"/>
  <c r="H186" i="32"/>
  <c r="H185" i="32"/>
  <c r="H180" i="32"/>
  <c r="H170" i="32"/>
  <c r="H169" i="32"/>
  <c r="H724" i="32"/>
  <c r="H726" i="32"/>
  <c r="H1142" i="29"/>
  <c r="H1141" i="29"/>
  <c r="H737" i="32"/>
  <c r="H735" i="32"/>
  <c r="H734" i="32"/>
  <c r="H287" i="32"/>
  <c r="H293" i="32"/>
  <c r="H104" i="32"/>
  <c r="H102" i="32"/>
  <c r="H101" i="32"/>
  <c r="H100" i="32"/>
  <c r="G706" i="32"/>
  <c r="G708" i="32"/>
  <c r="F468" i="30"/>
  <c r="G23" i="32"/>
  <c r="G21" i="32"/>
  <c r="G511" i="32"/>
  <c r="G513" i="32"/>
  <c r="H510" i="32"/>
  <c r="H508" i="32"/>
  <c r="G735" i="32"/>
  <c r="G734" i="32"/>
  <c r="G737" i="32"/>
  <c r="G726" i="32"/>
  <c r="G724" i="32"/>
  <c r="G188" i="32"/>
  <c r="G186" i="32"/>
  <c r="G185" i="32"/>
  <c r="G10" i="29"/>
  <c r="H10" i="29"/>
  <c r="G202" i="29"/>
  <c r="G201" i="29"/>
  <c r="H1089" i="29"/>
  <c r="H1084" i="29"/>
  <c r="H1261" i="29"/>
  <c r="H522" i="29"/>
  <c r="H521" i="29"/>
  <c r="H1246" i="29"/>
  <c r="H982" i="29"/>
  <c r="H1251" i="29"/>
  <c r="G1242" i="29"/>
  <c r="H239" i="29"/>
  <c r="H238" i="29"/>
  <c r="H225" i="29"/>
  <c r="H1240" i="29"/>
  <c r="H1241" i="29"/>
  <c r="H558" i="29"/>
  <c r="H557" i="29"/>
  <c r="G825" i="29"/>
  <c r="G522" i="29"/>
  <c r="G521" i="29"/>
  <c r="G1246" i="29"/>
  <c r="H67" i="29"/>
  <c r="H1216" i="29"/>
  <c r="H173" i="29"/>
  <c r="H172" i="29"/>
  <c r="H171" i="29"/>
  <c r="H1225" i="29"/>
  <c r="H1226" i="29"/>
  <c r="H1015" i="29"/>
  <c r="H853" i="29"/>
  <c r="H1258" i="29"/>
  <c r="H1027" i="29"/>
  <c r="H1233" i="29"/>
  <c r="G1198" i="29"/>
  <c r="G1197" i="29"/>
  <c r="G1196" i="29"/>
  <c r="G1195" i="29"/>
  <c r="G1194" i="29"/>
  <c r="H1168" i="29"/>
  <c r="H1156" i="29"/>
  <c r="H1230" i="29"/>
  <c r="H202" i="29"/>
  <c r="H201" i="29"/>
  <c r="H618" i="29"/>
  <c r="H617" i="29"/>
  <c r="H680" i="29"/>
  <c r="H679" i="29"/>
  <c r="H899" i="29"/>
  <c r="G1015" i="29"/>
  <c r="G899" i="29"/>
  <c r="H455" i="29"/>
  <c r="H1236" i="29"/>
  <c r="G1027" i="29"/>
  <c r="G1230" i="29"/>
  <c r="G1089" i="29"/>
  <c r="G1084" i="29"/>
  <c r="G618" i="29"/>
  <c r="G617" i="29"/>
  <c r="G558" i="29"/>
  <c r="G557" i="29"/>
  <c r="H374" i="29"/>
  <c r="H373" i="29"/>
  <c r="H305" i="29"/>
  <c r="G305" i="29"/>
  <c r="G225" i="29"/>
  <c r="G1240" i="29"/>
  <c r="H1265" i="29"/>
  <c r="G67" i="29"/>
  <c r="H768" i="29"/>
  <c r="H247" i="29"/>
  <c r="G1265" i="29"/>
  <c r="G769" i="29"/>
  <c r="G768" i="29"/>
  <c r="G173" i="29"/>
  <c r="G172" i="29"/>
  <c r="G171" i="29"/>
  <c r="G1225" i="29"/>
  <c r="G1252" i="29"/>
  <c r="G247" i="29"/>
  <c r="G455" i="29"/>
  <c r="G1226" i="29"/>
  <c r="G1140" i="29"/>
  <c r="G375" i="29"/>
  <c r="G374" i="29"/>
  <c r="H1252" i="29"/>
  <c r="H99" i="32"/>
  <c r="H98" i="32"/>
  <c r="H97" i="32"/>
  <c r="G1236" i="29"/>
  <c r="H807" i="29"/>
  <c r="H616" i="29"/>
  <c r="G807" i="29"/>
  <c r="G616" i="29"/>
  <c r="G1251" i="29"/>
  <c r="G852" i="29"/>
  <c r="G851" i="29"/>
  <c r="G1243" i="29"/>
  <c r="G1244" i="29"/>
  <c r="G1216" i="29"/>
  <c r="H1140" i="29"/>
  <c r="G180" i="32"/>
  <c r="G170" i="32"/>
  <c r="G169" i="32"/>
  <c r="H504" i="32"/>
  <c r="G504" i="32"/>
  <c r="G100" i="32"/>
  <c r="G99" i="32"/>
  <c r="G98" i="32"/>
  <c r="G97" i="32"/>
  <c r="H852" i="29"/>
  <c r="H851" i="29"/>
  <c r="H1243" i="29"/>
  <c r="H1244" i="29"/>
  <c r="H304" i="29"/>
  <c r="H303" i="29"/>
  <c r="H1259" i="29"/>
  <c r="H981" i="29"/>
  <c r="H1014" i="29"/>
  <c r="H1013" i="29"/>
  <c r="H50" i="29"/>
  <c r="H49" i="29"/>
  <c r="H32" i="29"/>
  <c r="H1221" i="29"/>
  <c r="G1241" i="29"/>
  <c r="H1253" i="29"/>
  <c r="H1078" i="29"/>
  <c r="K121" i="29"/>
  <c r="H1249" i="29"/>
  <c r="G1014" i="29"/>
  <c r="G1013" i="29"/>
  <c r="G1261" i="29"/>
  <c r="G1078" i="29"/>
  <c r="H372" i="29"/>
  <c r="H1237" i="29"/>
  <c r="G304" i="29"/>
  <c r="G303" i="29"/>
  <c r="G50" i="29"/>
  <c r="G49" i="29"/>
  <c r="G32" i="29"/>
  <c r="G1253" i="29"/>
  <c r="G1228" i="29"/>
  <c r="G1229" i="29"/>
  <c r="G373" i="29"/>
  <c r="G372" i="29"/>
  <c r="G1237" i="29"/>
  <c r="G1259" i="29"/>
  <c r="G1272" i="29"/>
  <c r="G985" i="32"/>
  <c r="H974" i="29"/>
  <c r="H1228" i="29"/>
  <c r="H1229" i="29"/>
  <c r="H995" i="29"/>
  <c r="H1231" i="29"/>
  <c r="H1232" i="29"/>
  <c r="H1234" i="29"/>
  <c r="H1235" i="29"/>
  <c r="H843" i="29"/>
  <c r="G31" i="29"/>
  <c r="I10" i="29"/>
  <c r="H31" i="29"/>
  <c r="J10" i="29"/>
  <c r="G843" i="29"/>
  <c r="H1272" i="29"/>
  <c r="H985" i="32"/>
  <c r="H246" i="29"/>
  <c r="G995" i="29"/>
  <c r="G1231" i="29"/>
  <c r="G1234" i="29"/>
  <c r="G1235" i="29"/>
  <c r="H608" i="29"/>
  <c r="G246" i="29"/>
  <c r="G1221" i="29"/>
  <c r="G608" i="29"/>
  <c r="H1248" i="29"/>
  <c r="H934" i="29"/>
  <c r="H1212" i="29"/>
  <c r="G934" i="29"/>
  <c r="G1212" i="29"/>
  <c r="H1247" i="29"/>
  <c r="G1247" i="29"/>
  <c r="H1215" i="29"/>
  <c r="D18" i="18"/>
  <c r="G1215" i="29"/>
  <c r="C18" i="18"/>
  <c r="F1135" i="3"/>
  <c r="F1134" i="3" s="1"/>
  <c r="F1133" i="3" s="1"/>
  <c r="F1132" i="3" s="1"/>
  <c r="D21" i="19"/>
  <c r="D20" i="19"/>
  <c r="D19" i="19"/>
  <c r="C21" i="19"/>
  <c r="C20" i="19"/>
  <c r="C19" i="19"/>
  <c r="D70" i="19"/>
  <c r="C70" i="19"/>
  <c r="D11" i="19"/>
  <c r="C11" i="19"/>
  <c r="D136" i="19"/>
  <c r="C136" i="19"/>
  <c r="C171" i="1"/>
  <c r="D102" i="19"/>
  <c r="C101" i="1"/>
  <c r="C21" i="1"/>
  <c r="C20" i="1"/>
  <c r="C19" i="1"/>
  <c r="G265" i="4"/>
  <c r="G204" i="5"/>
  <c r="G205" i="5" s="1"/>
  <c r="F201" i="3"/>
  <c r="F200" i="3" s="1"/>
  <c r="F199" i="3" s="1"/>
  <c r="F198" i="3" s="1"/>
  <c r="F1021" i="3"/>
  <c r="F1020" i="3" s="1"/>
  <c r="F1019" i="3"/>
  <c r="F1018" i="3" s="1"/>
  <c r="F1016" i="3"/>
  <c r="F1015" i="3" s="1"/>
  <c r="F1014" i="3" s="1"/>
  <c r="F968" i="3"/>
  <c r="F967" i="3" s="1"/>
  <c r="F966" i="3" s="1"/>
  <c r="G480" i="4"/>
  <c r="G479" i="4" s="1"/>
  <c r="F793" i="3"/>
  <c r="F792" i="3" s="1"/>
  <c r="F791" i="3" s="1"/>
  <c r="F728" i="3"/>
  <c r="F727" i="3" s="1"/>
  <c r="F726" i="3" s="1"/>
  <c r="F725" i="3" s="1"/>
  <c r="F724" i="3" s="1"/>
  <c r="F660" i="3"/>
  <c r="F659" i="3" s="1"/>
  <c r="F658" i="3" s="1"/>
  <c r="F592" i="3"/>
  <c r="F591" i="3" s="1"/>
  <c r="F590" i="3" s="1"/>
  <c r="F546" i="3"/>
  <c r="F545" i="3" s="1"/>
  <c r="F544" i="3" s="1"/>
  <c r="C110" i="1"/>
  <c r="F130" i="3"/>
  <c r="F129" i="3" s="1"/>
  <c r="F128" i="3" s="1"/>
  <c r="F120" i="3"/>
  <c r="F119" i="3" s="1"/>
  <c r="G613" i="4"/>
  <c r="G612" i="4" s="1"/>
  <c r="F85" i="3"/>
  <c r="F84" i="3" s="1"/>
  <c r="F48" i="3"/>
  <c r="F47" i="3" s="1"/>
  <c r="G89" i="4"/>
  <c r="F32" i="3"/>
  <c r="F31" i="3" s="1"/>
  <c r="F24" i="3"/>
  <c r="F23" i="3" s="1"/>
  <c r="F22" i="3" s="1"/>
  <c r="F21" i="3" s="1"/>
  <c r="F20" i="3" s="1"/>
  <c r="F687" i="3"/>
  <c r="F686" i="3" s="1"/>
  <c r="F685" i="3" s="1"/>
  <c r="F684" i="3" s="1"/>
  <c r="D23" i="25"/>
  <c r="G770" i="4"/>
  <c r="G769" i="4" s="1"/>
  <c r="D12" i="25"/>
  <c r="D6" i="25"/>
  <c r="D5" i="25"/>
  <c r="D11" i="25"/>
  <c r="D13" i="25"/>
  <c r="C95" i="1"/>
  <c r="D14" i="25"/>
  <c r="D21" i="25"/>
  <c r="D15" i="25"/>
  <c r="D8" i="25"/>
  <c r="D16" i="25"/>
  <c r="D17" i="25"/>
  <c r="D19" i="25"/>
  <c r="D22" i="25"/>
  <c r="D20" i="25"/>
  <c r="C91" i="1"/>
  <c r="C11" i="1"/>
  <c r="F30" i="3"/>
  <c r="F29" i="3" s="1"/>
  <c r="F549" i="3"/>
  <c r="F548" i="3" s="1"/>
  <c r="F46" i="3"/>
  <c r="F45" i="3" s="1"/>
  <c r="D18" i="25"/>
  <c r="G982" i="4"/>
  <c r="G981" i="4" s="1"/>
  <c r="G980" i="4" s="1"/>
  <c r="D9" i="25"/>
  <c r="D32" i="25"/>
  <c r="G971" i="4"/>
  <c r="F1006" i="30" s="1"/>
  <c r="G980" i="32"/>
  <c r="G979" i="32"/>
  <c r="G978" i="32"/>
  <c r="G977" i="32"/>
  <c r="G976" i="32"/>
  <c r="G975" i="32"/>
  <c r="G833" i="4"/>
  <c r="G832" i="4" s="1"/>
  <c r="G831" i="4" s="1"/>
  <c r="G605" i="4"/>
  <c r="G603" i="4"/>
  <c r="G532" i="4"/>
  <c r="G531" i="4" s="1"/>
  <c r="G146" i="4"/>
  <c r="G145" i="4" s="1"/>
  <c r="G144" i="4" s="1"/>
  <c r="G74" i="4"/>
  <c r="G73" i="4" s="1"/>
  <c r="D175" i="1" s="1"/>
  <c r="G17" i="4"/>
  <c r="G130" i="4"/>
  <c r="F516" i="3"/>
  <c r="F515" i="3" s="1"/>
  <c r="F514" i="3" s="1"/>
  <c r="D154" i="19"/>
  <c r="D153" i="19"/>
  <c r="D152" i="19"/>
  <c r="C154" i="19"/>
  <c r="C153" i="19"/>
  <c r="C152" i="19"/>
  <c r="C151" i="19"/>
  <c r="D151" i="19" s="1"/>
  <c r="C150" i="19"/>
  <c r="D150" i="19" s="1"/>
  <c r="C149" i="19"/>
  <c r="D149" i="19" s="1"/>
  <c r="D145" i="19"/>
  <c r="D144" i="19"/>
  <c r="C145" i="19"/>
  <c r="C144" i="19"/>
  <c r="D142" i="19"/>
  <c r="C142" i="19"/>
  <c r="D140" i="19"/>
  <c r="C140" i="19"/>
  <c r="C127" i="19"/>
  <c r="C120" i="19"/>
  <c r="C119" i="19"/>
  <c r="D127" i="19"/>
  <c r="D120" i="19"/>
  <c r="D101" i="19"/>
  <c r="C102" i="19"/>
  <c r="C101" i="19"/>
  <c r="D99" i="19"/>
  <c r="C99" i="19"/>
  <c r="D97" i="19"/>
  <c r="C97" i="19"/>
  <c r="D95" i="19"/>
  <c r="C95" i="19"/>
  <c r="D93" i="19"/>
  <c r="C93" i="19"/>
  <c r="D91" i="19"/>
  <c r="C91" i="19"/>
  <c r="D89" i="19"/>
  <c r="C89" i="19"/>
  <c r="D87" i="19"/>
  <c r="C87" i="19"/>
  <c r="D85" i="19"/>
  <c r="C85" i="19"/>
  <c r="D82" i="19"/>
  <c r="C82" i="19"/>
  <c r="D80" i="19"/>
  <c r="C80" i="19"/>
  <c r="D75" i="19"/>
  <c r="D74" i="19"/>
  <c r="C75" i="19"/>
  <c r="C74" i="19"/>
  <c r="D72" i="19"/>
  <c r="C72" i="19"/>
  <c r="D68" i="19"/>
  <c r="C68" i="19"/>
  <c r="D66" i="19"/>
  <c r="C66" i="19"/>
  <c r="D62" i="19"/>
  <c r="C62" i="19"/>
  <c r="D60" i="19"/>
  <c r="C60" i="19"/>
  <c r="D57" i="19"/>
  <c r="C57" i="19"/>
  <c r="D56" i="19"/>
  <c r="C56" i="19"/>
  <c r="D53" i="19"/>
  <c r="D50" i="19"/>
  <c r="D49" i="19"/>
  <c r="C53" i="19"/>
  <c r="C50" i="19"/>
  <c r="C49" i="19"/>
  <c r="D47" i="19"/>
  <c r="C47" i="19"/>
  <c r="D45" i="19"/>
  <c r="C45" i="19"/>
  <c r="D41" i="19"/>
  <c r="D40" i="19"/>
  <c r="C41" i="19"/>
  <c r="C40" i="19"/>
  <c r="D38" i="19"/>
  <c r="C38" i="19"/>
  <c r="D36" i="19"/>
  <c r="C36" i="19"/>
  <c r="D33" i="19"/>
  <c r="C33" i="19"/>
  <c r="D30" i="19"/>
  <c r="C30" i="19"/>
  <c r="D28" i="19"/>
  <c r="C28" i="19"/>
  <c r="D26" i="19"/>
  <c r="C26" i="19"/>
  <c r="D24" i="19"/>
  <c r="C24" i="19"/>
  <c r="D18" i="19"/>
  <c r="D17" i="19"/>
  <c r="C18" i="19"/>
  <c r="C17" i="19"/>
  <c r="D10" i="19"/>
  <c r="C10" i="19"/>
  <c r="C65" i="19"/>
  <c r="C64" i="19"/>
  <c r="C79" i="19"/>
  <c r="D65" i="19"/>
  <c r="D64" i="19"/>
  <c r="D59" i="19"/>
  <c r="D79" i="19"/>
  <c r="C44" i="19"/>
  <c r="C43" i="19"/>
  <c r="C59" i="19"/>
  <c r="D44" i="19"/>
  <c r="D43" i="19"/>
  <c r="C35" i="19"/>
  <c r="C32" i="19"/>
  <c r="C23" i="19"/>
  <c r="C22" i="19"/>
  <c r="D35" i="19"/>
  <c r="D23" i="19"/>
  <c r="D22" i="19"/>
  <c r="D119" i="19"/>
  <c r="D118" i="19"/>
  <c r="C118" i="19"/>
  <c r="D84" i="19"/>
  <c r="C84" i="19"/>
  <c r="F566" i="3"/>
  <c r="F565" i="3" s="1"/>
  <c r="F1120" i="3"/>
  <c r="F1119" i="3" s="1"/>
  <c r="F1118" i="3" s="1"/>
  <c r="G456" i="5"/>
  <c r="G457" i="5" s="1"/>
  <c r="D78" i="19"/>
  <c r="D77" i="19"/>
  <c r="D32" i="19"/>
  <c r="D9" i="19"/>
  <c r="C78" i="19"/>
  <c r="C77" i="19"/>
  <c r="C9" i="19"/>
  <c r="D159" i="19"/>
  <c r="G77" i="19"/>
  <c r="C159" i="19"/>
  <c r="F77" i="19"/>
  <c r="I1215" i="29"/>
  <c r="I9" i="29"/>
  <c r="J1215" i="29"/>
  <c r="G1233" i="29"/>
  <c r="J9" i="29"/>
  <c r="G1217" i="29"/>
  <c r="D160" i="19"/>
  <c r="H1217" i="29"/>
  <c r="D158" i="19"/>
  <c r="D17" i="18"/>
  <c r="C158" i="19"/>
  <c r="C17" i="18"/>
  <c r="C160" i="19"/>
  <c r="G1249" i="29"/>
  <c r="G1232" i="29"/>
  <c r="G1248" i="29"/>
  <c r="G962" i="4"/>
  <c r="G963" i="4"/>
  <c r="G1314" i="4"/>
  <c r="G220" i="4"/>
  <c r="F294" i="3"/>
  <c r="F293" i="3" s="1"/>
  <c r="F292" i="3" s="1"/>
  <c r="G1009" i="5"/>
  <c r="G1008" i="5" s="1"/>
  <c r="G1025" i="5"/>
  <c r="G1024" i="5"/>
  <c r="G1023" i="5" s="1"/>
  <c r="G1022" i="5" s="1"/>
  <c r="G1021" i="5" s="1"/>
  <c r="G1020" i="5" s="1"/>
  <c r="G1264" i="4"/>
  <c r="G1263" i="4" s="1"/>
  <c r="G817" i="5"/>
  <c r="G816" i="5" s="1"/>
  <c r="G815" i="5" s="1"/>
  <c r="G814" i="5" s="1"/>
  <c r="G813" i="5" s="1"/>
  <c r="G812" i="5" s="1"/>
  <c r="G1247" i="4"/>
  <c r="G1246" i="4" s="1"/>
  <c r="G1245" i="4" s="1"/>
  <c r="G977" i="4"/>
  <c r="G976" i="4" s="1"/>
  <c r="G1310" i="4"/>
  <c r="G1306" i="4"/>
  <c r="F507" i="30" s="1"/>
  <c r="F506" i="30" s="1"/>
  <c r="F1027" i="3"/>
  <c r="F1026" i="3" s="1"/>
  <c r="F1025" i="3" s="1"/>
  <c r="F1024" i="3" s="1"/>
  <c r="F878" i="3"/>
  <c r="F877" i="3" s="1"/>
  <c r="F876" i="3" s="1"/>
  <c r="G473" i="4"/>
  <c r="G671" i="5" s="1"/>
  <c r="G406" i="4"/>
  <c r="G405" i="4" s="1"/>
  <c r="G404" i="4" s="1"/>
  <c r="G403" i="4" s="1"/>
  <c r="G528" i="4"/>
  <c r="G527" i="4" s="1"/>
  <c r="G526" i="4" s="1"/>
  <c r="G215" i="4"/>
  <c r="F560" i="3"/>
  <c r="C169" i="1"/>
  <c r="G673" i="4"/>
  <c r="F881" i="3"/>
  <c r="F880" i="3" s="1"/>
  <c r="G922" i="4"/>
  <c r="G1243" i="4"/>
  <c r="G1242" i="4" s="1"/>
  <c r="G1241" i="4" s="1"/>
  <c r="F495" i="3"/>
  <c r="F494" i="3" s="1"/>
  <c r="F493" i="3" s="1"/>
  <c r="F492" i="3" s="1"/>
  <c r="G809" i="5"/>
  <c r="G808" i="5"/>
  <c r="G807" i="5"/>
  <c r="G806" i="5" s="1"/>
  <c r="G805" i="5" s="1"/>
  <c r="G741" i="4"/>
  <c r="G740" i="4" s="1"/>
  <c r="G739" i="4" s="1"/>
  <c r="G345" i="5"/>
  <c r="G344" i="5" s="1"/>
  <c r="G343" i="5" s="1"/>
  <c r="G342" i="5" s="1"/>
  <c r="G341" i="5" s="1"/>
  <c r="G340" i="5" s="1"/>
  <c r="F631" i="3"/>
  <c r="F630" i="3" s="1"/>
  <c r="F629" i="3" s="1"/>
  <c r="F628" i="3" s="1"/>
  <c r="G737" i="4"/>
  <c r="G736" i="4" s="1"/>
  <c r="G735" i="4" s="1"/>
  <c r="F711" i="3"/>
  <c r="F710" i="3" s="1"/>
  <c r="F709" i="3" s="1"/>
  <c r="F708" i="3" s="1"/>
  <c r="G333" i="5"/>
  <c r="G332" i="5" s="1"/>
  <c r="G331" i="5" s="1"/>
  <c r="G330" i="5" s="1"/>
  <c r="F627" i="3"/>
  <c r="F626" i="3" s="1"/>
  <c r="F625" i="3" s="1"/>
  <c r="F624" i="3" s="1"/>
  <c r="G338" i="5"/>
  <c r="G821" i="4"/>
  <c r="G820" i="4" s="1"/>
  <c r="G819" i="4" s="1"/>
  <c r="C184" i="1"/>
  <c r="G1227" i="4"/>
  <c r="G728" i="32" s="1"/>
  <c r="F194" i="3"/>
  <c r="F193" i="3" s="1"/>
  <c r="F192" i="3" s="1"/>
  <c r="G326" i="5"/>
  <c r="G325" i="5" s="1"/>
  <c r="G324" i="5" s="1"/>
  <c r="G323" i="5" s="1"/>
  <c r="G322" i="5" s="1"/>
  <c r="G321" i="5" s="1"/>
  <c r="G327" i="5" s="1"/>
  <c r="F707" i="3"/>
  <c r="F706" i="3" s="1"/>
  <c r="F705" i="3" s="1"/>
  <c r="F704" i="3" s="1"/>
  <c r="G817" i="4"/>
  <c r="G816" i="4" s="1"/>
  <c r="G815" i="4" s="1"/>
  <c r="F374" i="3"/>
  <c r="F373" i="3" s="1"/>
  <c r="F372" i="3" s="1"/>
  <c r="C198" i="1"/>
  <c r="C197" i="1" s="1"/>
  <c r="G1122" i="4"/>
  <c r="G1121" i="4" s="1"/>
  <c r="G414" i="5"/>
  <c r="G1305" i="4"/>
  <c r="G15" i="6"/>
  <c r="G14" i="6" s="1"/>
  <c r="G13" i="6" s="1"/>
  <c r="G12" i="6" s="1"/>
  <c r="G11" i="6" s="1"/>
  <c r="F742" i="3"/>
  <c r="F741" i="3" s="1"/>
  <c r="F740" i="3" s="1"/>
  <c r="G176" i="5"/>
  <c r="G175" i="5" s="1"/>
  <c r="G174" i="5" s="1"/>
  <c r="G177" i="5" s="1"/>
  <c r="G852" i="4"/>
  <c r="G851" i="4" s="1"/>
  <c r="F703" i="3"/>
  <c r="F702" i="3" s="1"/>
  <c r="F701" i="3" s="1"/>
  <c r="F700" i="3" s="1"/>
  <c r="F144" i="3"/>
  <c r="F143" i="3" s="1"/>
  <c r="F142" i="3" s="1"/>
  <c r="F141" i="3" s="1"/>
  <c r="F140" i="3" s="1"/>
  <c r="F139" i="3" s="1"/>
  <c r="D16" i="2" s="1"/>
  <c r="F457" i="3"/>
  <c r="F456" i="3" s="1"/>
  <c r="F455" i="3" s="1"/>
  <c r="F454" i="3" s="1"/>
  <c r="F911" i="3"/>
  <c r="F910" i="3" s="1"/>
  <c r="F909" i="3" s="1"/>
  <c r="F773" i="3"/>
  <c r="F772" i="3" s="1"/>
  <c r="F771" i="3" s="1"/>
  <c r="G549" i="5"/>
  <c r="G548" i="5" s="1"/>
  <c r="G547" i="5" s="1"/>
  <c r="G550" i="5" s="1"/>
  <c r="G530" i="5"/>
  <c r="G529" i="5" s="1"/>
  <c r="G528" i="5" s="1"/>
  <c r="G531" i="5" s="1"/>
  <c r="G344" i="4"/>
  <c r="G343" i="4" s="1"/>
  <c r="G423" i="4"/>
  <c r="G422" i="4" s="1"/>
  <c r="D178" i="1"/>
  <c r="C177" i="1"/>
  <c r="F719" i="3"/>
  <c r="F718" i="3" s="1"/>
  <c r="F717" i="3" s="1"/>
  <c r="F716" i="3" s="1"/>
  <c r="D90" i="1"/>
  <c r="G366" i="5"/>
  <c r="G365" i="5" s="1"/>
  <c r="G364" i="5" s="1"/>
  <c r="G363" i="5" s="1"/>
  <c r="G362" i="5" s="1"/>
  <c r="G361" i="5" s="1"/>
  <c r="G367" i="5" s="1"/>
  <c r="G829" i="4"/>
  <c r="G828" i="4" s="1"/>
  <c r="G827" i="4" s="1"/>
  <c r="C89" i="1"/>
  <c r="D88" i="1"/>
  <c r="C87" i="1"/>
  <c r="C84" i="1"/>
  <c r="F1038" i="3"/>
  <c r="F1035" i="3" s="1"/>
  <c r="F798" i="3"/>
  <c r="F797" i="3" s="1"/>
  <c r="F796" i="3" s="1"/>
  <c r="F794" i="3" s="1"/>
  <c r="G723" i="5"/>
  <c r="G724" i="5" s="1"/>
  <c r="G738" i="5"/>
  <c r="G737" i="5" s="1"/>
  <c r="G736" i="5" s="1"/>
  <c r="G739" i="5" s="1"/>
  <c r="G550" i="4"/>
  <c r="G548" i="4"/>
  <c r="G369" i="4"/>
  <c r="G367" i="4"/>
  <c r="G549" i="4"/>
  <c r="G547" i="4" s="1"/>
  <c r="G368" i="4"/>
  <c r="G366" i="4" s="1"/>
  <c r="G319" i="5"/>
  <c r="G318" i="5" s="1"/>
  <c r="G317" i="5" s="1"/>
  <c r="F699" i="3"/>
  <c r="F698" i="3" s="1"/>
  <c r="F697" i="3" s="1"/>
  <c r="F696" i="3" s="1"/>
  <c r="D176" i="1"/>
  <c r="D130" i="1"/>
  <c r="C113" i="1"/>
  <c r="E108" i="1"/>
  <c r="D126" i="1"/>
  <c r="G813" i="4"/>
  <c r="G812" i="4" s="1"/>
  <c r="G811" i="4" s="1"/>
  <c r="G1205" i="4"/>
  <c r="G1204" i="4" s="1"/>
  <c r="G1203" i="4" s="1"/>
  <c r="G752" i="5"/>
  <c r="G751" i="5" s="1"/>
  <c r="G750" i="5" s="1"/>
  <c r="G753" i="5" s="1"/>
  <c r="D114" i="1"/>
  <c r="G402" i="5"/>
  <c r="G401" i="5" s="1"/>
  <c r="G400" i="5" s="1"/>
  <c r="G192" i="5"/>
  <c r="G191" i="5" s="1"/>
  <c r="G190" i="5" s="1"/>
  <c r="G193" i="5" s="1"/>
  <c r="D187" i="1"/>
  <c r="D128" i="1"/>
  <c r="D100" i="1"/>
  <c r="F651" i="3"/>
  <c r="F650" i="3" s="1"/>
  <c r="F649" i="3" s="1"/>
  <c r="G28" i="4"/>
  <c r="G27" i="4" s="1"/>
  <c r="G26" i="4" s="1"/>
  <c r="G25" i="4" s="1"/>
  <c r="G24" i="4" s="1"/>
  <c r="G52" i="4"/>
  <c r="G51" i="4" s="1"/>
  <c r="G50" i="4" s="1"/>
  <c r="G49" i="4" s="1"/>
  <c r="D123" i="1"/>
  <c r="D121" i="1" s="1"/>
  <c r="G761" i="4"/>
  <c r="G760" i="4" s="1"/>
  <c r="C186" i="1"/>
  <c r="G809" i="4"/>
  <c r="G808" i="4" s="1"/>
  <c r="G807" i="4" s="1"/>
  <c r="G1349" i="4"/>
  <c r="G1347" i="4"/>
  <c r="G47" i="4"/>
  <c r="G46" i="4" s="1"/>
  <c r="F19" i="3"/>
  <c r="F18" i="3" s="1"/>
  <c r="F17" i="3" s="1"/>
  <c r="G555" i="5"/>
  <c r="G554" i="5" s="1"/>
  <c r="G561" i="5"/>
  <c r="G560" i="5" s="1"/>
  <c r="K532" i="5"/>
  <c r="G172" i="5"/>
  <c r="G173" i="5" s="1"/>
  <c r="G154" i="5"/>
  <c r="G153" i="5" s="1"/>
  <c r="G152" i="5" s="1"/>
  <c r="G151" i="5" s="1"/>
  <c r="G150" i="5" s="1"/>
  <c r="G138" i="5"/>
  <c r="G112" i="5"/>
  <c r="G111" i="5" s="1"/>
  <c r="G110" i="5" s="1"/>
  <c r="G104" i="5"/>
  <c r="G105" i="5" s="1"/>
  <c r="G97" i="5"/>
  <c r="G83" i="5"/>
  <c r="G84" i="5" s="1"/>
  <c r="G55" i="5"/>
  <c r="G54" i="5" s="1"/>
  <c r="F1069" i="3"/>
  <c r="F1068" i="3" s="1"/>
  <c r="F1067" i="3" s="1"/>
  <c r="F1066" i="3" s="1"/>
  <c r="F1063" i="3"/>
  <c r="F98" i="3"/>
  <c r="F97" i="3" s="1"/>
  <c r="G162" i="5"/>
  <c r="G163" i="5" s="1"/>
  <c r="C162" i="1"/>
  <c r="C154" i="1" s="1"/>
  <c r="C153" i="1" s="1"/>
  <c r="C111" i="1"/>
  <c r="C109" i="1"/>
  <c r="C107" i="1"/>
  <c r="C99" i="1"/>
  <c r="C93" i="1"/>
  <c r="C175" i="1"/>
  <c r="C55" i="1"/>
  <c r="C52" i="1"/>
  <c r="G103" i="4"/>
  <c r="G102" i="4" s="1"/>
  <c r="H115" i="1"/>
  <c r="G487" i="4"/>
  <c r="F383" i="3"/>
  <c r="G1130" i="4"/>
  <c r="G498" i="5"/>
  <c r="G497" i="5" s="1"/>
  <c r="G496" i="5" s="1"/>
  <c r="G495" i="5" s="1"/>
  <c r="G494" i="5" s="1"/>
  <c r="G493" i="5" s="1"/>
  <c r="G499" i="5" s="1"/>
  <c r="F1147" i="3"/>
  <c r="F1146" i="3" s="1"/>
  <c r="F1145" i="3" s="1"/>
  <c r="F1144" i="3" s="1"/>
  <c r="G990" i="4"/>
  <c r="G989" i="4" s="1"/>
  <c r="G988" i="4" s="1"/>
  <c r="G22" i="5"/>
  <c r="G21" i="5" s="1"/>
  <c r="F321" i="3"/>
  <c r="F320" i="3" s="1"/>
  <c r="G1100" i="4"/>
  <c r="G63" i="4"/>
  <c r="D172" i="1"/>
  <c r="E172" i="1" s="1"/>
  <c r="C10" i="1"/>
  <c r="G359" i="5"/>
  <c r="G358" i="5" s="1"/>
  <c r="G357" i="5" s="1"/>
  <c r="G356" i="5" s="1"/>
  <c r="G355" i="5" s="1"/>
  <c r="G354" i="5" s="1"/>
  <c r="G360" i="5" s="1"/>
  <c r="F715" i="3"/>
  <c r="F714" i="3" s="1"/>
  <c r="F713" i="3" s="1"/>
  <c r="F712" i="3" s="1"/>
  <c r="F64" i="3"/>
  <c r="F63" i="3"/>
  <c r="G825" i="4"/>
  <c r="G824" i="4" s="1"/>
  <c r="G823" i="4" s="1"/>
  <c r="D94" i="1" s="1"/>
  <c r="G632" i="4"/>
  <c r="G733" i="4"/>
  <c r="G732" i="4" s="1"/>
  <c r="C97" i="1"/>
  <c r="D192" i="1"/>
  <c r="E192" i="1" s="1"/>
  <c r="D170" i="1"/>
  <c r="D129" i="1"/>
  <c r="D125" i="1"/>
  <c r="D124" i="1"/>
  <c r="D120" i="1"/>
  <c r="D117" i="1"/>
  <c r="D194" i="1"/>
  <c r="E194" i="1" s="1"/>
  <c r="D174" i="1"/>
  <c r="C82" i="1"/>
  <c r="C81" i="1" s="1"/>
  <c r="G988" i="5"/>
  <c r="G987" i="5" s="1"/>
  <c r="G986" i="5" s="1"/>
  <c r="G989" i="5" s="1"/>
  <c r="F1202" i="3"/>
  <c r="F1201" i="3" s="1"/>
  <c r="F1210" i="3"/>
  <c r="F1209" i="3" s="1"/>
  <c r="F1208" i="3" s="1"/>
  <c r="F1207" i="3" s="1"/>
  <c r="F1206" i="3" s="1"/>
  <c r="G595" i="4"/>
  <c r="G594" i="4" s="1"/>
  <c r="G592" i="4" s="1"/>
  <c r="G586" i="4"/>
  <c r="G582" i="4"/>
  <c r="G584" i="4"/>
  <c r="G558" i="5"/>
  <c r="G559" i="5" s="1"/>
  <c r="F1200" i="3"/>
  <c r="F1199" i="3" s="1"/>
  <c r="F1198" i="3"/>
  <c r="F1197" i="3" s="1"/>
  <c r="F136" i="3"/>
  <c r="F135" i="3" s="1"/>
  <c r="F138" i="3"/>
  <c r="F137" i="3" s="1"/>
  <c r="G122" i="4"/>
  <c r="G124" i="4"/>
  <c r="G646" i="4"/>
  <c r="F163" i="30" s="1"/>
  <c r="F162" i="30" s="1"/>
  <c r="F161" i="30" s="1"/>
  <c r="F155" i="30" s="1"/>
  <c r="F143" i="30" s="1"/>
  <c r="C38" i="1"/>
  <c r="C36" i="1"/>
  <c r="C35" i="1" s="1"/>
  <c r="C30" i="1"/>
  <c r="C26" i="1"/>
  <c r="C66" i="1"/>
  <c r="F351" i="3"/>
  <c r="F350" i="3" s="1"/>
  <c r="F349" i="3" s="1"/>
  <c r="F348" i="3" s="1"/>
  <c r="G330" i="4"/>
  <c r="G329" i="4" s="1"/>
  <c r="G328" i="4" s="1"/>
  <c r="F571" i="3"/>
  <c r="F570" i="3" s="1"/>
  <c r="F569" i="3" s="1"/>
  <c r="F568" i="3" s="1"/>
  <c r="F567" i="3" s="1"/>
  <c r="G708" i="5"/>
  <c r="G707" i="5" s="1"/>
  <c r="G706" i="5" s="1"/>
  <c r="G705" i="5" s="1"/>
  <c r="G704" i="5" s="1"/>
  <c r="G703" i="5" s="1"/>
  <c r="G1319" i="4"/>
  <c r="G1318" i="4" s="1"/>
  <c r="G1317" i="4" s="1"/>
  <c r="G1316" i="4" s="1"/>
  <c r="G1068" i="5"/>
  <c r="G1067" i="5" s="1"/>
  <c r="G1066" i="5" s="1"/>
  <c r="G1065" i="5" s="1"/>
  <c r="G1064" i="5" s="1"/>
  <c r="F215" i="3"/>
  <c r="F214" i="3" s="1"/>
  <c r="F213" i="3" s="1"/>
  <c r="F206" i="3"/>
  <c r="F205" i="3" s="1"/>
  <c r="F204" i="3" s="1"/>
  <c r="G914" i="5"/>
  <c r="G915" i="5" s="1"/>
  <c r="G917" i="5"/>
  <c r="G916" i="5" s="1"/>
  <c r="G943" i="4"/>
  <c r="G942" i="4" s="1"/>
  <c r="G941" i="4" s="1"/>
  <c r="G940" i="4" s="1"/>
  <c r="G939" i="4" s="1"/>
  <c r="G938" i="4" s="1"/>
  <c r="F40" i="3"/>
  <c r="F39" i="3" s="1"/>
  <c r="F38" i="3" s="1"/>
  <c r="C181" i="1"/>
  <c r="C24" i="1"/>
  <c r="C23" i="1"/>
  <c r="E23" i="1" s="1"/>
  <c r="G28" i="6"/>
  <c r="G27" i="6" s="1"/>
  <c r="G26" i="6" s="1"/>
  <c r="G25" i="6" s="1"/>
  <c r="G24" i="6" s="1"/>
  <c r="G23" i="6" s="1"/>
  <c r="G21" i="6"/>
  <c r="G945" i="5"/>
  <c r="G946" i="5" s="1"/>
  <c r="G773" i="5"/>
  <c r="G745" i="5"/>
  <c r="G568" i="5"/>
  <c r="G569" i="5" s="1"/>
  <c r="G526" i="5"/>
  <c r="G525" i="5" s="1"/>
  <c r="G523" i="5"/>
  <c r="G522" i="5" s="1"/>
  <c r="G520" i="5"/>
  <c r="G519" i="5" s="1"/>
  <c r="G660" i="5"/>
  <c r="G661" i="5" s="1"/>
  <c r="G213" i="5"/>
  <c r="F1045" i="3"/>
  <c r="F1044" i="3" s="1"/>
  <c r="F1043" i="3" s="1"/>
  <c r="F1042" i="3" s="1"/>
  <c r="F1041" i="3" s="1"/>
  <c r="F1040" i="3" s="1"/>
  <c r="F1172" i="3"/>
  <c r="F1171" i="3" s="1"/>
  <c r="F1170" i="3" s="1"/>
  <c r="F1124" i="3"/>
  <c r="F1123" i="3" s="1"/>
  <c r="F1117" i="3"/>
  <c r="F1114" i="3"/>
  <c r="F1111" i="3"/>
  <c r="F1107" i="3"/>
  <c r="F1106" i="3" s="1"/>
  <c r="F1105" i="3" s="1"/>
  <c r="F1104" i="3" s="1"/>
  <c r="F1074" i="3"/>
  <c r="F1001" i="3"/>
  <c r="F1000" i="3" s="1"/>
  <c r="F999" i="3"/>
  <c r="F998" i="3" s="1"/>
  <c r="F953" i="3"/>
  <c r="F952" i="3" s="1"/>
  <c r="F951" i="3" s="1"/>
  <c r="F917" i="3"/>
  <c r="G551" i="32" s="1"/>
  <c r="G550" i="32" s="1"/>
  <c r="G545" i="32" s="1"/>
  <c r="G544" i="32" s="1"/>
  <c r="F908" i="3"/>
  <c r="F907" i="3" s="1"/>
  <c r="F906" i="3"/>
  <c r="F905" i="3" s="1"/>
  <c r="F825" i="3"/>
  <c r="F824" i="3" s="1"/>
  <c r="F816" i="3"/>
  <c r="G41" i="5" s="1"/>
  <c r="F806" i="3"/>
  <c r="F805" i="3" s="1"/>
  <c r="F804" i="3" s="1"/>
  <c r="F786" i="3"/>
  <c r="F785" i="3" s="1"/>
  <c r="F784" i="3" s="1"/>
  <c r="F783" i="3" s="1"/>
  <c r="F777" i="3"/>
  <c r="F776" i="3" s="1"/>
  <c r="F775" i="3" s="1"/>
  <c r="F770" i="3"/>
  <c r="F769" i="3" s="1"/>
  <c r="F768" i="3"/>
  <c r="F767" i="3" s="1"/>
  <c r="F766" i="3"/>
  <c r="F765" i="3" s="1"/>
  <c r="F894" i="3"/>
  <c r="F893" i="3" s="1"/>
  <c r="F892" i="3" s="1"/>
  <c r="F753" i="3"/>
  <c r="F752" i="3" s="1"/>
  <c r="F751" i="3" s="1"/>
  <c r="F750" i="3" s="1"/>
  <c r="F749" i="3"/>
  <c r="F748" i="3" s="1"/>
  <c r="F747" i="3" s="1"/>
  <c r="F695" i="3"/>
  <c r="F694" i="3" s="1"/>
  <c r="F693" i="3" s="1"/>
  <c r="F692" i="3" s="1"/>
  <c r="F680" i="3"/>
  <c r="F679" i="3" s="1"/>
  <c r="F678" i="3" s="1"/>
  <c r="F670" i="3"/>
  <c r="F669" i="3" s="1"/>
  <c r="F668" i="3" s="1"/>
  <c r="F657" i="3"/>
  <c r="F656" i="3" s="1"/>
  <c r="F655" i="3" s="1"/>
  <c r="F636" i="3"/>
  <c r="F635" i="3" s="1"/>
  <c r="F634" i="3" s="1"/>
  <c r="F633" i="3" s="1"/>
  <c r="F632" i="3" s="1"/>
  <c r="F606" i="3"/>
  <c r="F605" i="3" s="1"/>
  <c r="F604" i="3" s="1"/>
  <c r="F602" i="3"/>
  <c r="F601" i="3" s="1"/>
  <c r="F600" i="3" s="1"/>
  <c r="F599" i="3"/>
  <c r="F598" i="3" s="1"/>
  <c r="F597" i="3" s="1"/>
  <c r="F585" i="3"/>
  <c r="F584" i="3" s="1"/>
  <c r="F583" i="3" s="1"/>
  <c r="F582" i="3" s="1"/>
  <c r="F564" i="3"/>
  <c r="F563" i="3" s="1"/>
  <c r="F525" i="3"/>
  <c r="F524" i="3" s="1"/>
  <c r="F535" i="3"/>
  <c r="F534" i="3" s="1"/>
  <c r="F533" i="3" s="1"/>
  <c r="F488" i="3"/>
  <c r="G743" i="32" s="1"/>
  <c r="F491" i="3"/>
  <c r="F490" i="3" s="1"/>
  <c r="F489" i="3" s="1"/>
  <c r="F470" i="3"/>
  <c r="F469" i="3" s="1"/>
  <c r="F468" i="3" s="1"/>
  <c r="F466" i="3"/>
  <c r="F437" i="3"/>
  <c r="G826" i="32" s="1"/>
  <c r="F433" i="3"/>
  <c r="G892" i="5" s="1"/>
  <c r="G891" i="5" s="1"/>
  <c r="G890" i="5" s="1"/>
  <c r="G889" i="5" s="1"/>
  <c r="G888" i="5" s="1"/>
  <c r="G887" i="5" s="1"/>
  <c r="F406" i="3"/>
  <c r="F405" i="3" s="1"/>
  <c r="F404" i="3" s="1"/>
  <c r="F401" i="3"/>
  <c r="F400" i="3" s="1"/>
  <c r="F403" i="3"/>
  <c r="F402" i="3" s="1"/>
  <c r="F398" i="3"/>
  <c r="F397" i="3" s="1"/>
  <c r="F396" i="3" s="1"/>
  <c r="F393" i="3"/>
  <c r="F392" i="3" s="1"/>
  <c r="F395" i="3"/>
  <c r="F394" i="3" s="1"/>
  <c r="F386" i="3"/>
  <c r="F385" i="3" s="1"/>
  <c r="F388" i="3"/>
  <c r="F382" i="3"/>
  <c r="F380" i="3"/>
  <c r="F379" i="3" s="1"/>
  <c r="F347" i="3"/>
  <c r="F346" i="3" s="1"/>
  <c r="F345" i="3" s="1"/>
  <c r="F344" i="3" s="1"/>
  <c r="F339" i="3"/>
  <c r="F338" i="3" s="1"/>
  <c r="F337" i="3" s="1"/>
  <c r="F336" i="3" s="1"/>
  <c r="F356" i="3"/>
  <c r="F305" i="3"/>
  <c r="F272" i="3"/>
  <c r="F271" i="3" s="1"/>
  <c r="F270" i="3" s="1"/>
  <c r="F254" i="3"/>
  <c r="F253" i="3" s="1"/>
  <c r="F252" i="3" s="1"/>
  <c r="F251" i="3" s="1"/>
  <c r="F250" i="3" s="1"/>
  <c r="F249" i="3" s="1"/>
  <c r="F248" i="3" s="1"/>
  <c r="F218" i="3"/>
  <c r="F217" i="3" s="1"/>
  <c r="F216" i="3" s="1"/>
  <c r="F212" i="3"/>
  <c r="F211" i="3" s="1"/>
  <c r="F210" i="3" s="1"/>
  <c r="F247" i="3"/>
  <c r="F246" i="3" s="1"/>
  <c r="F245" i="3" s="1"/>
  <c r="F244" i="3" s="1"/>
  <c r="F243" i="3" s="1"/>
  <c r="F236" i="3"/>
  <c r="F235" i="3" s="1"/>
  <c r="F234" i="3" s="1"/>
  <c r="F233" i="3" s="1"/>
  <c r="F227" i="3"/>
  <c r="F226" i="3" s="1"/>
  <c r="F225" i="3" s="1"/>
  <c r="F224" i="3" s="1"/>
  <c r="F209" i="3"/>
  <c r="F208" i="3" s="1"/>
  <c r="F207" i="3" s="1"/>
  <c r="F94" i="3"/>
  <c r="G407" i="5" s="1"/>
  <c r="F103" i="3"/>
  <c r="G421" i="5" s="1"/>
  <c r="F116" i="3"/>
  <c r="F115" i="3" s="1"/>
  <c r="F114" i="3" s="1"/>
  <c r="F62" i="3"/>
  <c r="F61" i="3" s="1"/>
  <c r="F60" i="3" s="1"/>
  <c r="F904" i="3"/>
  <c r="F903" i="3" s="1"/>
  <c r="G1239" i="4"/>
  <c r="G1238" i="4" s="1"/>
  <c r="G1154" i="4"/>
  <c r="G1153" i="4" s="1"/>
  <c r="F363" i="3"/>
  <c r="F362" i="3" s="1"/>
  <c r="G1111" i="4"/>
  <c r="G244" i="4"/>
  <c r="G243" i="4" s="1"/>
  <c r="G242" i="4" s="1"/>
  <c r="G241" i="4" s="1"/>
  <c r="G107" i="4"/>
  <c r="G106" i="4" s="1"/>
  <c r="G105" i="4" s="1"/>
  <c r="G98" i="4"/>
  <c r="G94" i="4"/>
  <c r="G93" i="4" s="1"/>
  <c r="G92" i="4" s="1"/>
  <c r="G384" i="4"/>
  <c r="G383" i="4" s="1"/>
  <c r="G44" i="6"/>
  <c r="G43" i="6"/>
  <c r="G42" i="6"/>
  <c r="G41" i="6"/>
  <c r="G20" i="6"/>
  <c r="G1046" i="5"/>
  <c r="G1045" i="5" s="1"/>
  <c r="G1044" i="5" s="1"/>
  <c r="G1043" i="5" s="1"/>
  <c r="G1042" i="5" s="1"/>
  <c r="G966" i="5"/>
  <c r="G967" i="5" s="1"/>
  <c r="G962" i="5"/>
  <c r="G961" i="5" s="1"/>
  <c r="G960" i="5" s="1"/>
  <c r="G995" i="5"/>
  <c r="G994" i="5" s="1"/>
  <c r="G993" i="5" s="1"/>
  <c r="G992" i="5" s="1"/>
  <c r="G991" i="5" s="1"/>
  <c r="G990" i="5" s="1"/>
  <c r="G933" i="5"/>
  <c r="G932" i="5" s="1"/>
  <c r="G931" i="5" s="1"/>
  <c r="G929" i="5"/>
  <c r="G930" i="5" s="1"/>
  <c r="G925" i="5"/>
  <c r="G926" i="5" s="1"/>
  <c r="G921" i="5"/>
  <c r="G922" i="5" s="1"/>
  <c r="G784" i="5"/>
  <c r="G783" i="5" s="1"/>
  <c r="G743" i="5"/>
  <c r="G713" i="5"/>
  <c r="G712" i="5" s="1"/>
  <c r="G711" i="5" s="1"/>
  <c r="G710" i="5" s="1"/>
  <c r="G463" i="5"/>
  <c r="G462" i="5" s="1"/>
  <c r="G461" i="5" s="1"/>
  <c r="G452" i="5"/>
  <c r="G448" i="5"/>
  <c r="G447" i="5" s="1"/>
  <c r="G446" i="5" s="1"/>
  <c r="G429" i="5"/>
  <c r="G428" i="5" s="1"/>
  <c r="G427" i="5" s="1"/>
  <c r="G426" i="5" s="1"/>
  <c r="G425" i="5" s="1"/>
  <c r="G242" i="5"/>
  <c r="G241" i="5" s="1"/>
  <c r="G240" i="5" s="1"/>
  <c r="G228" i="5"/>
  <c r="G229" i="5" s="1"/>
  <c r="G1357" i="4"/>
  <c r="G1356" i="4" s="1"/>
  <c r="G1354" i="4"/>
  <c r="G1297" i="4"/>
  <c r="G1312" i="4"/>
  <c r="G1283" i="4"/>
  <c r="G1282" i="4" s="1"/>
  <c r="G1273" i="4"/>
  <c r="G1236" i="4"/>
  <c r="G1235" i="4" s="1"/>
  <c r="G1229" i="4"/>
  <c r="G1228" i="4" s="1"/>
  <c r="G1221" i="4"/>
  <c r="G1220" i="4" s="1"/>
  <c r="G1216" i="4"/>
  <c r="F434" i="30" s="1"/>
  <c r="G759" i="5"/>
  <c r="G1185" i="4"/>
  <c r="G1184" i="4" s="1"/>
  <c r="G1183" i="4" s="1"/>
  <c r="G1181" i="4"/>
  <c r="G1180" i="4" s="1"/>
  <c r="G1179" i="4" s="1"/>
  <c r="G1151" i="4"/>
  <c r="G1149" i="4"/>
  <c r="G1146" i="4"/>
  <c r="G1143" i="4"/>
  <c r="G1141" i="4"/>
  <c r="G1134" i="4"/>
  <c r="G1074" i="4"/>
  <c r="G1073" i="4" s="1"/>
  <c r="G1072" i="4" s="1"/>
  <c r="G1071" i="4" s="1"/>
  <c r="G1055" i="4"/>
  <c r="G1054" i="4" s="1"/>
  <c r="F153" i="3"/>
  <c r="F152" i="3" s="1"/>
  <c r="G1017" i="4"/>
  <c r="G1016" i="4" s="1"/>
  <c r="G967" i="4"/>
  <c r="G966" i="4" s="1"/>
  <c r="G960" i="4"/>
  <c r="G957" i="4"/>
  <c r="G956" i="4" s="1"/>
  <c r="G444" i="5"/>
  <c r="G443" i="5" s="1"/>
  <c r="G442" i="5" s="1"/>
  <c r="G437" i="5"/>
  <c r="G935" i="4"/>
  <c r="G934" i="4" s="1"/>
  <c r="G876" i="4"/>
  <c r="G875" i="4" s="1"/>
  <c r="G863" i="4"/>
  <c r="G862" i="4" s="1"/>
  <c r="G861" i="4" s="1"/>
  <c r="G859" i="4"/>
  <c r="G858" i="4" s="1"/>
  <c r="G838" i="4"/>
  <c r="G837" i="4" s="1"/>
  <c r="G836" i="4" s="1"/>
  <c r="G835" i="4" s="1"/>
  <c r="G805" i="4"/>
  <c r="G804" i="4" s="1"/>
  <c r="G803" i="4" s="1"/>
  <c r="G277" i="5"/>
  <c r="G780" i="4"/>
  <c r="G779" i="4" s="1"/>
  <c r="G767" i="4"/>
  <c r="G766" i="4" s="1"/>
  <c r="D166" i="1" s="1"/>
  <c r="G746" i="4"/>
  <c r="G745" i="4" s="1"/>
  <c r="G744" i="4" s="1"/>
  <c r="G743" i="4" s="1"/>
  <c r="G713" i="4"/>
  <c r="G712" i="4" s="1"/>
  <c r="G709" i="4"/>
  <c r="G708" i="4" s="1"/>
  <c r="G699" i="4"/>
  <c r="G698" i="4" s="1"/>
  <c r="G680" i="4"/>
  <c r="G679" i="4" s="1"/>
  <c r="G678" i="4" s="1"/>
  <c r="G677" i="4" s="1"/>
  <c r="G645" i="4"/>
  <c r="G644" i="4" s="1"/>
  <c r="G621" i="4"/>
  <c r="G575" i="4"/>
  <c r="G574" i="4" s="1"/>
  <c r="G573" i="4" s="1"/>
  <c r="G148" i="5"/>
  <c r="G147" i="5" s="1"/>
  <c r="G146" i="5" s="1"/>
  <c r="G145" i="5" s="1"/>
  <c r="G144" i="5" s="1"/>
  <c r="G537" i="4"/>
  <c r="G513" i="4"/>
  <c r="G511" i="4"/>
  <c r="G465" i="4"/>
  <c r="G464" i="4" s="1"/>
  <c r="G461" i="4"/>
  <c r="G460" i="4" s="1"/>
  <c r="G459" i="4" s="1"/>
  <c r="G52" i="5"/>
  <c r="G51" i="5" s="1"/>
  <c r="G50" i="5" s="1"/>
  <c r="G374" i="4"/>
  <c r="G373" i="4" s="1"/>
  <c r="G348" i="4"/>
  <c r="G347" i="4" s="1"/>
  <c r="G326" i="4"/>
  <c r="G325" i="4" s="1"/>
  <c r="G324" i="4" s="1"/>
  <c r="G318" i="4"/>
  <c r="G317" i="4" s="1"/>
  <c r="G316" i="4" s="1"/>
  <c r="G310" i="4"/>
  <c r="G309" i="4" s="1"/>
  <c r="G305" i="4"/>
  <c r="G304" i="4" s="1"/>
  <c r="G302" i="4"/>
  <c r="G301" i="4" s="1"/>
  <c r="G299" i="4"/>
  <c r="G296" i="4"/>
  <c r="G295" i="4" s="1"/>
  <c r="G293" i="4"/>
  <c r="G292" i="4" s="1"/>
  <c r="G257" i="4"/>
  <c r="G256" i="4" s="1"/>
  <c r="G255" i="4" s="1"/>
  <c r="G254" i="4" s="1"/>
  <c r="G251" i="4"/>
  <c r="G250" i="4" s="1"/>
  <c r="G249" i="4" s="1"/>
  <c r="G248" i="4" s="1"/>
  <c r="G247" i="4" s="1"/>
  <c r="G231" i="4"/>
  <c r="G230" i="4" s="1"/>
  <c r="G229" i="4" s="1"/>
  <c r="G227" i="4"/>
  <c r="G226" i="4" s="1"/>
  <c r="G225" i="4" s="1"/>
  <c r="G209" i="4"/>
  <c r="G208" i="4" s="1"/>
  <c r="G177" i="4"/>
  <c r="G176" i="4" s="1"/>
  <c r="G175" i="4" s="1"/>
  <c r="G174" i="4" s="1"/>
  <c r="G173" i="4" s="1"/>
  <c r="G172" i="4" s="1"/>
  <c r="G170" i="4"/>
  <c r="G169" i="4" s="1"/>
  <c r="G168" i="4" s="1"/>
  <c r="G160" i="4"/>
  <c r="G159" i="4" s="1"/>
  <c r="G155" i="4"/>
  <c r="G154" i="4" s="1"/>
  <c r="G153" i="4" s="1"/>
  <c r="G116" i="4"/>
  <c r="G115" i="4" s="1"/>
  <c r="G58" i="4"/>
  <c r="G22" i="4"/>
  <c r="G21" i="4" s="1"/>
  <c r="G19" i="4"/>
  <c r="G15" i="4"/>
  <c r="F1122" i="3"/>
  <c r="F1116" i="3"/>
  <c r="F1115" i="3" s="1"/>
  <c r="F1113" i="3"/>
  <c r="F1112" i="3" s="1"/>
  <c r="F1072" i="3"/>
  <c r="F1071" i="3"/>
  <c r="F481" i="3"/>
  <c r="F480" i="3" s="1"/>
  <c r="F479" i="3" s="1"/>
  <c r="F478" i="3"/>
  <c r="F477" i="3" s="1"/>
  <c r="F113" i="3"/>
  <c r="F112" i="3" s="1"/>
  <c r="F37" i="3"/>
  <c r="F36" i="3" s="1"/>
  <c r="C207" i="1"/>
  <c r="C191" i="1"/>
  <c r="C190" i="1" s="1"/>
  <c r="C183" i="1" s="1"/>
  <c r="C77" i="1"/>
  <c r="C64" i="1"/>
  <c r="C62" i="1"/>
  <c r="C47" i="1"/>
  <c r="C45" i="1"/>
  <c r="C41" i="1"/>
  <c r="C40" i="1" s="1"/>
  <c r="C33" i="1"/>
  <c r="C28" i="1"/>
  <c r="C22" i="1" s="1"/>
  <c r="D127" i="1"/>
  <c r="G742" i="5"/>
  <c r="G741" i="5" s="1"/>
  <c r="G740" i="5" s="1"/>
  <c r="G575" i="5"/>
  <c r="F421" i="3"/>
  <c r="G798" i="32" s="1"/>
  <c r="G797" i="32" s="1"/>
  <c r="G796" i="32" s="1"/>
  <c r="G795" i="32" s="1"/>
  <c r="G794" i="32" s="1"/>
  <c r="G793" i="32" s="1"/>
  <c r="G298" i="4"/>
  <c r="G298" i="5"/>
  <c r="F891" i="3"/>
  <c r="F890" i="3" s="1"/>
  <c r="F155" i="3"/>
  <c r="F154" i="3" s="1"/>
  <c r="G634" i="5"/>
  <c r="G635" i="5" s="1"/>
  <c r="G623" i="4"/>
  <c r="F1131" i="3"/>
  <c r="G474" i="5" s="1"/>
  <c r="G473" i="5" s="1"/>
  <c r="G472" i="5" s="1"/>
  <c r="G471" i="5" s="1"/>
  <c r="G470" i="5" s="1"/>
  <c r="G469" i="5" s="1"/>
  <c r="F158" i="3"/>
  <c r="G627" i="4"/>
  <c r="F615" i="3"/>
  <c r="F614" i="3" s="1"/>
  <c r="F613" i="3" s="1"/>
  <c r="F331" i="3"/>
  <c r="F330" i="3" s="1"/>
  <c r="G630" i="5"/>
  <c r="G631" i="5" s="1"/>
  <c r="F232" i="3"/>
  <c r="F231" i="3" s="1"/>
  <c r="F230" i="3" s="1"/>
  <c r="F691" i="3"/>
  <c r="F690" i="3" s="1"/>
  <c r="F689" i="3" s="1"/>
  <c r="F688" i="3" s="1"/>
  <c r="G959" i="4"/>
  <c r="F325" i="3"/>
  <c r="F324" i="3" s="1"/>
  <c r="G1145" i="4"/>
  <c r="G19" i="6"/>
  <c r="G18" i="6"/>
  <c r="G17" i="6"/>
  <c r="C51" i="1"/>
  <c r="E51" i="1" s="1"/>
  <c r="C206" i="1"/>
  <c r="C76" i="1"/>
  <c r="C59" i="1"/>
  <c r="C58" i="1"/>
  <c r="C61" i="1"/>
  <c r="C44" i="1"/>
  <c r="C18" i="1"/>
  <c r="G1037" i="4"/>
  <c r="G1033" i="4"/>
  <c r="G1001" i="4"/>
  <c r="F1158" i="3"/>
  <c r="F1157" i="3" s="1"/>
  <c r="G982" i="5"/>
  <c r="F1152" i="3"/>
  <c r="F1151" i="3" s="1"/>
  <c r="F1150" i="3" s="1"/>
  <c r="F1149" i="3" s="1"/>
  <c r="F1148" i="3" s="1"/>
  <c r="F1085" i="3"/>
  <c r="F1084" i="3" s="1"/>
  <c r="F1033" i="3"/>
  <c r="F1032" i="3" s="1"/>
  <c r="F1031" i="3" s="1"/>
  <c r="F1030" i="3" s="1"/>
  <c r="F1029" i="3" s="1"/>
  <c r="F1028" i="3" s="1"/>
  <c r="F1087" i="3"/>
  <c r="F1086" i="3" s="1"/>
  <c r="G361" i="4"/>
  <c r="G360" i="4" s="1"/>
  <c r="F790" i="3"/>
  <c r="F789" i="3" s="1"/>
  <c r="F788" i="3" s="1"/>
  <c r="F782" i="3"/>
  <c r="F781" i="3" s="1"/>
  <c r="G364" i="4"/>
  <c r="G363" i="4" s="1"/>
  <c r="F823" i="3"/>
  <c r="F822" i="3" s="1"/>
  <c r="G882" i="4"/>
  <c r="G881" i="4" s="1"/>
  <c r="G880" i="4" s="1"/>
  <c r="F838" i="3"/>
  <c r="F837" i="3" s="1"/>
  <c r="F836" i="3" s="1"/>
  <c r="F835" i="3" s="1"/>
  <c r="G930" i="4"/>
  <c r="F889" i="3"/>
  <c r="F888" i="3" s="1"/>
  <c r="G696" i="4"/>
  <c r="G695" i="4" s="1"/>
  <c r="F589" i="3"/>
  <c r="G268" i="5"/>
  <c r="G267" i="5" s="1"/>
  <c r="G266" i="5" s="1"/>
  <c r="F612" i="3"/>
  <c r="F611" i="3" s="1"/>
  <c r="F610" i="3" s="1"/>
  <c r="G234" i="5"/>
  <c r="G235" i="5" s="1"/>
  <c r="F664" i="3"/>
  <c r="F663" i="3" s="1"/>
  <c r="F662" i="3" s="1"/>
  <c r="G856" i="4"/>
  <c r="F746" i="3"/>
  <c r="F745" i="3" s="1"/>
  <c r="F744" i="3" s="1"/>
  <c r="G220" i="5"/>
  <c r="G219" i="5" s="1"/>
  <c r="G218" i="5" s="1"/>
  <c r="F596" i="3"/>
  <c r="F595" i="3" s="1"/>
  <c r="F594" i="3" s="1"/>
  <c r="G924" i="4"/>
  <c r="F883" i="3"/>
  <c r="F882" i="3" s="1"/>
  <c r="G764" i="4"/>
  <c r="F654" i="3"/>
  <c r="G246" i="5"/>
  <c r="G247" i="5" s="1"/>
  <c r="F673" i="3"/>
  <c r="F672" i="3" s="1"/>
  <c r="F671" i="3" s="1"/>
  <c r="F850" i="3"/>
  <c r="F849" i="3" s="1"/>
  <c r="F559" i="3"/>
  <c r="G286" i="5"/>
  <c r="G287" i="5" s="1"/>
  <c r="F757" i="3"/>
  <c r="F756" i="3" s="1"/>
  <c r="F755" i="3" s="1"/>
  <c r="F754" i="3" s="1"/>
  <c r="G892" i="4"/>
  <c r="G928" i="4"/>
  <c r="F887" i="3"/>
  <c r="F886" i="3" s="1"/>
  <c r="G204" i="4"/>
  <c r="G640" i="4"/>
  <c r="F162" i="3"/>
  <c r="F161" i="3" s="1"/>
  <c r="F411" i="3"/>
  <c r="F410" i="3" s="1"/>
  <c r="F409" i="3" s="1"/>
  <c r="F408" i="3" s="1"/>
  <c r="F464" i="3"/>
  <c r="F463" i="3" s="1"/>
  <c r="F275" i="3"/>
  <c r="F274" i="3" s="1"/>
  <c r="F273" i="3" s="1"/>
  <c r="G1113" i="4"/>
  <c r="F365" i="3"/>
  <c r="F364" i="3" s="1"/>
  <c r="G663" i="4"/>
  <c r="G662" i="4" s="1"/>
  <c r="G1119" i="4"/>
  <c r="G1118" i="4" s="1"/>
  <c r="F371" i="3"/>
  <c r="F370" i="3" s="1"/>
  <c r="F369" i="3" s="1"/>
  <c r="F415" i="3"/>
  <c r="F414" i="3" s="1"/>
  <c r="G239" i="4"/>
  <c r="F333" i="3"/>
  <c r="F332" i="3" s="1"/>
  <c r="F311" i="3"/>
  <c r="F310" i="3" s="1"/>
  <c r="F309" i="3" s="1"/>
  <c r="F308" i="3" s="1"/>
  <c r="F307" i="3" s="1"/>
  <c r="F306" i="3" s="1"/>
  <c r="F425" i="3"/>
  <c r="F424" i="3" s="1"/>
  <c r="F423" i="3" s="1"/>
  <c r="F422" i="3" s="1"/>
  <c r="F191" i="3"/>
  <c r="F190" i="3" s="1"/>
  <c r="F189" i="3" s="1"/>
  <c r="G77" i="4"/>
  <c r="F68" i="3"/>
  <c r="F67" i="3" s="1"/>
  <c r="G79" i="4"/>
  <c r="G76" i="4" s="1"/>
  <c r="D182" i="1" s="1"/>
  <c r="F70" i="3"/>
  <c r="F69" i="3" s="1"/>
  <c r="G1058" i="4"/>
  <c r="G1173" i="4"/>
  <c r="G1172" i="4" s="1"/>
  <c r="G1171" i="4" s="1"/>
  <c r="G1218" i="4"/>
  <c r="G1217" i="4" s="1"/>
  <c r="G341" i="4"/>
  <c r="G545" i="4"/>
  <c r="G544" i="4" s="1"/>
  <c r="G543" i="4" s="1"/>
  <c r="G542" i="4" s="1"/>
  <c r="G541" i="4" s="1"/>
  <c r="G867" i="4"/>
  <c r="G866" i="4" s="1"/>
  <c r="G865" i="4" s="1"/>
  <c r="G719" i="4"/>
  <c r="G718" i="4" s="1"/>
  <c r="G237" i="4"/>
  <c r="G565" i="4"/>
  <c r="G774" i="4"/>
  <c r="G1090" i="4"/>
  <c r="G1089" i="4" s="1"/>
  <c r="G1088" i="4" s="1"/>
  <c r="G1087" i="4" s="1"/>
  <c r="G1086" i="4" s="1"/>
  <c r="G337" i="4"/>
  <c r="G1163" i="4"/>
  <c r="G263" i="4"/>
  <c r="G282" i="4"/>
  <c r="G281" i="4" s="1"/>
  <c r="G353" i="4"/>
  <c r="G569" i="4"/>
  <c r="G932" i="4"/>
  <c r="G1060" i="4"/>
  <c r="F1110" i="3"/>
  <c r="F1109" i="3" s="1"/>
  <c r="G198" i="4"/>
  <c r="G197" i="4" s="1"/>
  <c r="G535" i="4"/>
  <c r="G783" i="4"/>
  <c r="G782" i="4" s="1"/>
  <c r="G950" i="4"/>
  <c r="G949" i="4" s="1"/>
  <c r="G948" i="4" s="1"/>
  <c r="G954" i="4"/>
  <c r="G953" i="4" s="1"/>
  <c r="G1209" i="4"/>
  <c r="G393" i="4"/>
  <c r="G390" i="4" s="1"/>
  <c r="G224" i="5"/>
  <c r="G223" i="5" s="1"/>
  <c r="G222" i="5" s="1"/>
  <c r="G706" i="4"/>
  <c r="G705" i="4" s="1"/>
  <c r="G272" i="5"/>
  <c r="G1128" i="4"/>
  <c r="G1038" i="5"/>
  <c r="G1037" i="5" s="1"/>
  <c r="G1036" i="5" s="1"/>
  <c r="G1035" i="5" s="1"/>
  <c r="G1034" i="5" s="1"/>
  <c r="G656" i="4"/>
  <c r="G655" i="4" s="1"/>
  <c r="G654" i="4" s="1"/>
  <c r="G653" i="4" s="1"/>
  <c r="G1035" i="4"/>
  <c r="G1116" i="4"/>
  <c r="G1115" i="4" s="1"/>
  <c r="G542" i="5"/>
  <c r="G543" i="5" s="1"/>
  <c r="G418" i="4"/>
  <c r="G558" i="4"/>
  <c r="G557" i="4" s="1"/>
  <c r="G556" i="4" s="1"/>
  <c r="G555" i="4" s="1"/>
  <c r="G692" i="4"/>
  <c r="G691" i="4" s="1"/>
  <c r="G690" i="4" s="1"/>
  <c r="G722" i="4"/>
  <c r="G721" i="4" s="1"/>
  <c r="G28" i="5"/>
  <c r="G29" i="5" s="1"/>
  <c r="G777" i="4"/>
  <c r="G776" i="4" s="1"/>
  <c r="G801" i="4"/>
  <c r="G800" i="4" s="1"/>
  <c r="G799" i="4" s="1"/>
  <c r="G429" i="4"/>
  <c r="G974" i="4"/>
  <c r="G973" i="4" s="1"/>
  <c r="G972" i="4" s="1"/>
  <c r="G1159" i="4"/>
  <c r="G1158" i="4" s="1"/>
  <c r="G1157" i="4" s="1"/>
  <c r="F461" i="3"/>
  <c r="F460" i="3" s="1"/>
  <c r="F459" i="3" s="1"/>
  <c r="G139" i="4"/>
  <c r="G136" i="4" s="1"/>
  <c r="G391" i="4"/>
  <c r="G545" i="5"/>
  <c r="G420" i="4"/>
  <c r="G60" i="4"/>
  <c r="G195" i="4"/>
  <c r="G194" i="4" s="1"/>
  <c r="G339" i="4"/>
  <c r="G416" i="4"/>
  <c r="G666" i="4"/>
  <c r="G665" i="4" s="1"/>
  <c r="G257" i="5"/>
  <c r="G481" i="5"/>
  <c r="G482" i="5" s="1"/>
  <c r="G703" i="4"/>
  <c r="G702" i="4" s="1"/>
  <c r="G790" i="4"/>
  <c r="G789" i="4" s="1"/>
  <c r="G995" i="4"/>
  <c r="G994" i="4" s="1"/>
  <c r="G993" i="4" s="1"/>
  <c r="G992" i="4" s="1"/>
  <c r="G1104" i="4"/>
  <c r="G1214" i="4"/>
  <c r="D18" i="2"/>
  <c r="E44" i="1"/>
  <c r="C43" i="1"/>
  <c r="D43" i="1" s="1"/>
  <c r="D119" i="1"/>
  <c r="G773" i="4"/>
  <c r="G1208" i="4"/>
  <c r="G763" i="4"/>
  <c r="F1070" i="3"/>
  <c r="C17" i="1"/>
  <c r="E17" i="1" s="1"/>
  <c r="C205" i="1"/>
  <c r="E57" i="31"/>
  <c r="E53" i="31"/>
  <c r="D19" i="18"/>
  <c r="D11" i="18"/>
  <c r="D10" i="18"/>
  <c r="C19" i="18"/>
  <c r="C11" i="18"/>
  <c r="C10" i="18"/>
  <c r="C13" i="18"/>
  <c r="C14" i="18"/>
  <c r="C11" i="7"/>
  <c r="D13" i="18"/>
  <c r="D14" i="18"/>
  <c r="C12" i="18"/>
  <c r="D12" i="18"/>
  <c r="D9" i="18"/>
  <c r="C9" i="18"/>
  <c r="H778" i="32" l="1"/>
  <c r="H32" i="32"/>
  <c r="H31" i="32"/>
  <c r="E9" i="1"/>
  <c r="E35" i="1"/>
  <c r="C32" i="1"/>
  <c r="C9" i="1" s="1"/>
  <c r="C212" i="1" s="1"/>
  <c r="C152" i="1"/>
  <c r="I152" i="1" s="1"/>
  <c r="G763" i="5"/>
  <c r="G764" i="5" s="1"/>
  <c r="G75" i="5"/>
  <c r="G74" i="5" s="1"/>
  <c r="G73" i="5" s="1"/>
  <c r="G72" i="5" s="1"/>
  <c r="G71" i="5" s="1"/>
  <c r="G70" i="5" s="1"/>
  <c r="G69" i="5" s="1"/>
  <c r="G76" i="5" s="1"/>
  <c r="F473" i="3"/>
  <c r="F472" i="3" s="1"/>
  <c r="F471" i="3" s="1"/>
  <c r="G1226" i="4"/>
  <c r="G1223" i="4" s="1"/>
  <c r="F452" i="3"/>
  <c r="F451" i="3" s="1"/>
  <c r="F450" i="3" s="1"/>
  <c r="F449" i="3" s="1"/>
  <c r="F448" i="3" s="1"/>
  <c r="G603" i="5"/>
  <c r="G604" i="5" s="1"/>
  <c r="F445" i="30"/>
  <c r="F444" i="30" s="1"/>
  <c r="F441" i="30" s="1"/>
  <c r="G217" i="4"/>
  <c r="G216" i="4" s="1"/>
  <c r="G518" i="4"/>
  <c r="F73" i="3"/>
  <c r="F72" i="3" s="1"/>
  <c r="F71" i="3" s="1"/>
  <c r="F667" i="3"/>
  <c r="F666" i="3" s="1"/>
  <c r="F665" i="3" s="1"/>
  <c r="F1127" i="3"/>
  <c r="F1126" i="3" s="1"/>
  <c r="F557" i="3"/>
  <c r="F556" i="3" s="1"/>
  <c r="G921" i="4"/>
  <c r="G920" i="4" s="1"/>
  <c r="G262" i="4"/>
  <c r="G187" i="4"/>
  <c r="G435" i="4"/>
  <c r="G434" i="4" s="1"/>
  <c r="F476" i="3"/>
  <c r="F475" i="3" s="1"/>
  <c r="F474" i="3" s="1"/>
  <c r="G84" i="4"/>
  <c r="G1299" i="4"/>
  <c r="F647" i="3"/>
  <c r="G121" i="4"/>
  <c r="G120" i="4" s="1"/>
  <c r="G119" i="4" s="1"/>
  <c r="G118" i="4" s="1"/>
  <c r="G167" i="5"/>
  <c r="G168" i="5" s="1"/>
  <c r="G141" i="5"/>
  <c r="G142" i="5" s="1"/>
  <c r="G42" i="4"/>
  <c r="F58" i="3"/>
  <c r="F57" i="3" s="1"/>
  <c r="F56" i="3" s="1"/>
  <c r="F920" i="3"/>
  <c r="F919" i="3" s="1"/>
  <c r="F918" i="3" s="1"/>
  <c r="G1047" i="4"/>
  <c r="G1102" i="4"/>
  <c r="F646" i="3"/>
  <c r="F645" i="3" s="1"/>
  <c r="F644" i="3" s="1"/>
  <c r="F1191" i="3"/>
  <c r="F1190" i="3" s="1"/>
  <c r="G781" i="5"/>
  <c r="G782" i="5" s="1"/>
  <c r="F1189" i="3"/>
  <c r="F1188" i="3" s="1"/>
  <c r="G494" i="4"/>
  <c r="G493" i="4" s="1"/>
  <c r="F990" i="3"/>
  <c r="F989" i="3" s="1"/>
  <c r="F988" i="3" s="1"/>
  <c r="G571" i="4"/>
  <c r="G568" i="4"/>
  <c r="G567" i="4" s="1"/>
  <c r="G379" i="5"/>
  <c r="G378" i="5" s="1"/>
  <c r="G377" i="5" s="1"/>
  <c r="G376" i="5" s="1"/>
  <c r="G375" i="5" s="1"/>
  <c r="G505" i="5"/>
  <c r="G504" i="5" s="1"/>
  <c r="G503" i="5" s="1"/>
  <c r="G502" i="5" s="1"/>
  <c r="G501" i="5" s="1"/>
  <c r="G500" i="5" s="1"/>
  <c r="F942" i="3"/>
  <c r="F941" i="3" s="1"/>
  <c r="G911" i="4"/>
  <c r="G910" i="4" s="1"/>
  <c r="F964" i="3"/>
  <c r="F963" i="3" s="1"/>
  <c r="F962" i="3" s="1"/>
  <c r="F961" i="3" s="1"/>
  <c r="G1084" i="5"/>
  <c r="G1083" i="5" s="1"/>
  <c r="G1082" i="5" s="1"/>
  <c r="G1081" i="5" s="1"/>
  <c r="G1080" i="5" s="1"/>
  <c r="G1079" i="5" s="1"/>
  <c r="G1078" i="5" s="1"/>
  <c r="G1280" i="4"/>
  <c r="G1279" i="4" s="1"/>
  <c r="G891" i="4"/>
  <c r="G351" i="4"/>
  <c r="G350" i="4" s="1"/>
  <c r="G346" i="4" s="1"/>
  <c r="F1065" i="3"/>
  <c r="F1064" i="3" s="1"/>
  <c r="G642" i="5"/>
  <c r="G641" i="5" s="1"/>
  <c r="F109" i="3"/>
  <c r="F108" i="3" s="1"/>
  <c r="G25" i="5"/>
  <c r="G24" i="5" s="1"/>
  <c r="F529" i="3"/>
  <c r="F528" i="3" s="1"/>
  <c r="F523" i="3" s="1"/>
  <c r="F522" i="3" s="1"/>
  <c r="F521" i="3" s="1"/>
  <c r="G1000" i="4"/>
  <c r="G502" i="4"/>
  <c r="G501" i="4" s="1"/>
  <c r="G726" i="4"/>
  <c r="G725" i="4" s="1"/>
  <c r="G724" i="4" s="1"/>
  <c r="G1311" i="4"/>
  <c r="F780" i="3"/>
  <c r="F779" i="3" s="1"/>
  <c r="F778" i="3" s="1"/>
  <c r="F774" i="3" s="1"/>
  <c r="F619" i="3"/>
  <c r="F618" i="3" s="1"/>
  <c r="F617" i="3" s="1"/>
  <c r="F616" i="3" s="1"/>
  <c r="G263" i="5"/>
  <c r="G262" i="5" s="1"/>
  <c r="G1211" i="4"/>
  <c r="G847" i="4"/>
  <c r="G1140" i="4"/>
  <c r="G1044" i="4"/>
  <c r="G1043" i="4" s="1"/>
  <c r="G1042" i="4" s="1"/>
  <c r="G415" i="4"/>
  <c r="G701" i="4"/>
  <c r="F413" i="3"/>
  <c r="F412" i="3" s="1"/>
  <c r="G140" i="5"/>
  <c r="F1125" i="3"/>
  <c r="G1162" i="4"/>
  <c r="G1161" i="4" s="1"/>
  <c r="G322" i="4"/>
  <c r="G321" i="4" s="1"/>
  <c r="G320" i="4" s="1"/>
  <c r="G315" i="4" s="1"/>
  <c r="G314" i="4" s="1"/>
  <c r="G313" i="4" s="1"/>
  <c r="G312" i="4" s="1"/>
  <c r="G840" i="5"/>
  <c r="G841" i="5" s="1"/>
  <c r="F862" i="3"/>
  <c r="F861" i="3" s="1"/>
  <c r="F860" i="3" s="1"/>
  <c r="G1234" i="4"/>
  <c r="G970" i="4"/>
  <c r="G969" i="4" s="1"/>
  <c r="G965" i="4" s="1"/>
  <c r="G467" i="5"/>
  <c r="G468" i="5" s="1"/>
  <c r="F739" i="3"/>
  <c r="G1148" i="4"/>
  <c r="G1139" i="4" s="1"/>
  <c r="G899" i="5"/>
  <c r="G898" i="5" s="1"/>
  <c r="G897" i="5" s="1"/>
  <c r="G896" i="5" s="1"/>
  <c r="G895" i="5" s="1"/>
  <c r="G894" i="5" s="1"/>
  <c r="G90" i="5"/>
  <c r="G89" i="5" s="1"/>
  <c r="G88" i="5" s="1"/>
  <c r="G87" i="5" s="1"/>
  <c r="G86" i="5" s="1"/>
  <c r="G85" i="5" s="1"/>
  <c r="G87" i="4"/>
  <c r="G86" i="4" s="1"/>
  <c r="G352" i="5"/>
  <c r="G351" i="5" s="1"/>
  <c r="G350" i="5" s="1"/>
  <c r="G349" i="5" s="1"/>
  <c r="G348" i="5" s="1"/>
  <c r="G347" i="5" s="1"/>
  <c r="F185" i="3"/>
  <c r="F184" i="3" s="1"/>
  <c r="F183" i="3" s="1"/>
  <c r="G111" i="4"/>
  <c r="G110" i="4" s="1"/>
  <c r="G109" i="4" s="1"/>
  <c r="F511" i="30"/>
  <c r="F508" i="30" s="1"/>
  <c r="F505" i="30" s="1"/>
  <c r="F561" i="3"/>
  <c r="F558" i="3" s="1"/>
  <c r="F555" i="3" s="1"/>
  <c r="F484" i="3"/>
  <c r="F483" i="3" s="1"/>
  <c r="F482" i="3" s="1"/>
  <c r="G792" i="5"/>
  <c r="G791" i="5" s="1"/>
  <c r="G790" i="5" s="1"/>
  <c r="G1232" i="4"/>
  <c r="G1231" i="4" s="1"/>
  <c r="F623" i="3"/>
  <c r="F622" i="3" s="1"/>
  <c r="F621" i="3" s="1"/>
  <c r="F620" i="3" s="1"/>
  <c r="G305" i="5"/>
  <c r="G304" i="5" s="1"/>
  <c r="G303" i="5" s="1"/>
  <c r="G302" i="5" s="1"/>
  <c r="G301" i="5" s="1"/>
  <c r="G300" i="5" s="1"/>
  <c r="G693" i="5"/>
  <c r="G692" i="5" s="1"/>
  <c r="G489" i="4"/>
  <c r="G486" i="4" s="1"/>
  <c r="G485" i="4" s="1"/>
  <c r="F977" i="3"/>
  <c r="F976" i="3" s="1"/>
  <c r="G119" i="32"/>
  <c r="G120" i="32" s="1"/>
  <c r="F946" i="30"/>
  <c r="F945" i="30" s="1"/>
  <c r="F944" i="30" s="1"/>
  <c r="F943" i="30" s="1"/>
  <c r="G128" i="5"/>
  <c r="G129" i="5" s="1"/>
  <c r="G563" i="4"/>
  <c r="F1057" i="3"/>
  <c r="F1056" i="3" s="1"/>
  <c r="G772" i="4"/>
  <c r="F661" i="3" s="1"/>
  <c r="F1011" i="3"/>
  <c r="F1010" i="3" s="1"/>
  <c r="F1009" i="3" s="1"/>
  <c r="G1307" i="4"/>
  <c r="G1304" i="4" s="1"/>
  <c r="H110" i="32"/>
  <c r="H109" i="32" s="1"/>
  <c r="H112" i="32"/>
  <c r="H852" i="32"/>
  <c r="H851" i="32" s="1"/>
  <c r="H854" i="32"/>
  <c r="G1029" i="4"/>
  <c r="F1184" i="3"/>
  <c r="F1183" i="3" s="1"/>
  <c r="F1178" i="3" s="1"/>
  <c r="F1174" i="3" s="1"/>
  <c r="F1173" i="3" s="1"/>
  <c r="F261" i="3"/>
  <c r="F260" i="3" s="1"/>
  <c r="F259" i="3" s="1"/>
  <c r="G184" i="4"/>
  <c r="G183" i="4" s="1"/>
  <c r="G957" i="5"/>
  <c r="G956" i="5" s="1"/>
  <c r="G955" i="5" s="1"/>
  <c r="G954" i="5" s="1"/>
  <c r="G843" i="4"/>
  <c r="G842" i="4" s="1"/>
  <c r="G841" i="4" s="1"/>
  <c r="G840" i="4" s="1"/>
  <c r="G1260" i="4"/>
  <c r="G1259" i="4" s="1"/>
  <c r="G1258" i="4" s="1"/>
  <c r="D112" i="1"/>
  <c r="F512" i="3"/>
  <c r="F511" i="3" s="1"/>
  <c r="F510" i="3" s="1"/>
  <c r="F509" i="3" s="1"/>
  <c r="G116" i="5"/>
  <c r="G115" i="5" s="1"/>
  <c r="G114" i="5" s="1"/>
  <c r="G285" i="4"/>
  <c r="G284" i="4" s="1"/>
  <c r="F945" i="3"/>
  <c r="F944" i="3" s="1"/>
  <c r="F943" i="3" s="1"/>
  <c r="D165" i="1"/>
  <c r="G646" i="5"/>
  <c r="G647" i="5" s="1"/>
  <c r="G457" i="4"/>
  <c r="G456" i="4" s="1"/>
  <c r="G151" i="4"/>
  <c r="G150" i="4" s="1"/>
  <c r="G149" i="4" s="1"/>
  <c r="G148" i="4" s="1"/>
  <c r="F223" i="3"/>
  <c r="F222" i="3" s="1"/>
  <c r="F221" i="3" s="1"/>
  <c r="F220" i="3" s="1"/>
  <c r="F219" i="3" s="1"/>
  <c r="G941" i="5"/>
  <c r="G940" i="5" s="1"/>
  <c r="G939" i="5" s="1"/>
  <c r="F578" i="3"/>
  <c r="F577" i="3" s="1"/>
  <c r="F576" i="3" s="1"/>
  <c r="F575" i="3" s="1"/>
  <c r="F574" i="3" s="1"/>
  <c r="F573" i="3" s="1"/>
  <c r="F572" i="3" s="1"/>
  <c r="G661" i="4"/>
  <c r="G660" i="4" s="1"/>
  <c r="G659" i="4" s="1"/>
  <c r="G658" i="4" s="1"/>
  <c r="F51" i="30"/>
  <c r="F50" i="30" s="1"/>
  <c r="F45" i="30" s="1"/>
  <c r="F44" i="30" s="1"/>
  <c r="F43" i="30" s="1"/>
  <c r="F42" i="30" s="1"/>
  <c r="D14" i="31" s="1"/>
  <c r="F50" i="3"/>
  <c r="F49" i="3" s="1"/>
  <c r="G62" i="4"/>
  <c r="F915" i="3"/>
  <c r="G581" i="5" s="1"/>
  <c r="G580" i="5" s="1"/>
  <c r="G579" i="5" s="1"/>
  <c r="G427" i="4"/>
  <c r="G37" i="5"/>
  <c r="G38" i="5" s="1"/>
  <c r="F813" i="3"/>
  <c r="F812" i="3" s="1"/>
  <c r="F811" i="3" s="1"/>
  <c r="F683" i="3"/>
  <c r="F682" i="3" s="1"/>
  <c r="F681" i="3" s="1"/>
  <c r="F677" i="3" s="1"/>
  <c r="G793" i="4"/>
  <c r="G792" i="4" s="1"/>
  <c r="G788" i="4" s="1"/>
  <c r="G442" i="4"/>
  <c r="G441" i="4" s="1"/>
  <c r="F930" i="3"/>
  <c r="F929" i="3" s="1"/>
  <c r="F928" i="3" s="1"/>
  <c r="D162" i="1"/>
  <c r="G261" i="4"/>
  <c r="G260" i="4" s="1"/>
  <c r="G259" i="4" s="1"/>
  <c r="G922" i="32"/>
  <c r="G923" i="32" s="1"/>
  <c r="G1002" i="5"/>
  <c r="G1003" i="5" s="1"/>
  <c r="F265" i="30"/>
  <c r="F264" i="30" s="1"/>
  <c r="F263" i="30" s="1"/>
  <c r="F262" i="30" s="1"/>
  <c r="F243" i="30" s="1"/>
  <c r="D22" i="31" s="1"/>
  <c r="D21" i="31" s="1"/>
  <c r="F288" i="3"/>
  <c r="F287" i="3" s="1"/>
  <c r="F286" i="3" s="1"/>
  <c r="G214" i="4"/>
  <c r="G213" i="4" s="1"/>
  <c r="G212" i="4" s="1"/>
  <c r="G211" i="4" s="1"/>
  <c r="F279" i="3"/>
  <c r="F278" i="3" s="1"/>
  <c r="F277" i="3" s="1"/>
  <c r="G202" i="4"/>
  <c r="F429" i="3"/>
  <c r="G885" i="5" s="1"/>
  <c r="G886" i="5" s="1"/>
  <c r="G1177" i="4"/>
  <c r="G1176" i="4" s="1"/>
  <c r="G1175" i="4" s="1"/>
  <c r="G1156" i="4" s="1"/>
  <c r="G67" i="4"/>
  <c r="G66" i="4" s="1"/>
  <c r="F55" i="3"/>
  <c r="F54" i="3" s="1"/>
  <c r="F53" i="3" s="1"/>
  <c r="G1077" i="5"/>
  <c r="G1076" i="5" s="1"/>
  <c r="G1075" i="5" s="1"/>
  <c r="G1074" i="5" s="1"/>
  <c r="G1073" i="5" s="1"/>
  <c r="G1072" i="5" s="1"/>
  <c r="G1071" i="5" s="1"/>
  <c r="G1070" i="5" s="1"/>
  <c r="G982" i="32"/>
  <c r="F446" i="3"/>
  <c r="F445" i="3" s="1"/>
  <c r="F444" i="3" s="1"/>
  <c r="F443" i="3" s="1"/>
  <c r="F442" i="3" s="1"/>
  <c r="G135" i="4"/>
  <c r="G381" i="4"/>
  <c r="G380" i="4" s="1"/>
  <c r="G379" i="4" s="1"/>
  <c r="G426" i="4"/>
  <c r="G425" i="4" s="1"/>
  <c r="G539" i="4"/>
  <c r="G534" i="4" s="1"/>
  <c r="G530" i="4" s="1"/>
  <c r="G525" i="4" s="1"/>
  <c r="G336" i="4"/>
  <c r="G335" i="4" s="1"/>
  <c r="G952" i="4"/>
  <c r="G562" i="4"/>
  <c r="G561" i="4" s="1"/>
  <c r="G560" i="4" s="1"/>
  <c r="G554" i="4" s="1"/>
  <c r="G553" i="4" s="1"/>
  <c r="G552" i="4" s="1"/>
  <c r="G855" i="4"/>
  <c r="G209" i="5"/>
  <c r="G208" i="5" s="1"/>
  <c r="G207" i="5" s="1"/>
  <c r="G927" i="4"/>
  <c r="G926" i="4" s="1"/>
  <c r="G730" i="4"/>
  <c r="G729" i="4" s="1"/>
  <c r="G728" i="4" s="1"/>
  <c r="D118" i="1" s="1"/>
  <c r="D193" i="1"/>
  <c r="E193" i="1" s="1"/>
  <c r="G452" i="4"/>
  <c r="G451" i="4" s="1"/>
  <c r="F940" i="3"/>
  <c r="G640" i="5" s="1"/>
  <c r="G639" i="5" s="1"/>
  <c r="D173" i="1"/>
  <c r="G81" i="4"/>
  <c r="D167" i="1" s="1"/>
  <c r="E167" i="1" s="1"/>
  <c r="D110" i="1"/>
  <c r="G690" i="5"/>
  <c r="G689" i="5" s="1"/>
  <c r="F975" i="3"/>
  <c r="F974" i="3" s="1"/>
  <c r="F1163" i="3"/>
  <c r="F1162" i="3" s="1"/>
  <c r="F1161" i="3" s="1"/>
  <c r="G1008" i="4"/>
  <c r="G623" i="5"/>
  <c r="G624" i="5" s="1"/>
  <c r="F1205" i="3"/>
  <c r="F1204" i="3" s="1"/>
  <c r="F1203" i="3" s="1"/>
  <c r="G590" i="4"/>
  <c r="G589" i="4" s="1"/>
  <c r="G588" i="4" s="1"/>
  <c r="G14" i="4"/>
  <c r="G13" i="4" s="1"/>
  <c r="G12" i="4" s="1"/>
  <c r="G11" i="4" s="1"/>
  <c r="G10" i="4" s="1"/>
  <c r="G9" i="4" s="1"/>
  <c r="G291" i="4"/>
  <c r="G290" i="4" s="1"/>
  <c r="G631" i="4"/>
  <c r="G630" i="4" s="1"/>
  <c r="D168" i="1" s="1"/>
  <c r="G1099" i="4"/>
  <c r="G1098" i="4" s="1"/>
  <c r="G193" i="4"/>
  <c r="F738" i="3"/>
  <c r="F737" i="3" s="1"/>
  <c r="F736" i="3" s="1"/>
  <c r="G1110" i="4"/>
  <c r="G1109" i="4" s="1"/>
  <c r="G1108" i="4" s="1"/>
  <c r="G1107" i="4" s="1"/>
  <c r="G952" i="5"/>
  <c r="G951" i="5" s="1"/>
  <c r="G950" i="5" s="1"/>
  <c r="G949" i="5" s="1"/>
  <c r="F641" i="3"/>
  <c r="F640" i="3" s="1"/>
  <c r="F639" i="3" s="1"/>
  <c r="F638" i="3" s="1"/>
  <c r="F637" i="3" s="1"/>
  <c r="G610" i="4"/>
  <c r="G609" i="4" s="1"/>
  <c r="F180" i="3"/>
  <c r="F179" i="3" s="1"/>
  <c r="F178" i="3" s="1"/>
  <c r="G45" i="5"/>
  <c r="G46" i="5" s="1"/>
  <c r="G581" i="4"/>
  <c r="G580" i="4" s="1"/>
  <c r="G236" i="4"/>
  <c r="G879" i="4"/>
  <c r="G878" i="4" s="1"/>
  <c r="G1032" i="4"/>
  <c r="G1031" i="4" s="1"/>
  <c r="G653" i="5"/>
  <c r="G654" i="5" s="1"/>
  <c r="D108" i="1"/>
  <c r="G871" i="4"/>
  <c r="G870" i="4" s="1"/>
  <c r="G869" i="4" s="1"/>
  <c r="G602" i="4"/>
  <c r="G132" i="4"/>
  <c r="G129" i="4" s="1"/>
  <c r="G128" i="4" s="1"/>
  <c r="H632" i="32"/>
  <c r="H631" i="32" s="1"/>
  <c r="H923" i="32"/>
  <c r="G850" i="32"/>
  <c r="G718" i="32"/>
  <c r="G1041" i="5"/>
  <c r="G1040" i="5"/>
  <c r="G1047" i="5" s="1"/>
  <c r="F93" i="3"/>
  <c r="H386" i="32"/>
  <c r="H385" i="32" s="1"/>
  <c r="G1059" i="5"/>
  <c r="G1058" i="5" s="1"/>
  <c r="G1057" i="5" s="1"/>
  <c r="G1056" i="5" s="1"/>
  <c r="G1055" i="5" s="1"/>
  <c r="G1054" i="5" s="1"/>
  <c r="C86" i="1"/>
  <c r="C80" i="1" s="1"/>
  <c r="C79" i="1" s="1"/>
  <c r="D86" i="1"/>
  <c r="G221" i="5"/>
  <c r="G171" i="5"/>
  <c r="G170" i="5" s="1"/>
  <c r="G169" i="5" s="1"/>
  <c r="G659" i="5"/>
  <c r="G658" i="5" s="1"/>
  <c r="G657" i="5" s="1"/>
  <c r="G656" i="5" s="1"/>
  <c r="G16" i="5"/>
  <c r="F979" i="3"/>
  <c r="F978" i="3" s="1"/>
  <c r="G269" i="5"/>
  <c r="F950" i="30"/>
  <c r="F949" i="30" s="1"/>
  <c r="G285" i="5"/>
  <c r="G284" i="5" s="1"/>
  <c r="G283" i="5" s="1"/>
  <c r="F89" i="3"/>
  <c r="F88" i="3" s="1"/>
  <c r="F87" i="3" s="1"/>
  <c r="H435" i="32"/>
  <c r="H434" i="32" s="1"/>
  <c r="H433" i="32" s="1"/>
  <c r="H432" i="32" s="1"/>
  <c r="H431" i="32" s="1"/>
  <c r="F28" i="30"/>
  <c r="F27" i="30" s="1"/>
  <c r="F26" i="30" s="1"/>
  <c r="D13" i="31" s="1"/>
  <c r="F372" i="30"/>
  <c r="G233" i="5"/>
  <c r="G232" i="5" s="1"/>
  <c r="G464" i="5"/>
  <c r="G355" i="30"/>
  <c r="G352" i="30" s="1"/>
  <c r="G351" i="30" s="1"/>
  <c r="F1156" i="3"/>
  <c r="G924" i="5"/>
  <c r="G923" i="5" s="1"/>
  <c r="G602" i="5"/>
  <c r="G601" i="5" s="1"/>
  <c r="G600" i="5" s="1"/>
  <c r="G599" i="5" s="1"/>
  <c r="G435" i="32"/>
  <c r="G434" i="32" s="1"/>
  <c r="G433" i="32" s="1"/>
  <c r="G432" i="32" s="1"/>
  <c r="G431" i="32" s="1"/>
  <c r="H625" i="32"/>
  <c r="H624" i="32" s="1"/>
  <c r="H623" i="32" s="1"/>
  <c r="H622" i="32" s="1"/>
  <c r="H621" i="32" s="1"/>
  <c r="G224" i="32"/>
  <c r="G223" i="32" s="1"/>
  <c r="G324" i="32"/>
  <c r="G323" i="32" s="1"/>
  <c r="G322" i="32" s="1"/>
  <c r="G784" i="30"/>
  <c r="G783" i="30" s="1"/>
  <c r="G765" i="30" s="1"/>
  <c r="E38" i="31" s="1"/>
  <c r="F834" i="3"/>
  <c r="G971" i="5"/>
  <c r="G970" i="5" s="1"/>
  <c r="H210" i="32"/>
  <c r="H209" i="32" s="1"/>
  <c r="H208" i="32" s="1"/>
  <c r="H207" i="32" s="1"/>
  <c r="H206" i="32" s="1"/>
  <c r="F784" i="30"/>
  <c r="F783" i="30" s="1"/>
  <c r="F765" i="30" s="1"/>
  <c r="D38" i="31" s="1"/>
  <c r="G243" i="5"/>
  <c r="G778" i="5"/>
  <c r="L982" i="30"/>
  <c r="G96" i="32"/>
  <c r="F66" i="3"/>
  <c r="G846" i="32"/>
  <c r="F846" i="3"/>
  <c r="G227" i="5"/>
  <c r="G226" i="5" s="1"/>
  <c r="G217" i="5" s="1"/>
  <c r="G216" i="5" s="1"/>
  <c r="G449" i="5"/>
  <c r="G934" i="5"/>
  <c r="F102" i="3"/>
  <c r="F101" i="3" s="1"/>
  <c r="F100" i="3" s="1"/>
  <c r="F1002" i="30"/>
  <c r="G280" i="5"/>
  <c r="G279" i="5" s="1"/>
  <c r="G893" i="5"/>
  <c r="F432" i="3"/>
  <c r="F431" i="3" s="1"/>
  <c r="F430" i="3" s="1"/>
  <c r="F795" i="3"/>
  <c r="G852" i="32"/>
  <c r="G851" i="32" s="1"/>
  <c r="G831" i="32" s="1"/>
  <c r="G830" i="32" s="1"/>
  <c r="G829" i="32" s="1"/>
  <c r="G828" i="32" s="1"/>
  <c r="G428" i="32"/>
  <c r="G427" i="32" s="1"/>
  <c r="G374" i="5"/>
  <c r="G785" i="5"/>
  <c r="G799" i="5"/>
  <c r="G800" i="5" s="1"/>
  <c r="G541" i="5"/>
  <c r="F420" i="3"/>
  <c r="F419" i="3" s="1"/>
  <c r="F418" i="3" s="1"/>
  <c r="G799" i="32"/>
  <c r="G584" i="5"/>
  <c r="G583" i="5" s="1"/>
  <c r="H483" i="32"/>
  <c r="H482" i="32" s="1"/>
  <c r="G263" i="32"/>
  <c r="G262" i="32" s="1"/>
  <c r="G261" i="32" s="1"/>
  <c r="G247" i="32" s="1"/>
  <c r="G246" i="32" s="1"/>
  <c r="G87" i="32"/>
  <c r="G86" i="32" s="1"/>
  <c r="G85" i="32" s="1"/>
  <c r="G84" i="32" s="1"/>
  <c r="G83" i="32" s="1"/>
  <c r="G68" i="32" s="1"/>
  <c r="F355" i="30"/>
  <c r="F352" i="30" s="1"/>
  <c r="F351" i="30" s="1"/>
  <c r="G262" i="30"/>
  <c r="G261" i="30" s="1"/>
  <c r="G372" i="30"/>
  <c r="G1031" i="5"/>
  <c r="F387" i="3"/>
  <c r="F384" i="3" s="1"/>
  <c r="G1346" i="4"/>
  <c r="G23" i="5"/>
  <c r="G639" i="4"/>
  <c r="G638" i="4" s="1"/>
  <c r="G57" i="4"/>
  <c r="G56" i="4" s="1"/>
  <c r="G235" i="4"/>
  <c r="G234" i="4" s="1"/>
  <c r="G233" i="4" s="1"/>
  <c r="D161" i="1"/>
  <c r="E161" i="1" s="1"/>
  <c r="F16" i="3"/>
  <c r="F15" i="3" s="1"/>
  <c r="F12" i="3" s="1"/>
  <c r="F11" i="3" s="1"/>
  <c r="F10" i="3" s="1"/>
  <c r="F9" i="3" s="1"/>
  <c r="D11" i="2" s="1"/>
  <c r="G41" i="4"/>
  <c r="G40" i="4" s="1"/>
  <c r="G39" i="4" s="1"/>
  <c r="G38" i="4" s="1"/>
  <c r="G1070" i="4"/>
  <c r="G1069" i="4" s="1"/>
  <c r="G234" i="32"/>
  <c r="G232" i="32"/>
  <c r="G231" i="32" s="1"/>
  <c r="G1077" i="4"/>
  <c r="G1076" i="4" s="1"/>
  <c r="G812" i="32"/>
  <c r="G813" i="32" s="1"/>
  <c r="G976" i="5"/>
  <c r="G977" i="5" s="1"/>
  <c r="F993" i="3"/>
  <c r="F992" i="3" s="1"/>
  <c r="F991" i="3" s="1"/>
  <c r="F987" i="3" s="1"/>
  <c r="F986" i="3" s="1"/>
  <c r="F1008" i="3"/>
  <c r="F1007" i="3" s="1"/>
  <c r="F1004" i="3" s="1"/>
  <c r="G520" i="4"/>
  <c r="G517" i="4" s="1"/>
  <c r="G15" i="32"/>
  <c r="G16" i="32" s="1"/>
  <c r="F291" i="30"/>
  <c r="F290" i="30" s="1"/>
  <c r="F289" i="30" s="1"/>
  <c r="F288" i="30" s="1"/>
  <c r="F287" i="30" s="1"/>
  <c r="F286" i="30" s="1"/>
  <c r="D26" i="31" s="1"/>
  <c r="F317" i="3"/>
  <c r="F316" i="3" s="1"/>
  <c r="F315" i="3" s="1"/>
  <c r="F314" i="3" s="1"/>
  <c r="G1096" i="4"/>
  <c r="G1095" i="4" s="1"/>
  <c r="G1094" i="4" s="1"/>
  <c r="F956" i="3"/>
  <c r="F955" i="3" s="1"/>
  <c r="F954" i="3" s="1"/>
  <c r="F950" i="3" s="1"/>
  <c r="G664" i="5"/>
  <c r="G663" i="5" s="1"/>
  <c r="G662" i="5" s="1"/>
  <c r="G468" i="4"/>
  <c r="G467" i="4" s="1"/>
  <c r="G685" i="5"/>
  <c r="F971" i="3"/>
  <c r="F970" i="3" s="1"/>
  <c r="F969" i="3" s="1"/>
  <c r="F965" i="3" s="1"/>
  <c r="G483" i="4"/>
  <c r="G482" i="4" s="1"/>
  <c r="G478" i="4" s="1"/>
  <c r="F1196" i="3"/>
  <c r="G1127" i="4"/>
  <c r="F467" i="3"/>
  <c r="F465" i="3" s="1"/>
  <c r="F462" i="3" s="1"/>
  <c r="G1277" i="4"/>
  <c r="G420" i="5"/>
  <c r="G419" i="5" s="1"/>
  <c r="G418" i="5" s="1"/>
  <c r="G417" i="5" s="1"/>
  <c r="G416" i="5" s="1"/>
  <c r="G422" i="5"/>
  <c r="G96" i="5"/>
  <c r="G95" i="5" s="1"/>
  <c r="G94" i="5" s="1"/>
  <c r="G93" i="5" s="1"/>
  <c r="G92" i="5" s="1"/>
  <c r="G98" i="5"/>
  <c r="F164" i="3"/>
  <c r="F163" i="3" s="1"/>
  <c r="F160" i="3" s="1"/>
  <c r="G483" i="32"/>
  <c r="G482" i="32" s="1"/>
  <c r="F601" i="30"/>
  <c r="F583" i="30" s="1"/>
  <c r="F582" i="30" s="1"/>
  <c r="D35" i="31" s="1"/>
  <c r="H753" i="32"/>
  <c r="H752" i="32" s="1"/>
  <c r="H751" i="32" s="1"/>
  <c r="H750" i="32" s="1"/>
  <c r="H749" i="32" s="1"/>
  <c r="H755" i="32"/>
  <c r="H846" i="32"/>
  <c r="H844" i="32"/>
  <c r="H843" i="32" s="1"/>
  <c r="G896" i="4"/>
  <c r="G890" i="4" s="1"/>
  <c r="G889" i="4" s="1"/>
  <c r="G1014" i="4"/>
  <c r="G505" i="4"/>
  <c r="G504" i="4" s="1"/>
  <c r="G500" i="4" s="1"/>
  <c r="G499" i="4" s="1"/>
  <c r="G678" i="5"/>
  <c r="G679" i="5" s="1"/>
  <c r="F870" i="3"/>
  <c r="F869" i="3" s="1"/>
  <c r="F868" i="3" s="1"/>
  <c r="F864" i="3" s="1"/>
  <c r="G914" i="4"/>
  <c r="G913" i="4" s="1"/>
  <c r="G909" i="4" s="1"/>
  <c r="F35" i="3"/>
  <c r="F34" i="3" s="1"/>
  <c r="F33" i="3" s="1"/>
  <c r="G1352" i="4"/>
  <c r="G1351" i="4" s="1"/>
  <c r="G34" i="33"/>
  <c r="G131" i="5"/>
  <c r="F1059" i="3"/>
  <c r="F1058" i="3" s="1"/>
  <c r="G189" i="4"/>
  <c r="F266" i="3"/>
  <c r="F265" i="3" s="1"/>
  <c r="F262" i="3" s="1"/>
  <c r="G206" i="4"/>
  <c r="F283" i="3"/>
  <c r="F282" i="3" s="1"/>
  <c r="G573" i="5"/>
  <c r="G571" i="5"/>
  <c r="H541" i="32"/>
  <c r="H537" i="32" s="1"/>
  <c r="H533" i="32" s="1"/>
  <c r="H532" i="32" s="1"/>
  <c r="H531" i="32" s="1"/>
  <c r="H530" i="32" s="1"/>
  <c r="H543" i="32"/>
  <c r="G400" i="4"/>
  <c r="G399" i="4" s="1"/>
  <c r="G398" i="4" s="1"/>
  <c r="G67" i="5"/>
  <c r="G65" i="5" s="1"/>
  <c r="G64" i="5" s="1"/>
  <c r="F832" i="3"/>
  <c r="F831" i="3" s="1"/>
  <c r="F830" i="3" s="1"/>
  <c r="F829" i="3" s="1"/>
  <c r="F52" i="3"/>
  <c r="F51" i="3" s="1"/>
  <c r="G625" i="4"/>
  <c r="G620" i="4" s="1"/>
  <c r="G619" i="4" s="1"/>
  <c r="G120" i="5"/>
  <c r="G287" i="4"/>
  <c r="F197" i="3"/>
  <c r="F196" i="3" s="1"/>
  <c r="F195" i="3" s="1"/>
  <c r="F188" i="3" s="1"/>
  <c r="F187" i="3" s="1"/>
  <c r="F186" i="3" s="1"/>
  <c r="F1083" i="3"/>
  <c r="F1082" i="3" s="1"/>
  <c r="F1081" i="3" s="1"/>
  <c r="F1080" i="3" s="1"/>
  <c r="G224" i="4"/>
  <c r="G307" i="4"/>
  <c r="G308" i="4"/>
  <c r="G200" i="5"/>
  <c r="G199" i="5" s="1"/>
  <c r="G198" i="5" s="1"/>
  <c r="G29" i="32"/>
  <c r="G27" i="32"/>
  <c r="G20" i="32" s="1"/>
  <c r="G19" i="32" s="1"/>
  <c r="G18" i="32" s="1"/>
  <c r="G17" i="32" s="1"/>
  <c r="G422" i="32"/>
  <c r="G420" i="32"/>
  <c r="G419" i="32" s="1"/>
  <c r="H925" i="32"/>
  <c r="H924" i="32" s="1"/>
  <c r="H919" i="32" s="1"/>
  <c r="H918" i="32" s="1"/>
  <c r="H917" i="32" s="1"/>
  <c r="H855" i="32" s="1"/>
  <c r="H927" i="32"/>
  <c r="G53" i="5"/>
  <c r="G27" i="5"/>
  <c r="G480" i="5"/>
  <c r="G633" i="5"/>
  <c r="G632" i="5" s="1"/>
  <c r="G167" i="4"/>
  <c r="G576" i="5"/>
  <c r="G574" i="5"/>
  <c r="G1275" i="4"/>
  <c r="G1339" i="4"/>
  <c r="G1338" i="4" s="1"/>
  <c r="G1337" i="4" s="1"/>
  <c r="G1336" i="4" s="1"/>
  <c r="G1335" i="4" s="1"/>
  <c r="G1334" i="4" s="1"/>
  <c r="G1328" i="4" s="1"/>
  <c r="G453" i="5"/>
  <c r="G451" i="5"/>
  <c r="G450" i="5" s="1"/>
  <c r="F968" i="30"/>
  <c r="F967" i="30" s="1"/>
  <c r="F966" i="30" s="1"/>
  <c r="L928" i="30" s="1"/>
  <c r="F1078" i="3"/>
  <c r="F1077" i="3" s="1"/>
  <c r="F1076" i="3" s="1"/>
  <c r="F1075" i="3" s="1"/>
  <c r="D45" i="31" s="1"/>
  <c r="G672" i="4"/>
  <c r="G671" i="4" s="1"/>
  <c r="G670" i="4" s="1"/>
  <c r="G669" i="4" s="1"/>
  <c r="G668" i="4" s="1"/>
  <c r="D169" i="1" s="1"/>
  <c r="H517" i="32"/>
  <c r="H499" i="32"/>
  <c r="H498" i="32" s="1"/>
  <c r="H620" i="32"/>
  <c r="H618" i="32"/>
  <c r="H617" i="32" s="1"/>
  <c r="G1136" i="4"/>
  <c r="G1133" i="4" s="1"/>
  <c r="G100" i="4"/>
  <c r="G97" i="4" s="1"/>
  <c r="G96" i="4" s="1"/>
  <c r="G91" i="4" s="1"/>
  <c r="F96" i="3"/>
  <c r="F553" i="3"/>
  <c r="F552" i="3" s="1"/>
  <c r="G1301" i="4"/>
  <c r="G1296" i="4" s="1"/>
  <c r="G1292" i="4" s="1"/>
  <c r="F828" i="3"/>
  <c r="F827" i="3" s="1"/>
  <c r="F826" i="3" s="1"/>
  <c r="G396" i="4"/>
  <c r="G395" i="4" s="1"/>
  <c r="G389" i="4" s="1"/>
  <c r="G715" i="4"/>
  <c r="F607" i="3" s="1"/>
  <c r="F603" i="3" s="1"/>
  <c r="F608" i="3"/>
  <c r="F1187" i="3"/>
  <c r="F1186" i="3" s="1"/>
  <c r="F1185" i="3" s="1"/>
  <c r="G463" i="4"/>
  <c r="G28" i="30"/>
  <c r="G27" i="30" s="1"/>
  <c r="G26" i="30" s="1"/>
  <c r="E13" i="31" s="1"/>
  <c r="F168" i="3"/>
  <c r="F165" i="3" s="1"/>
  <c r="G626" i="32"/>
  <c r="G627" i="32" s="1"/>
  <c r="F960" i="3"/>
  <c r="F959" i="3" s="1"/>
  <c r="F958" i="3" s="1"/>
  <c r="F957" i="3" s="1"/>
  <c r="G472" i="4"/>
  <c r="G471" i="4" s="1"/>
  <c r="G470" i="4" s="1"/>
  <c r="F860" i="30"/>
  <c r="F859" i="30" s="1"/>
  <c r="F858" i="30" s="1"/>
  <c r="F857" i="30" s="1"/>
  <c r="G927" i="32"/>
  <c r="G925" i="32"/>
  <c r="G924" i="32" s="1"/>
  <c r="G497" i="4"/>
  <c r="G496" i="4" s="1"/>
  <c r="G492" i="4" s="1"/>
  <c r="G491" i="4" s="1"/>
  <c r="G733" i="5"/>
  <c r="G732" i="5" s="1"/>
  <c r="G731" i="5" s="1"/>
  <c r="G1007" i="5"/>
  <c r="G1005" i="5"/>
  <c r="G1004" i="5" s="1"/>
  <c r="F933" i="3"/>
  <c r="F932" i="3" s="1"/>
  <c r="F931" i="3" s="1"/>
  <c r="G445" i="4"/>
  <c r="G444" i="4" s="1"/>
  <c r="F513" i="3"/>
  <c r="G536" i="30"/>
  <c r="G524" i="30" s="1"/>
  <c r="G523" i="30" s="1"/>
  <c r="E34" i="31" s="1"/>
  <c r="G695" i="30"/>
  <c r="G671" i="30" s="1"/>
  <c r="E36" i="31" s="1"/>
  <c r="G1027" i="4"/>
  <c r="G1024" i="4" s="1"/>
  <c r="G1020" i="4" s="1"/>
  <c r="G1262" i="4"/>
  <c r="G512" i="30"/>
  <c r="H693" i="32"/>
  <c r="H692" i="32" s="1"/>
  <c r="H691" i="32" s="1"/>
  <c r="H697" i="32"/>
  <c r="G587" i="5"/>
  <c r="G586" i="5" s="1"/>
  <c r="G589" i="5"/>
  <c r="G299" i="5"/>
  <c r="G297" i="5"/>
  <c r="G296" i="5" s="1"/>
  <c r="G295" i="5" s="1"/>
  <c r="G288" i="5" s="1"/>
  <c r="F134" i="3"/>
  <c r="F133" i="3" s="1"/>
  <c r="F132" i="3" s="1"/>
  <c r="F131" i="3" s="1"/>
  <c r="D16" i="31" s="1"/>
  <c r="G727" i="32"/>
  <c r="G723" i="32" s="1"/>
  <c r="G729" i="32"/>
  <c r="H87" i="32"/>
  <c r="H86" i="32" s="1"/>
  <c r="H85" i="32" s="1"/>
  <c r="H84" i="32" s="1"/>
  <c r="H83" i="32" s="1"/>
  <c r="G755" i="32"/>
  <c r="G753" i="32"/>
  <c r="G752" i="32" s="1"/>
  <c r="G751" i="32" s="1"/>
  <c r="G750" i="32" s="1"/>
  <c r="G749" i="32" s="1"/>
  <c r="H128" i="32"/>
  <c r="H127" i="32" s="1"/>
  <c r="H126" i="32" s="1"/>
  <c r="H125" i="32" s="1"/>
  <c r="H124" i="32" s="1"/>
  <c r="H113" i="32" s="1"/>
  <c r="H130" i="32"/>
  <c r="F879" i="3"/>
  <c r="F875" i="3" s="1"/>
  <c r="G805" i="32"/>
  <c r="G804" i="32" s="1"/>
  <c r="G803" i="32" s="1"/>
  <c r="G802" i="32" s="1"/>
  <c r="G801" i="32" s="1"/>
  <c r="G800" i="32" s="1"/>
  <c r="G878" i="5"/>
  <c r="G879" i="5" s="1"/>
  <c r="G791" i="32"/>
  <c r="G862" i="5"/>
  <c r="F885" i="3"/>
  <c r="F884" i="3" s="1"/>
  <c r="F653" i="3"/>
  <c r="F652" i="3" s="1"/>
  <c r="F648" i="3" s="1"/>
  <c r="G196" i="5"/>
  <c r="G195" i="5" s="1"/>
  <c r="G194" i="5" s="1"/>
  <c r="G430" i="5"/>
  <c r="F319" i="3"/>
  <c r="F318" i="3" s="1"/>
  <c r="F562" i="3"/>
  <c r="G735" i="5"/>
  <c r="G567" i="5"/>
  <c r="G137" i="5"/>
  <c r="G139" i="5"/>
  <c r="G672" i="5"/>
  <c r="G670" i="5"/>
  <c r="G669" i="5" s="1"/>
  <c r="G668" i="5" s="1"/>
  <c r="G667" i="5" s="1"/>
  <c r="G666" i="5" s="1"/>
  <c r="G1010" i="5"/>
  <c r="H416" i="32"/>
  <c r="H415" i="32" s="1"/>
  <c r="F695" i="30"/>
  <c r="F671" i="30" s="1"/>
  <c r="D36" i="31" s="1"/>
  <c r="G583" i="30"/>
  <c r="G582" i="30" s="1"/>
  <c r="E35" i="31" s="1"/>
  <c r="G371" i="4"/>
  <c r="G372" i="4"/>
  <c r="G42" i="5"/>
  <c r="G40" i="5"/>
  <c r="G39" i="5" s="1"/>
  <c r="G168" i="32"/>
  <c r="G160" i="32"/>
  <c r="G113" i="5"/>
  <c r="G225" i="5"/>
  <c r="F593" i="3"/>
  <c r="G271" i="5"/>
  <c r="G270" i="5" s="1"/>
  <c r="G273" i="5"/>
  <c r="G714" i="5"/>
  <c r="G776" i="32"/>
  <c r="G847" i="5"/>
  <c r="G846" i="5" s="1"/>
  <c r="G845" i="5" s="1"/>
  <c r="G844" i="5" s="1"/>
  <c r="G843" i="5" s="1"/>
  <c r="G842" i="5" s="1"/>
  <c r="G766" i="5"/>
  <c r="G710" i="32"/>
  <c r="G155" i="5"/>
  <c r="G334" i="5"/>
  <c r="G148" i="32"/>
  <c r="H716" i="32"/>
  <c r="H715" i="32" s="1"/>
  <c r="H331" i="32"/>
  <c r="H330" i="32" s="1"/>
  <c r="H329" i="32" s="1"/>
  <c r="H328" i="32" s="1"/>
  <c r="H327" i="32" s="1"/>
  <c r="G702" i="5"/>
  <c r="G700" i="5"/>
  <c r="G699" i="5" s="1"/>
  <c r="G698" i="5" s="1"/>
  <c r="G697" i="5" s="1"/>
  <c r="G216" i="32"/>
  <c r="G214" i="32"/>
  <c r="G213" i="32" s="1"/>
  <c r="H73" i="32"/>
  <c r="H72" i="32" s="1"/>
  <c r="H71" i="32" s="1"/>
  <c r="H70" i="32" s="1"/>
  <c r="H69" i="32" s="1"/>
  <c r="H75" i="32"/>
  <c r="H265" i="32"/>
  <c r="H263" i="32"/>
  <c r="H262" i="32" s="1"/>
  <c r="H261" i="32" s="1"/>
  <c r="H430" i="32"/>
  <c r="H428" i="32"/>
  <c r="H427" i="32" s="1"/>
  <c r="H848" i="32"/>
  <c r="H847" i="32" s="1"/>
  <c r="H850" i="32"/>
  <c r="G1002" i="30"/>
  <c r="G432" i="30"/>
  <c r="G429" i="30" s="1"/>
  <c r="G425" i="30" s="1"/>
  <c r="G420" i="30" s="1"/>
  <c r="F432" i="30"/>
  <c r="F429" i="30" s="1"/>
  <c r="F425" i="30" s="1"/>
  <c r="F420" i="30" s="1"/>
  <c r="F399" i="3"/>
  <c r="F364" i="30"/>
  <c r="G253" i="4"/>
  <c r="G544" i="5"/>
  <c r="G546" i="5"/>
  <c r="G237" i="5"/>
  <c r="G236" i="5" s="1"/>
  <c r="G239" i="5"/>
  <c r="F229" i="3"/>
  <c r="F228" i="3"/>
  <c r="G1063" i="5"/>
  <c r="G1062" i="5"/>
  <c r="G1069" i="5" s="1"/>
  <c r="G258" i="5"/>
  <c r="G256" i="5"/>
  <c r="G255" i="5" s="1"/>
  <c r="G254" i="5" s="1"/>
  <c r="G253" i="5" s="1"/>
  <c r="G252" i="5" s="1"/>
  <c r="H307" i="32"/>
  <c r="H303" i="32"/>
  <c r="H302" i="32" s="1"/>
  <c r="H301" i="32" s="1"/>
  <c r="G855" i="5"/>
  <c r="F269" i="3"/>
  <c r="G183" i="5"/>
  <c r="G184" i="5" s="1"/>
  <c r="F588" i="3"/>
  <c r="F587" i="3" s="1"/>
  <c r="F586" i="3" s="1"/>
  <c r="G983" i="5"/>
  <c r="G981" i="5"/>
  <c r="G980" i="5" s="1"/>
  <c r="G979" i="5" s="1"/>
  <c r="G978" i="5" s="1"/>
  <c r="F1121" i="3"/>
  <c r="F329" i="3"/>
  <c r="F361" i="3"/>
  <c r="F360" i="3" s="1"/>
  <c r="F359" i="3" s="1"/>
  <c r="F358" i="3" s="1"/>
  <c r="D28" i="2" s="1"/>
  <c r="H168" i="32"/>
  <c r="H160" i="32"/>
  <c r="H148" i="32"/>
  <c r="G830" i="5"/>
  <c r="G829" i="5" s="1"/>
  <c r="G828" i="5" s="1"/>
  <c r="G827" i="5" s="1"/>
  <c r="G826" i="5" s="1"/>
  <c r="G832" i="5"/>
  <c r="F439" i="3"/>
  <c r="F438" i="3"/>
  <c r="F1130" i="3"/>
  <c r="F1129" i="3" s="1"/>
  <c r="F1128" i="3" s="1"/>
  <c r="L1101" i="3" s="1"/>
  <c r="F1108" i="3"/>
  <c r="F436" i="3"/>
  <c r="F435" i="3" s="1"/>
  <c r="F434" i="3" s="1"/>
  <c r="G56" i="5"/>
  <c r="G918" i="5"/>
  <c r="G380" i="5"/>
  <c r="G210" i="32"/>
  <c r="G209" i="32" s="1"/>
  <c r="F216" i="30"/>
  <c r="L9" i="30" s="1"/>
  <c r="F215" i="30"/>
  <c r="G215" i="30"/>
  <c r="G216" i="30"/>
  <c r="H422" i="32"/>
  <c r="H420" i="32"/>
  <c r="H419" i="32" s="1"/>
  <c r="H944" i="32"/>
  <c r="H943" i="32"/>
  <c r="H950" i="32" s="1"/>
  <c r="G475" i="5"/>
  <c r="G871" i="5"/>
  <c r="G294" i="5"/>
  <c r="G445" i="5"/>
  <c r="G963" i="5"/>
  <c r="F156" i="3"/>
  <c r="F151" i="3" s="1"/>
  <c r="F147" i="3" s="1"/>
  <c r="G819" i="32"/>
  <c r="G818" i="32" s="1"/>
  <c r="G817" i="32" s="1"/>
  <c r="G816" i="32" s="1"/>
  <c r="G815" i="32" s="1"/>
  <c r="G814" i="32" s="1"/>
  <c r="G166" i="5"/>
  <c r="G165" i="5" s="1"/>
  <c r="G164" i="5" s="1"/>
  <c r="G552" i="32"/>
  <c r="G41" i="32"/>
  <c r="F815" i="3"/>
  <c r="F814" i="3" s="1"/>
  <c r="G944" i="5"/>
  <c r="G943" i="5" s="1"/>
  <c r="F76" i="3"/>
  <c r="G1019" i="5"/>
  <c r="G1011" i="5" s="1"/>
  <c r="G1018" i="5" s="1"/>
  <c r="G131" i="30"/>
  <c r="G130" i="30" s="1"/>
  <c r="G129" i="30" s="1"/>
  <c r="G128" i="30" s="1"/>
  <c r="G806" i="30"/>
  <c r="G805" i="30" s="1"/>
  <c r="G804" i="30" s="1"/>
  <c r="G499" i="32"/>
  <c r="G498" i="32" s="1"/>
  <c r="G517" i="32"/>
  <c r="H16" i="32"/>
  <c r="H96" i="32"/>
  <c r="H120" i="32"/>
  <c r="H216" i="32"/>
  <c r="H321" i="32"/>
  <c r="H319" i="32"/>
  <c r="H318" i="32" s="1"/>
  <c r="H317" i="32" s="1"/>
  <c r="H638" i="32"/>
  <c r="H636" i="32"/>
  <c r="H635" i="32" s="1"/>
  <c r="G58" i="5"/>
  <c r="G57" i="5" s="1"/>
  <c r="G49" i="5" s="1"/>
  <c r="G48" i="5" s="1"/>
  <c r="G47" i="5" s="1"/>
  <c r="G60" i="5"/>
  <c r="F107" i="3"/>
  <c r="F106" i="3" s="1"/>
  <c r="F821" i="3"/>
  <c r="G413" i="5"/>
  <c r="G412" i="5" s="1"/>
  <c r="G415" i="5"/>
  <c r="G951" i="30"/>
  <c r="G950" i="30"/>
  <c r="G949" i="30" s="1"/>
  <c r="G942" i="30" s="1"/>
  <c r="G936" i="30" s="1"/>
  <c r="G935" i="30" s="1"/>
  <c r="E44" i="31" s="1"/>
  <c r="E42" i="31" s="1"/>
  <c r="G825" i="5"/>
  <c r="G823" i="5"/>
  <c r="G822" i="5" s="1"/>
  <c r="G821" i="5" s="1"/>
  <c r="G820" i="5" s="1"/>
  <c r="G819" i="5" s="1"/>
  <c r="F81" i="3"/>
  <c r="G920" i="5"/>
  <c r="G919" i="5" s="1"/>
  <c r="F916" i="3"/>
  <c r="G722" i="5"/>
  <c r="G721" i="5" s="1"/>
  <c r="G720" i="5" s="1"/>
  <c r="G709" i="5" s="1"/>
  <c r="F381" i="3"/>
  <c r="F378" i="3" s="1"/>
  <c r="F800" i="3"/>
  <c r="F799" i="3" s="1"/>
  <c r="F1037" i="3"/>
  <c r="F1036" i="3" s="1"/>
  <c r="F1034" i="3" s="1"/>
  <c r="G1001" i="5"/>
  <c r="G1000" i="5" s="1"/>
  <c r="G130" i="32"/>
  <c r="G252" i="32"/>
  <c r="G418" i="32"/>
  <c r="G416" i="32"/>
  <c r="G415" i="32" s="1"/>
  <c r="H326" i="32"/>
  <c r="H324" i="32"/>
  <c r="H323" i="32" s="1"/>
  <c r="H322" i="32" s="1"/>
  <c r="G591" i="5"/>
  <c r="G590" i="5" s="1"/>
  <c r="G593" i="5"/>
  <c r="G455" i="5"/>
  <c r="G454" i="5" s="1"/>
  <c r="H465" i="32"/>
  <c r="G730" i="5"/>
  <c r="G728" i="5"/>
  <c r="G727" i="5" s="1"/>
  <c r="G989" i="30"/>
  <c r="G543" i="32"/>
  <c r="G541" i="32"/>
  <c r="G537" i="32" s="1"/>
  <c r="G533" i="32" s="1"/>
  <c r="G532" i="32" s="1"/>
  <c r="G531" i="32" s="1"/>
  <c r="G530" i="32" s="1"/>
  <c r="F285" i="3"/>
  <c r="F284" i="3" s="1"/>
  <c r="F512" i="30"/>
  <c r="G333" i="32"/>
  <c r="G331" i="32"/>
  <c r="G330" i="32" s="1"/>
  <c r="G329" i="32" s="1"/>
  <c r="G328" i="32" s="1"/>
  <c r="G327" i="32" s="1"/>
  <c r="G388" i="32"/>
  <c r="G386" i="32"/>
  <c r="G385" i="32" s="1"/>
  <c r="F131" i="30"/>
  <c r="F130" i="30" s="1"/>
  <c r="F129" i="30" s="1"/>
  <c r="F128" i="30" s="1"/>
  <c r="F536" i="30"/>
  <c r="F524" i="30" s="1"/>
  <c r="F523" i="30" s="1"/>
  <c r="D34" i="31" s="1"/>
  <c r="G719" i="5"/>
  <c r="F309" i="30"/>
  <c r="F308" i="30" s="1"/>
  <c r="F300" i="30" s="1"/>
  <c r="D27" i="31" s="1"/>
  <c r="G364" i="30"/>
  <c r="G508" i="30"/>
  <c r="G505" i="30" s="1"/>
  <c r="G618" i="5"/>
  <c r="G913" i="5"/>
  <c r="G912" i="5" s="1"/>
  <c r="G408" i="5"/>
  <c r="G406" i="5"/>
  <c r="D24" i="2"/>
  <c r="G424" i="5"/>
  <c r="G423" i="5"/>
  <c r="F203" i="3"/>
  <c r="F202" i="3" s="1"/>
  <c r="G157" i="4"/>
  <c r="G158" i="4"/>
  <c r="G1032" i="5"/>
  <c r="G1039" i="5" s="1"/>
  <c r="G1033" i="5"/>
  <c r="F1062" i="3"/>
  <c r="G403" i="5"/>
  <c r="G399" i="5"/>
  <c r="G985" i="5"/>
  <c r="G984" i="5" s="1"/>
  <c r="G245" i="5"/>
  <c r="G244" i="5" s="1"/>
  <c r="G762" i="5"/>
  <c r="G748" i="4"/>
  <c r="G485" i="5"/>
  <c r="G483" i="5"/>
  <c r="G928" i="5"/>
  <c r="G927" i="5" s="1"/>
  <c r="G788" i="5"/>
  <c r="G394" i="5"/>
  <c r="G393" i="5" s="1"/>
  <c r="G392" i="5" s="1"/>
  <c r="G436" i="5"/>
  <c r="G435" i="5" s="1"/>
  <c r="G434" i="5" s="1"/>
  <c r="G433" i="5" s="1"/>
  <c r="G432" i="5" s="1"/>
  <c r="G438" i="5"/>
  <c r="G758" i="5"/>
  <c r="G757" i="5" s="1"/>
  <c r="G760" i="5"/>
  <c r="G82" i="5"/>
  <c r="G81" i="5" s="1"/>
  <c r="G80" i="5" s="1"/>
  <c r="G79" i="5" s="1"/>
  <c r="G78" i="5" s="1"/>
  <c r="F355" i="3"/>
  <c r="F354" i="3" s="1"/>
  <c r="F353" i="3" s="1"/>
  <c r="F352" i="3" s="1"/>
  <c r="G387" i="5"/>
  <c r="F391" i="3"/>
  <c r="G827" i="32"/>
  <c r="G825" i="32"/>
  <c r="G824" i="32" s="1"/>
  <c r="G823" i="32" s="1"/>
  <c r="G822" i="32" s="1"/>
  <c r="G821" i="32" s="1"/>
  <c r="G744" i="32"/>
  <c r="G742" i="32"/>
  <c r="G741" i="32" s="1"/>
  <c r="G740" i="32" s="1"/>
  <c r="G739" i="32" s="1"/>
  <c r="G738" i="32" s="1"/>
  <c r="G527" i="5"/>
  <c r="F28" i="3"/>
  <c r="G749" i="5"/>
  <c r="G748" i="5" s="1"/>
  <c r="G747" i="5" s="1"/>
  <c r="G320" i="5"/>
  <c r="G316" i="5"/>
  <c r="G315" i="5" s="1"/>
  <c r="G314" i="5" s="1"/>
  <c r="G309" i="30"/>
  <c r="G308" i="30" s="1"/>
  <c r="G300" i="30" s="1"/>
  <c r="E27" i="31" s="1"/>
  <c r="G307" i="32"/>
  <c r="G303" i="32"/>
  <c r="G302" i="32" s="1"/>
  <c r="G301" i="32" s="1"/>
  <c r="G874" i="4"/>
  <c r="G873" i="4"/>
  <c r="G214" i="5"/>
  <c r="G212" i="5"/>
  <c r="G211" i="5" s="1"/>
  <c r="G629" i="5"/>
  <c r="G628" i="5" s="1"/>
  <c r="G276" i="5"/>
  <c r="G275" i="5" s="1"/>
  <c r="G278" i="5"/>
  <c r="G10" i="5"/>
  <c r="G12" i="5"/>
  <c r="G11" i="5" s="1"/>
  <c r="G339" i="5"/>
  <c r="G337" i="5"/>
  <c r="G336" i="5" s="1"/>
  <c r="G335" i="5" s="1"/>
  <c r="G329" i="5" s="1"/>
  <c r="G328" i="5" s="1"/>
  <c r="G26" i="5"/>
  <c r="G965" i="5"/>
  <c r="G964" i="5" s="1"/>
  <c r="G959" i="5" s="1"/>
  <c r="G996" i="5"/>
  <c r="G732" i="32"/>
  <c r="F335" i="3"/>
  <c r="F334" i="3" s="1"/>
  <c r="G803" i="5"/>
  <c r="G802" i="5" s="1"/>
  <c r="G801" i="5" s="1"/>
  <c r="G772" i="5"/>
  <c r="G771" i="5" s="1"/>
  <c r="G774" i="5"/>
  <c r="G593" i="4"/>
  <c r="F304" i="3"/>
  <c r="F303" i="3" s="1"/>
  <c r="F302" i="3" s="1"/>
  <c r="F297" i="3" s="1"/>
  <c r="F296" i="3" s="1"/>
  <c r="D23" i="2" s="1"/>
  <c r="F487" i="3"/>
  <c r="F486" i="3" s="1"/>
  <c r="F485" i="3" s="1"/>
  <c r="G557" i="5"/>
  <c r="G553" i="5" s="1"/>
  <c r="G552" i="5" s="1"/>
  <c r="G551" i="5" s="1"/>
  <c r="G556" i="5"/>
  <c r="F1017" i="3"/>
  <c r="F1013" i="3" s="1"/>
  <c r="F1012" i="3" s="1"/>
  <c r="H12" i="32"/>
  <c r="H11" i="32" s="1"/>
  <c r="H10" i="32"/>
  <c r="G492" i="5"/>
  <c r="G490" i="5"/>
  <c r="G489" i="5" s="1"/>
  <c r="G488" i="5" s="1"/>
  <c r="G487" i="5" s="1"/>
  <c r="G486" i="5" s="1"/>
  <c r="G43" i="30"/>
  <c r="G42" i="30" s="1"/>
  <c r="F806" i="30"/>
  <c r="F805" i="30" s="1"/>
  <c r="F989" i="30"/>
  <c r="G287" i="30"/>
  <c r="G286" i="30" s="1"/>
  <c r="G697" i="32"/>
  <c r="G693" i="32"/>
  <c r="G692" i="32" s="1"/>
  <c r="G691" i="32" s="1"/>
  <c r="H234" i="32"/>
  <c r="H232" i="32"/>
  <c r="H231" i="32" s="1"/>
  <c r="H729" i="32"/>
  <c r="H727" i="32"/>
  <c r="H723" i="32" s="1"/>
  <c r="G103" i="5"/>
  <c r="G102" i="5" s="1"/>
  <c r="G101" i="5" s="1"/>
  <c r="G100" i="5" s="1"/>
  <c r="G99" i="5" s="1"/>
  <c r="G346" i="5"/>
  <c r="F472" i="30"/>
  <c r="F467" i="30"/>
  <c r="G190" i="30"/>
  <c r="G189" i="30" s="1"/>
  <c r="G472" i="30"/>
  <c r="G467" i="30"/>
  <c r="G1085" i="5"/>
  <c r="G321" i="32"/>
  <c r="G319" i="32"/>
  <c r="G318" i="32" s="1"/>
  <c r="G317" i="32" s="1"/>
  <c r="G335" i="30"/>
  <c r="G334" i="30" s="1"/>
  <c r="G333" i="30" s="1"/>
  <c r="G332" i="30" s="1"/>
  <c r="E29" i="31" s="1"/>
  <c r="G943" i="32"/>
  <c r="G944" i="32"/>
  <c r="H29" i="32"/>
  <c r="H27" i="32"/>
  <c r="H20" i="32" s="1"/>
  <c r="H19" i="32" s="1"/>
  <c r="H18" i="32" s="1"/>
  <c r="H17" i="32" s="1"/>
  <c r="H252" i="32"/>
  <c r="H250" i="32"/>
  <c r="H249" i="32" s="1"/>
  <c r="H248" i="32" s="1"/>
  <c r="G597" i="5"/>
  <c r="G595" i="5"/>
  <c r="G594" i="5" s="1"/>
  <c r="G511" i="5"/>
  <c r="G510" i="5" s="1"/>
  <c r="G509" i="5" s="1"/>
  <c r="G508" i="5" s="1"/>
  <c r="G507" i="5" s="1"/>
  <c r="G513" i="5"/>
  <c r="F190" i="30"/>
  <c r="F189" i="30" s="1"/>
  <c r="G612" i="5"/>
  <c r="G611" i="5" s="1"/>
  <c r="G614" i="5"/>
  <c r="G75" i="32"/>
  <c r="F335" i="30"/>
  <c r="F334" i="30" s="1"/>
  <c r="F333" i="30" s="1"/>
  <c r="F332" i="30" s="1"/>
  <c r="D29" i="31" s="1"/>
  <c r="F851" i="3"/>
  <c r="G1322" i="4"/>
  <c r="G905" i="5"/>
  <c r="G904" i="5" s="1"/>
  <c r="G903" i="5" s="1"/>
  <c r="G902" i="5" s="1"/>
  <c r="G901" i="5" s="1"/>
  <c r="F118" i="3"/>
  <c r="F117" i="3" s="1"/>
  <c r="F787" i="3"/>
  <c r="G359" i="4"/>
  <c r="G694" i="4"/>
  <c r="G759" i="4"/>
  <c r="F743" i="3"/>
  <c r="G854" i="4"/>
  <c r="G187" i="5"/>
  <c r="G203" i="5"/>
  <c r="G202" i="5" s="1"/>
  <c r="F902" i="3"/>
  <c r="F898" i="3" s="1"/>
  <c r="G411" i="4"/>
  <c r="G562" i="5"/>
  <c r="G524" i="5"/>
  <c r="G518" i="5"/>
  <c r="G517" i="5" s="1"/>
  <c r="G516" i="5" s="1"/>
  <c r="F764" i="3"/>
  <c r="F763" i="3" s="1"/>
  <c r="G521" i="5"/>
  <c r="G143" i="5"/>
  <c r="G149" i="5"/>
  <c r="G510" i="4"/>
  <c r="F997" i="3"/>
  <c r="G161" i="5"/>
  <c r="G160" i="5" s="1"/>
  <c r="G159" i="5" s="1"/>
  <c r="G158" i="5" s="1"/>
  <c r="G1057" i="4"/>
  <c r="G1053" i="4" s="1"/>
  <c r="G1052" i="4" s="1"/>
  <c r="G1051" i="4" s="1"/>
  <c r="G1050" i="4" s="1"/>
  <c r="D148" i="19"/>
  <c r="D147" i="19" s="1"/>
  <c r="C148" i="19"/>
  <c r="C147" i="19" s="1"/>
  <c r="G535" i="5"/>
  <c r="G534" i="5" s="1"/>
  <c r="G16" i="6"/>
  <c r="G47" i="6"/>
  <c r="D44" i="2"/>
  <c r="G582" i="5" l="1"/>
  <c r="G1207" i="4"/>
  <c r="G1202" i="4" s="1"/>
  <c r="G637" i="4"/>
  <c r="G636" i="4" s="1"/>
  <c r="G780" i="5"/>
  <c r="G779" i="5" s="1"/>
  <c r="G261" i="5"/>
  <c r="G20" i="5"/>
  <c r="G19" i="5" s="1"/>
  <c r="G18" i="5" s="1"/>
  <c r="G17" i="5" s="1"/>
  <c r="G186" i="4"/>
  <c r="G182" i="4" s="1"/>
  <c r="G638" i="5"/>
  <c r="G643" i="5" s="1"/>
  <c r="G280" i="4"/>
  <c r="G279" i="4" s="1"/>
  <c r="G278" i="4" s="1"/>
  <c r="G1093" i="4"/>
  <c r="G1092" i="4" s="1"/>
  <c r="G1085" i="4" s="1"/>
  <c r="G506" i="5"/>
  <c r="G72" i="4"/>
  <c r="G55" i="4" s="1"/>
  <c r="G54" i="4" s="1"/>
  <c r="F1061" i="3"/>
  <c r="F1060" i="3" s="1"/>
  <c r="G1257" i="4"/>
  <c r="G450" i="4"/>
  <c r="G1303" i="4"/>
  <c r="G118" i="32"/>
  <c r="G117" i="32" s="1"/>
  <c r="G116" i="32" s="1"/>
  <c r="G115" i="32" s="1"/>
  <c r="G114" i="32" s="1"/>
  <c r="G113" i="32" s="1"/>
  <c r="G900" i="5"/>
  <c r="F428" i="3"/>
  <c r="F427" i="3" s="1"/>
  <c r="F426" i="3" s="1"/>
  <c r="F407" i="3" s="1"/>
  <c r="G306" i="5"/>
  <c r="G601" i="4"/>
  <c r="G600" i="4" s="1"/>
  <c r="G599" i="4" s="1"/>
  <c r="G598" i="4" s="1"/>
  <c r="G597" i="4" s="1"/>
  <c r="G947" i="4"/>
  <c r="F547" i="3"/>
  <c r="F543" i="3" s="1"/>
  <c r="K11" i="3" s="1"/>
  <c r="G136" i="5"/>
  <c r="G135" i="5" s="1"/>
  <c r="G134" i="5" s="1"/>
  <c r="G133" i="5" s="1"/>
  <c r="F810" i="3"/>
  <c r="F508" i="3"/>
  <c r="G839" i="5"/>
  <c r="G838" i="5" s="1"/>
  <c r="G837" i="5" s="1"/>
  <c r="G836" i="5" s="1"/>
  <c r="G835" i="5" s="1"/>
  <c r="G834" i="5" s="1"/>
  <c r="H630" i="32"/>
  <c r="H629" i="32" s="1"/>
  <c r="H628" i="32" s="1"/>
  <c r="F927" i="3"/>
  <c r="G769" i="5"/>
  <c r="G770" i="5" s="1"/>
  <c r="G609" i="5"/>
  <c r="G610" i="5" s="1"/>
  <c r="G953" i="5"/>
  <c r="G127" i="5"/>
  <c r="F258" i="3"/>
  <c r="G579" i="4"/>
  <c r="G578" i="4" s="1"/>
  <c r="G577" i="4" s="1"/>
  <c r="G178" i="3"/>
  <c r="F177" i="3"/>
  <c r="G645" i="5"/>
  <c r="G644" i="5" s="1"/>
  <c r="G637" i="5" s="1"/>
  <c r="G636" i="5" s="1"/>
  <c r="G466" i="5"/>
  <c r="G465" i="5" s="1"/>
  <c r="G460" i="5" s="1"/>
  <c r="G459" i="5" s="1"/>
  <c r="G458" i="5" s="1"/>
  <c r="G694" i="5"/>
  <c r="G938" i="5"/>
  <c r="G937" i="5" s="1"/>
  <c r="G936" i="5" s="1"/>
  <c r="G618" i="4"/>
  <c r="G617" i="4" s="1"/>
  <c r="G91" i="5"/>
  <c r="G378" i="4"/>
  <c r="G377" i="4" s="1"/>
  <c r="G376" i="4" s="1"/>
  <c r="G334" i="4"/>
  <c r="G333" i="4" s="1"/>
  <c r="G206" i="5"/>
  <c r="G353" i="5"/>
  <c r="G1345" i="4"/>
  <c r="G1344" i="4" s="1"/>
  <c r="G1343" i="4" s="1"/>
  <c r="G1342" i="4" s="1"/>
  <c r="G1341" i="4" s="1"/>
  <c r="G44" i="5"/>
  <c r="G43" i="5" s="1"/>
  <c r="G127" i="4"/>
  <c r="G126" i="4" s="1"/>
  <c r="F914" i="3"/>
  <c r="G201" i="4"/>
  <c r="G200" i="4" s="1"/>
  <c r="G210" i="5"/>
  <c r="G1272" i="4"/>
  <c r="G1271" i="4" s="1"/>
  <c r="G1270" i="4" s="1"/>
  <c r="G1269" i="4" s="1"/>
  <c r="G1019" i="4"/>
  <c r="G1291" i="4"/>
  <c r="G1007" i="4"/>
  <c r="G999" i="4" s="1"/>
  <c r="G998" i="4" s="1"/>
  <c r="G997" i="4" s="1"/>
  <c r="F973" i="3"/>
  <c r="F972" i="3" s="1"/>
  <c r="G440" i="4"/>
  <c r="G688" i="5"/>
  <c r="G687" i="5" s="1"/>
  <c r="G652" i="5"/>
  <c r="G651" i="5" s="1"/>
  <c r="G650" i="5" s="1"/>
  <c r="G649" i="5" s="1"/>
  <c r="G648" i="5" s="1"/>
  <c r="G117" i="5"/>
  <c r="G942" i="5"/>
  <c r="G921" i="32"/>
  <c r="G920" i="32" s="1"/>
  <c r="G919" i="32" s="1"/>
  <c r="G918" i="32" s="1"/>
  <c r="G917" i="32" s="1"/>
  <c r="G855" i="32" s="1"/>
  <c r="I855" i="32" s="1"/>
  <c r="F1195" i="3"/>
  <c r="F1194" i="3" s="1"/>
  <c r="F1193" i="3" s="1"/>
  <c r="F1192" i="3" s="1"/>
  <c r="G754" i="4"/>
  <c r="G753" i="4" s="1"/>
  <c r="G958" i="5"/>
  <c r="F363" i="30"/>
  <c r="F44" i="3"/>
  <c r="F43" i="3" s="1"/>
  <c r="F1055" i="3"/>
  <c r="F1054" i="3" s="1"/>
  <c r="F1053" i="3" s="1"/>
  <c r="F1047" i="3" s="1"/>
  <c r="F1046" i="3" s="1"/>
  <c r="D45" i="2" s="1"/>
  <c r="G622" i="5"/>
  <c r="G621" i="5" s="1"/>
  <c r="G620" i="5" s="1"/>
  <c r="G619" i="5" s="1"/>
  <c r="G691" i="5"/>
  <c r="G36" i="5"/>
  <c r="G35" i="5" s="1"/>
  <c r="G509" i="4"/>
  <c r="G508" i="4" s="1"/>
  <c r="G507" i="4" s="1"/>
  <c r="G711" i="4"/>
  <c r="G689" i="4" s="1"/>
  <c r="G688" i="4" s="1"/>
  <c r="F939" i="3"/>
  <c r="F938" i="3" s="1"/>
  <c r="F937" i="3" s="1"/>
  <c r="L895" i="3" s="1"/>
  <c r="G908" i="4"/>
  <c r="G888" i="4" s="1"/>
  <c r="G793" i="5"/>
  <c r="F942" i="30"/>
  <c r="F936" i="30" s="1"/>
  <c r="F935" i="30" s="1"/>
  <c r="D44" i="31" s="1"/>
  <c r="D42" i="31" s="1"/>
  <c r="F845" i="3"/>
  <c r="F844" i="3" s="1"/>
  <c r="G222" i="32"/>
  <c r="G221" i="32" s="1"/>
  <c r="G68" i="5"/>
  <c r="G363" i="30"/>
  <c r="G350" i="30" s="1"/>
  <c r="G349" i="30" s="1"/>
  <c r="E30" i="31" s="1"/>
  <c r="G811" i="32"/>
  <c r="G810" i="32" s="1"/>
  <c r="G809" i="32" s="1"/>
  <c r="G808" i="32" s="1"/>
  <c r="G807" i="32" s="1"/>
  <c r="E1214" i="29"/>
  <c r="C213" i="1"/>
  <c r="D79" i="1"/>
  <c r="O79" i="1"/>
  <c r="C211" i="1"/>
  <c r="C18" i="7" s="1"/>
  <c r="C20" i="7" s="1"/>
  <c r="G201" i="5"/>
  <c r="G655" i="5"/>
  <c r="G479" i="5"/>
  <c r="G478" i="5" s="1"/>
  <c r="G477" i="5" s="1"/>
  <c r="G476" i="5" s="1"/>
  <c r="G316" i="32"/>
  <c r="G315" i="32" s="1"/>
  <c r="D15" i="2"/>
  <c r="F554" i="3"/>
  <c r="F735" i="3"/>
  <c r="F458" i="3"/>
  <c r="F453" i="3" s="1"/>
  <c r="F447" i="3" s="1"/>
  <c r="D30" i="2" s="1"/>
  <c r="D23" i="31"/>
  <c r="G538" i="5"/>
  <c r="G533" i="5" s="1"/>
  <c r="G532" i="5" s="1"/>
  <c r="G515" i="5" s="1"/>
  <c r="G243" i="30"/>
  <c r="E22" i="31" s="1"/>
  <c r="E21" i="31" s="1"/>
  <c r="H700" i="32"/>
  <c r="H699" i="32" s="1"/>
  <c r="H698" i="32" s="1"/>
  <c r="H690" i="32" s="1"/>
  <c r="D46" i="2"/>
  <c r="G274" i="5"/>
  <c r="G260" i="5" s="1"/>
  <c r="G259" i="5" s="1"/>
  <c r="F390" i="3"/>
  <c r="G14" i="32"/>
  <c r="G13" i="32" s="1"/>
  <c r="G12" i="32" s="1"/>
  <c r="G11" i="32" s="1"/>
  <c r="F1155" i="3"/>
  <c r="F1154" i="3" s="1"/>
  <c r="F1153" i="3" s="1"/>
  <c r="G948" i="5"/>
  <c r="G713" i="32"/>
  <c r="G714" i="32" s="1"/>
  <c r="F820" i="3"/>
  <c r="H481" i="32"/>
  <c r="H480" i="32" s="1"/>
  <c r="G975" i="5"/>
  <c r="G974" i="5" s="1"/>
  <c r="G969" i="5" s="1"/>
  <c r="G968" i="5" s="1"/>
  <c r="G677" i="5"/>
  <c r="G676" i="5" s="1"/>
  <c r="G675" i="5" s="1"/>
  <c r="G674" i="5" s="1"/>
  <c r="G673" i="5" s="1"/>
  <c r="G665" i="5"/>
  <c r="F984" i="30"/>
  <c r="F983" i="30" s="1"/>
  <c r="F982" i="30" s="1"/>
  <c r="K982" i="30" s="1"/>
  <c r="G848" i="5"/>
  <c r="H68" i="32"/>
  <c r="H30" i="32" s="1"/>
  <c r="G726" i="5"/>
  <c r="G725" i="5" s="1"/>
  <c r="G696" i="5" s="1"/>
  <c r="G695" i="5" s="1"/>
  <c r="F863" i="3"/>
  <c r="G504" i="30"/>
  <c r="G492" i="30" s="1"/>
  <c r="G476" i="30" s="1"/>
  <c r="E32" i="31" s="1"/>
  <c r="F643" i="3"/>
  <c r="F642" i="3" s="1"/>
  <c r="D36" i="2" s="1"/>
  <c r="G627" i="5"/>
  <c r="G626" i="5" s="1"/>
  <c r="E40" i="31"/>
  <c r="E39" i="31" s="1"/>
  <c r="L1039" i="3"/>
  <c r="F965" i="30"/>
  <c r="F964" i="30" s="1"/>
  <c r="H831" i="32"/>
  <c r="H830" i="32" s="1"/>
  <c r="H829" i="32" s="1"/>
  <c r="H828" i="32" s="1"/>
  <c r="G734" i="5"/>
  <c r="G625" i="32"/>
  <c r="G624" i="32" s="1"/>
  <c r="G623" i="32" s="1"/>
  <c r="G622" i="32" s="1"/>
  <c r="G621" i="32" s="1"/>
  <c r="G585" i="5"/>
  <c r="G884" i="5"/>
  <c r="G883" i="5" s="1"/>
  <c r="G882" i="5" s="1"/>
  <c r="G881" i="5" s="1"/>
  <c r="G880" i="5" s="1"/>
  <c r="G806" i="32"/>
  <c r="F1103" i="3"/>
  <c r="F1102" i="3" s="1"/>
  <c r="D49" i="2" s="1"/>
  <c r="G984" i="30"/>
  <c r="G983" i="30" s="1"/>
  <c r="G982" i="30" s="1"/>
  <c r="F377" i="3"/>
  <c r="G208" i="32"/>
  <c r="G207" i="32" s="1"/>
  <c r="F242" i="30"/>
  <c r="G798" i="5"/>
  <c r="G797" i="5" s="1"/>
  <c r="G796" i="5" s="1"/>
  <c r="G795" i="5" s="1"/>
  <c r="G794" i="5" s="1"/>
  <c r="G223" i="4"/>
  <c r="G222" i="4" s="1"/>
  <c r="J482" i="32"/>
  <c r="G414" i="32"/>
  <c r="G413" i="32" s="1"/>
  <c r="G412" i="32" s="1"/>
  <c r="G404" i="32" s="1"/>
  <c r="F261" i="30"/>
  <c r="F414" i="30"/>
  <c r="D31" i="31" s="1"/>
  <c r="G441" i="5"/>
  <c r="G440" i="5" s="1"/>
  <c r="G439" i="5" s="1"/>
  <c r="G570" i="5"/>
  <c r="G566" i="5" s="1"/>
  <c r="G565" i="5" s="1"/>
  <c r="G564" i="5" s="1"/>
  <c r="G277" i="4"/>
  <c r="G276" i="4" s="1"/>
  <c r="F159" i="3"/>
  <c r="G246" i="4"/>
  <c r="D47" i="2"/>
  <c r="G414" i="30"/>
  <c r="E31" i="31" s="1"/>
  <c r="F996" i="3"/>
  <c r="J628" i="5"/>
  <c r="G999" i="5"/>
  <c r="G998" i="5" s="1"/>
  <c r="G997" i="5" s="1"/>
  <c r="G481" i="32"/>
  <c r="G877" i="5"/>
  <c r="G876" i="5" s="1"/>
  <c r="G875" i="5" s="1"/>
  <c r="G874" i="5" s="1"/>
  <c r="G873" i="5" s="1"/>
  <c r="F313" i="3"/>
  <c r="F312" i="3" s="1"/>
  <c r="D25" i="2" s="1"/>
  <c r="H414" i="32"/>
  <c r="H413" i="32" s="1"/>
  <c r="H412" i="32" s="1"/>
  <c r="H404" i="32" s="1"/>
  <c r="G410" i="5"/>
  <c r="F95" i="3"/>
  <c r="F92" i="3" s="1"/>
  <c r="F91" i="3" s="1"/>
  <c r="F86" i="3" s="1"/>
  <c r="G121" i="5"/>
  <c r="G119" i="5"/>
  <c r="G118" i="5" s="1"/>
  <c r="G109" i="5" s="1"/>
  <c r="G108" i="5" s="1"/>
  <c r="G107" i="5" s="1"/>
  <c r="G106" i="5" s="1"/>
  <c r="G132" i="5"/>
  <c r="G130" i="5"/>
  <c r="G1126" i="4"/>
  <c r="G1125" i="4" s="1"/>
  <c r="G1124" i="4" s="1"/>
  <c r="G157" i="5"/>
  <c r="H247" i="32"/>
  <c r="H246" i="32" s="1"/>
  <c r="G9" i="5"/>
  <c r="G686" i="5"/>
  <c r="G684" i="5"/>
  <c r="G683" i="5" s="1"/>
  <c r="G682" i="5" s="1"/>
  <c r="G681" i="5" s="1"/>
  <c r="G680" i="5" s="1"/>
  <c r="G775" i="32"/>
  <c r="G774" i="32" s="1"/>
  <c r="G773" i="32" s="1"/>
  <c r="G772" i="32" s="1"/>
  <c r="G771" i="32" s="1"/>
  <c r="G763" i="32" s="1"/>
  <c r="G777" i="32"/>
  <c r="G197" i="5"/>
  <c r="F59" i="3"/>
  <c r="L8" i="3" s="1"/>
  <c r="G711" i="32"/>
  <c r="G709" i="32"/>
  <c r="G189" i="5"/>
  <c r="F142" i="30"/>
  <c r="F9" i="30" s="1"/>
  <c r="J498" i="32"/>
  <c r="F27" i="3"/>
  <c r="F26" i="3" s="1"/>
  <c r="F25" i="3" s="1"/>
  <c r="D12" i="2" s="1"/>
  <c r="G928" i="30"/>
  <c r="G767" i="5"/>
  <c r="G765" i="5"/>
  <c r="G329" i="3"/>
  <c r="G790" i="32"/>
  <c r="G789" i="32" s="1"/>
  <c r="G788" i="32" s="1"/>
  <c r="G787" i="32" s="1"/>
  <c r="G786" i="32" s="1"/>
  <c r="G792" i="32"/>
  <c r="F762" i="3"/>
  <c r="G182" i="5"/>
  <c r="G181" i="5" s="1"/>
  <c r="H9" i="32"/>
  <c r="F269" i="30"/>
  <c r="K269" i="30" s="1"/>
  <c r="G231" i="5"/>
  <c r="G230" i="5" s="1"/>
  <c r="G215" i="5" s="1"/>
  <c r="G865" i="5"/>
  <c r="G861" i="5"/>
  <c r="G860" i="5" s="1"/>
  <c r="G859" i="5" s="1"/>
  <c r="G858" i="5" s="1"/>
  <c r="G857" i="5" s="1"/>
  <c r="G142" i="30"/>
  <c r="E18" i="31" s="1"/>
  <c r="G62" i="3"/>
  <c r="F328" i="3"/>
  <c r="L295" i="3" s="1"/>
  <c r="G911" i="5"/>
  <c r="G910" i="5" s="1"/>
  <c r="G909" i="5" s="1"/>
  <c r="G908" i="5" s="1"/>
  <c r="G40" i="32"/>
  <c r="G39" i="32" s="1"/>
  <c r="G34" i="32" s="1"/>
  <c r="G33" i="32" s="1"/>
  <c r="G42" i="32"/>
  <c r="G870" i="5"/>
  <c r="G869" i="5" s="1"/>
  <c r="G868" i="5" s="1"/>
  <c r="G867" i="5" s="1"/>
  <c r="G866" i="5" s="1"/>
  <c r="G872" i="5"/>
  <c r="F581" i="3"/>
  <c r="F580" i="3" s="1"/>
  <c r="D35" i="2" s="1"/>
  <c r="H316" i="32"/>
  <c r="H315" i="32" s="1"/>
  <c r="F913" i="3"/>
  <c r="F912" i="3" s="1"/>
  <c r="G856" i="5"/>
  <c r="G854" i="5"/>
  <c r="G853" i="5" s="1"/>
  <c r="G852" i="5" s="1"/>
  <c r="G851" i="5" s="1"/>
  <c r="G850" i="5" s="1"/>
  <c r="G804" i="5"/>
  <c r="F105" i="3"/>
  <c r="F104" i="3" s="1"/>
  <c r="D14" i="2" s="1"/>
  <c r="G578" i="5"/>
  <c r="G577" i="5" s="1"/>
  <c r="F504" i="30"/>
  <c r="F492" i="30" s="1"/>
  <c r="F476" i="30" s="1"/>
  <c r="D32" i="31" s="1"/>
  <c r="G820" i="32"/>
  <c r="L357" i="3"/>
  <c r="G1321" i="4"/>
  <c r="D33" i="2"/>
  <c r="D32" i="2" s="1"/>
  <c r="G950" i="32"/>
  <c r="F276" i="3"/>
  <c r="G277" i="3"/>
  <c r="E33" i="31"/>
  <c r="G61" i="5"/>
  <c r="G63" i="5"/>
  <c r="G62" i="5" s="1"/>
  <c r="F350" i="30"/>
  <c r="F349" i="30" s="1"/>
  <c r="D30" i="31" s="1"/>
  <c r="G77" i="5"/>
  <c r="G522" i="30"/>
  <c r="E26" i="31"/>
  <c r="E23" i="31" s="1"/>
  <c r="G269" i="30"/>
  <c r="D40" i="31"/>
  <c r="D39" i="31" s="1"/>
  <c r="F804" i="30"/>
  <c r="K804" i="30" s="1"/>
  <c r="E14" i="31"/>
  <c r="G731" i="32"/>
  <c r="G730" i="32" s="1"/>
  <c r="G733" i="32"/>
  <c r="D33" i="31"/>
  <c r="G386" i="5"/>
  <c r="G385" i="5" s="1"/>
  <c r="G384" i="5" s="1"/>
  <c r="G383" i="5" s="1"/>
  <c r="G388" i="5"/>
  <c r="G391" i="5"/>
  <c r="G390" i="5"/>
  <c r="G946" i="4"/>
  <c r="F522" i="30"/>
  <c r="L522" i="30" s="1"/>
  <c r="G789" i="5"/>
  <c r="G787" i="5"/>
  <c r="G786" i="5" s="1"/>
  <c r="G846" i="4"/>
  <c r="G845" i="4" s="1"/>
  <c r="G188" i="5"/>
  <c r="G186" i="5"/>
  <c r="G185" i="5" s="1"/>
  <c r="G181" i="4" l="1"/>
  <c r="G180" i="4" s="1"/>
  <c r="G179" i="4" s="1"/>
  <c r="G616" i="4"/>
  <c r="G615" i="4" s="1"/>
  <c r="G768" i="5"/>
  <c r="G761" i="5" s="1"/>
  <c r="G756" i="5" s="1"/>
  <c r="G755" i="5" s="1"/>
  <c r="G754" i="5" s="1"/>
  <c r="G746" i="5" s="1"/>
  <c r="E28" i="31"/>
  <c r="G410" i="4"/>
  <c r="G409" i="4" s="1"/>
  <c r="F928" i="30"/>
  <c r="K928" i="30" s="1"/>
  <c r="G1196" i="4"/>
  <c r="G1106" i="4" s="1"/>
  <c r="D52" i="2"/>
  <c r="D51" i="2" s="1"/>
  <c r="G608" i="5"/>
  <c r="G607" i="5" s="1"/>
  <c r="G606" i="5" s="1"/>
  <c r="G598" i="5" s="1"/>
  <c r="G332" i="4"/>
  <c r="F542" i="3"/>
  <c r="F520" i="3" s="1"/>
  <c r="D31" i="2" s="1"/>
  <c r="G126" i="5"/>
  <c r="G125" i="5" s="1"/>
  <c r="G124" i="5" s="1"/>
  <c r="G123" i="5" s="1"/>
  <c r="G122" i="5" s="1"/>
  <c r="F809" i="3"/>
  <c r="F808" i="3" s="1"/>
  <c r="F807" i="3" s="1"/>
  <c r="D38" i="2" s="1"/>
  <c r="F146" i="3"/>
  <c r="F145" i="3" s="1"/>
  <c r="D17" i="2" s="1"/>
  <c r="G206" i="32"/>
  <c r="G147" i="32" s="1"/>
  <c r="F257" i="3"/>
  <c r="F256" i="3" s="1"/>
  <c r="F255" i="3" s="1"/>
  <c r="F376" i="3"/>
  <c r="F375" i="3" s="1"/>
  <c r="D29" i="2" s="1"/>
  <c r="G34" i="5"/>
  <c r="G33" i="5" s="1"/>
  <c r="G32" i="5" s="1"/>
  <c r="G431" i="5"/>
  <c r="F897" i="3"/>
  <c r="F896" i="3" s="1"/>
  <c r="D41" i="2" s="1"/>
  <c r="F1039" i="3"/>
  <c r="K1039" i="3" s="1"/>
  <c r="G10" i="32"/>
  <c r="G9" i="32" s="1"/>
  <c r="G37" i="4"/>
  <c r="G778" i="32"/>
  <c r="G480" i="32"/>
  <c r="K480" i="32" s="1"/>
  <c r="G945" i="4"/>
  <c r="G937" i="4" s="1"/>
  <c r="D55" i="31"/>
  <c r="D56" i="2"/>
  <c r="F734" i="3"/>
  <c r="D37" i="2" s="1"/>
  <c r="D48" i="31"/>
  <c r="D47" i="31" s="1"/>
  <c r="G242" i="30"/>
  <c r="F843" i="3"/>
  <c r="D39" i="2" s="1"/>
  <c r="E48" i="31"/>
  <c r="E47" i="31" s="1"/>
  <c r="J516" i="5"/>
  <c r="G947" i="5"/>
  <c r="G935" i="5" s="1"/>
  <c r="I935" i="5" s="1"/>
  <c r="D50" i="2"/>
  <c r="D48" i="2" s="1"/>
  <c r="F1101" i="3"/>
  <c r="H1101" i="3" s="1"/>
  <c r="D18" i="31"/>
  <c r="D11" i="31" s="1"/>
  <c r="E11" i="31"/>
  <c r="K10" i="3"/>
  <c r="G331" i="30"/>
  <c r="G712" i="32"/>
  <c r="G705" i="32" s="1"/>
  <c r="G700" i="32" s="1"/>
  <c r="G699" i="32" s="1"/>
  <c r="G698" i="32" s="1"/>
  <c r="G690" i="32" s="1"/>
  <c r="G563" i="5"/>
  <c r="G408" i="4"/>
  <c r="G625" i="5"/>
  <c r="F327" i="3"/>
  <c r="F326" i="3" s="1"/>
  <c r="D26" i="2" s="1"/>
  <c r="D22" i="2" s="1"/>
  <c r="D43" i="2"/>
  <c r="G411" i="5"/>
  <c r="G409" i="5"/>
  <c r="G405" i="5" s="1"/>
  <c r="G404" i="5" s="1"/>
  <c r="G398" i="5" s="1"/>
  <c r="G397" i="5" s="1"/>
  <c r="G389" i="5" s="1"/>
  <c r="F995" i="3"/>
  <c r="F994" i="3" s="1"/>
  <c r="D42" i="2" s="1"/>
  <c r="G605" i="5"/>
  <c r="J532" i="5" s="1"/>
  <c r="H147" i="32"/>
  <c r="K9" i="30"/>
  <c r="G180" i="5"/>
  <c r="G179" i="5" s="1"/>
  <c r="G178" i="5" s="1"/>
  <c r="G156" i="5" s="1"/>
  <c r="I156" i="5" s="1"/>
  <c r="G9" i="30"/>
  <c r="G849" i="5"/>
  <c r="F42" i="3"/>
  <c r="F41" i="3" s="1"/>
  <c r="F331" i="30"/>
  <c r="K331" i="30" s="1"/>
  <c r="D28" i="31"/>
  <c r="G687" i="4"/>
  <c r="G674" i="4" s="1"/>
  <c r="G32" i="32"/>
  <c r="G31" i="32"/>
  <c r="G30" i="32" s="1"/>
  <c r="H982" i="30"/>
  <c r="G382" i="5"/>
  <c r="G381" i="5"/>
  <c r="H522" i="30"/>
  <c r="D21" i="2" l="1"/>
  <c r="D20" i="2" s="1"/>
  <c r="D40" i="2"/>
  <c r="D27" i="2"/>
  <c r="K146" i="3"/>
  <c r="G31" i="5"/>
  <c r="G30" i="5" s="1"/>
  <c r="I30" i="5" s="1"/>
  <c r="G36" i="4"/>
  <c r="I480" i="32"/>
  <c r="I147" i="32"/>
  <c r="F357" i="3"/>
  <c r="K357" i="3" s="1"/>
  <c r="G275" i="4"/>
  <c r="D34" i="2"/>
  <c r="G514" i="5"/>
  <c r="K514" i="5" s="1"/>
  <c r="E52" i="31"/>
  <c r="E58" i="31" s="1"/>
  <c r="K1101" i="3"/>
  <c r="F579" i="3"/>
  <c r="L579" i="3" s="1"/>
  <c r="F295" i="3"/>
  <c r="K295" i="3" s="1"/>
  <c r="D52" i="31"/>
  <c r="D56" i="31" s="1"/>
  <c r="G1084" i="30"/>
  <c r="G1086" i="30" s="1"/>
  <c r="F895" i="3"/>
  <c r="K895" i="3" s="1"/>
  <c r="H983" i="32"/>
  <c r="H986" i="32" s="1"/>
  <c r="F8" i="3"/>
  <c r="K8" i="3" s="1"/>
  <c r="G1049" i="4"/>
  <c r="G983" i="32"/>
  <c r="G986" i="32" s="1"/>
  <c r="H331" i="30"/>
  <c r="D13" i="2"/>
  <c r="K9" i="3"/>
  <c r="F1084" i="30"/>
  <c r="F1086" i="30" s="1"/>
  <c r="I30" i="32"/>
  <c r="G1359" i="4" l="1"/>
  <c r="D58" i="2" s="1"/>
  <c r="G1086" i="5"/>
  <c r="E54" i="31"/>
  <c r="H357" i="3"/>
  <c r="H579" i="3"/>
  <c r="I514" i="5"/>
  <c r="E56" i="31"/>
  <c r="D10" i="2"/>
  <c r="D53" i="2" s="1"/>
  <c r="F1211" i="3"/>
  <c r="D57" i="31"/>
  <c r="D58" i="31" s="1"/>
  <c r="C14" i="7" l="1"/>
  <c r="C13" i="7" s="1"/>
  <c r="C10" i="7" s="1"/>
  <c r="D53" i="31"/>
  <c r="D54" i="31" s="1"/>
  <c r="D54" i="2"/>
  <c r="F1212" i="3"/>
  <c r="D57" i="2"/>
  <c r="D59" i="2"/>
  <c r="D55" i="2"/>
  <c r="F1213" i="3"/>
  <c r="C15" i="7" l="1"/>
</calcChain>
</file>

<file path=xl/comments1.xml><?xml version="1.0" encoding="utf-8"?>
<comments xmlns="http://schemas.openxmlformats.org/spreadsheetml/2006/main">
  <authors>
    <author>Автор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<sst xmlns="http://schemas.openxmlformats.org/spreadsheetml/2006/main" count="31566" uniqueCount="1378">
  <si>
    <t>к решению СПОГО</t>
  </si>
  <si>
    <t>(тыс.руб.)</t>
  </si>
  <si>
    <t xml:space="preserve">Код </t>
  </si>
  <si>
    <t>Наименование налога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</si>
  <si>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</si>
  <si>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</si>
  <si>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</si>
  <si>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</si>
  <si>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</si>
  <si>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</si>
  <si>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</si>
  <si>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</si>
  <si>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</si>
  <si>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</si>
  <si>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</si>
  <si>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</si>
  <si>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</si>
  <si>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</si>
  <si>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</si>
  <si>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</si>
  <si>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</si>
  <si>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</si>
  <si>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</si>
  <si>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</si>
  <si>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</si>
  <si>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</si>
  <si>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</si>
  <si>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</si>
  <si>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</si>
  <si>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</si>
  <si>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</si>
  <si>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</si>
  <si>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</si>
  <si>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</si>
  <si>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</si>
  <si>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</si>
  <si>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</si>
  <si>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</si>
  <si>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</si>
  <si>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</si>
  <si>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</si>
  <si>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</si>
  <si>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</si>
  <si>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</si>
  <si>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</si>
  <si>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</si>
  <si>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</si>
  <si>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</si>
  <si>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</si>
  <si>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</si>
  <si>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</si>
  <si>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</si>
  <si>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</si>
  <si>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</si>
  <si>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</si>
  <si>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</si>
  <si>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</si>
  <si>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</si>
  <si>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</si>
  <si>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</si>
  <si>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</si>
  <si>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</si>
  <si>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</si>
  <si>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</si>
  <si>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</si>
  <si>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</si>
  <si>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</si>
  <si>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</si>
  <si>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</si>
  <si>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</si>
  <si>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</si>
  <si>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</si>
  <si>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</si>
  <si>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</si>
  <si>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</si>
  <si>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</si>
  <si>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</si>
  <si>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</si>
  <si>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</si>
  <si>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</si>
  <si>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</si>
  <si>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</si>
  <si>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</si>
  <si>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</si>
  <si>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</si>
  <si>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</si>
  <si>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</si>
  <si>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</si>
  <si>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</si>
  <si>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</si>
  <si>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</si>
  <si>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</si>
  <si>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</si>
  <si>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</si>
  <si>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</si>
  <si>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</si>
  <si>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</si>
  <si>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</si>
  <si>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</si>
  <si>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</si>
  <si>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</si>
  <si>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</si>
  <si>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</si>
  <si>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</si>
  <si>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</si>
  <si>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</si>
  <si>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</si>
  <si>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</si>
  <si>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</si>
  <si>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</si>
  <si>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</si>
  <si>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</si>
  <si>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</si>
  <si>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</si>
  <si>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</si>
  <si>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</si>
  <si>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</si>
  <si>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</si>
  <si>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</si>
  <si>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</si>
  <si>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</si>
  <si>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</si>
  <si>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</si>
  <si>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</si>
  <si>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</si>
  <si>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</si>
  <si>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</si>
  <si>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</si>
  <si>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</si>
  <si>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</si>
  <si>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</si>
  <si>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</si>
  <si>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</si>
  <si>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</si>
  <si>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</si>
  <si>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</si>
  <si>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</si>
  <si>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</si>
  <si>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</si>
  <si>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</si>
  <si>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 прочих работников аппарата местной администрации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</si>
  <si>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</si>
  <si>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</si>
  <si>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</si>
  <si>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</si>
  <si>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</si>
  <si>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Меропрития по профилактике правонарушений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</si>
  <si>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</si>
  <si>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</si>
  <si>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по составлению списков кандидатов в присяжные заседатели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</si>
  <si>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</si>
  <si>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</si>
  <si>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</si>
  <si>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</si>
  <si>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</si>
  <si>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</si>
  <si>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</si>
  <si>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</si>
  <si>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</si>
  <si>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</si>
  <si>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</si>
  <si>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</si>
  <si>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</si>
  <si>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</si>
  <si>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</si>
  <si>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</si>
  <si>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</si>
  <si>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</si>
  <si>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</si>
  <si>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</si>
  <si>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</si>
  <si>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</si>
  <si>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</si>
  <si>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</si>
  <si>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</si>
  <si>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</si>
  <si>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</si>
  <si>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</si>
  <si>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</si>
  <si>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</si>
  <si>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</si>
  <si>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</si>
  <si>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55 0 00 00000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</si>
  <si>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</si>
  <si>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</si>
  <si>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Управление культуры, социальной и молодежной политики  администрации Омсукчанского городского округа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</si>
  <si>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</si>
  <si>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</si>
  <si>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</si>
  <si>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</si>
  <si>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</si>
  <si>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</si>
  <si>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</si>
  <si>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</si>
  <si>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</si>
  <si>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</si>
  <si>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</si>
  <si>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</si>
  <si>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</si>
  <si>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</si>
  <si>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</si>
  <si>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</si>
  <si>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</si>
  <si>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</si>
  <si>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</si>
  <si>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</si>
  <si>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</si>
  <si>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</si>
  <si>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</si>
  <si>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</si>
  <si>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</si>
  <si>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</si>
  <si>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</si>
  <si>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</si>
  <si>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</si>
  <si>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</si>
  <si>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</si>
  <si>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</si>
  <si>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</si>
  <si>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</si>
  <si>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 xml:space="preserve">Подпрограмма  "Улучшение демографической ситуации в Омсукчанском городском округе" 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</si>
  <si>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</si>
  <si>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</si>
  <si>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</si>
  <si>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</si>
  <si>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</si>
  <si>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</si>
  <si>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</si>
  <si>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Поддержка преподавания этнических языков (корякский, эвенский, юкагирский и якутский) 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</si>
  <si>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</si>
  <si>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</si>
  <si>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</si>
  <si>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</si>
  <si>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</si>
  <si>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</si>
  <si>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Управление образования администрации Омсукчанского городского округа</t>
  </si>
  <si>
    <t>Дошкольное образование</t>
  </si>
  <si>
    <t>52 0 00 00000</t>
  </si>
  <si>
    <t xml:space="preserve">Целевые субсидии муниципальным учреждениям  на выполнение мероприятий по организации питания 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</si>
  <si>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</si>
  <si>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</si>
  <si>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</si>
  <si>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муниципальным учреждениям  на проведение физкультурно-спортивных мероприятий</t>
  </si>
  <si>
    <t>Осуществление мероприятий по реконструкции и капитальному ремонту общеобразовательных организаций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</si>
  <si>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</si>
  <si>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</si>
  <si>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Молодежная политика и оздоровление детей</t>
  </si>
  <si>
    <t>Прочие мероприятия в области образования</t>
  </si>
  <si>
    <t>Управление спорта и туризма администрации Омсукчанского городского округа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</si>
  <si>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</si>
  <si>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</si>
  <si>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</si>
  <si>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</si>
  <si>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</si>
  <si>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</si>
  <si>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</si>
  <si>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</si>
  <si>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</si>
  <si>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</si>
  <si>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</si>
  <si>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</si>
  <si>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</si>
  <si>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</si>
  <si>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</si>
  <si>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Ремонт и подготовка жилфонда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</si>
  <si>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</si>
  <si>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</si>
  <si>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</si>
  <si>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</si>
  <si>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</si>
  <si>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</si>
  <si>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</si>
  <si>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</si>
  <si>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</si>
  <si>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</si>
  <si>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Наружнее освещение, иллюминация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</si>
  <si>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</si>
  <si>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</si>
  <si>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</si>
  <si>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</si>
  <si>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</si>
  <si>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</si>
  <si>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</si>
  <si>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</si>
  <si>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</si>
  <si>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</si>
  <si>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</si>
  <si>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</si>
  <si>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</si>
  <si>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</si>
  <si>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</si>
  <si>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</si>
  <si>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</si>
  <si>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</si>
  <si>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</si>
  <si>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</si>
  <si>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</si>
  <si>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</si>
  <si>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</si>
  <si>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</si>
  <si>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</si>
  <si>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</si>
  <si>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</si>
  <si>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</si>
  <si>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</si>
  <si>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903</t>
  </si>
  <si>
    <t xml:space="preserve">Подпрограмма "Улучшение демографической ситуации в Омсукчанском городском округе" 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</si>
  <si>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</si>
  <si>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</si>
  <si>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</si>
  <si>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</si>
  <si>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</si>
  <si>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</si>
  <si>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</si>
  <si>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</si>
  <si>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</si>
  <si>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</si>
  <si>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</si>
  <si>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</si>
  <si>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</si>
  <si>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</si>
  <si>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</si>
  <si>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</si>
  <si>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</si>
  <si>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</si>
  <si>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</si>
  <si>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</si>
  <si>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</si>
  <si>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</si>
  <si>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</si>
  <si>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</si>
  <si>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</si>
  <si>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Осуществление государственных полномочий по отлову и содержанию безнадзорных животных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</si>
  <si>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</si>
  <si>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</si>
  <si>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</si>
  <si>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</si>
  <si>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</si>
  <si>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Уплата налогов, сборов и иных платежей</t>
  </si>
  <si>
    <t>64 0 00 00000</t>
  </si>
  <si>
    <t>Проведение мероприятий в рамках муниципальных программ</t>
  </si>
  <si>
    <t>65 0 00 00000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</si>
  <si>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</si>
  <si>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</si>
  <si>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</si>
  <si>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</si>
  <si>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</si>
  <si>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</si>
  <si>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</si>
  <si>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</si>
  <si>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</si>
  <si>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</si>
  <si>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</si>
  <si>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</si>
  <si>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</si>
  <si>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</si>
  <si>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</si>
  <si>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</si>
  <si>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</si>
  <si>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</si>
  <si>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</si>
  <si>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</si>
  <si>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</si>
  <si>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</si>
  <si>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</si>
  <si>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</si>
  <si>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</si>
  <si>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</si>
  <si>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</si>
  <si>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</si>
  <si>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</si>
  <si>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</si>
  <si>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</si>
  <si>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</si>
  <si>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</si>
  <si>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</si>
  <si>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</si>
  <si>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</si>
  <si>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</si>
  <si>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</si>
  <si>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</si>
  <si>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</si>
  <si>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</si>
  <si>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</si>
  <si>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</si>
  <si>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</si>
  <si>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</si>
  <si>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</si>
  <si>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</si>
  <si>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</si>
  <si>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</si>
  <si>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</si>
  <si>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</si>
  <si>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</si>
  <si>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</si>
  <si>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</si>
  <si>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</si>
  <si>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</si>
  <si>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</si>
  <si>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</si>
  <si>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</si>
  <si>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</si>
  <si>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</si>
  <si>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</si>
  <si>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</si>
  <si>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</si>
  <si>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</si>
  <si>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</si>
  <si>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</si>
  <si>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</si>
  <si>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</si>
  <si>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</si>
  <si>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</si>
  <si>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</si>
  <si>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</si>
  <si>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</si>
  <si>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</si>
  <si>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</si>
  <si>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</si>
  <si>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</si>
  <si>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</si>
  <si>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</si>
  <si>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</si>
  <si>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</si>
  <si>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</si>
  <si>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</si>
  <si>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</si>
  <si>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</si>
  <si>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</si>
  <si>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</si>
  <si>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</si>
  <si>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</si>
  <si>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</si>
  <si>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</si>
  <si>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</si>
  <si>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</si>
  <si>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</si>
  <si>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</si>
  <si>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</si>
  <si>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</si>
  <si>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</si>
  <si>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</si>
  <si>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</si>
  <si>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</si>
  <si>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</si>
  <si>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</si>
  <si>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</si>
  <si>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</si>
  <si>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</si>
  <si>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</si>
  <si>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</si>
  <si>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</si>
  <si>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</si>
  <si>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</si>
  <si>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</si>
  <si>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</si>
  <si>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</si>
  <si>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</si>
  <si>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</si>
  <si>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</si>
  <si>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</si>
  <si>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</si>
  <si>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</si>
  <si>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</si>
  <si>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</si>
  <si>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</si>
  <si>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</si>
  <si>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</si>
  <si>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</si>
  <si>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</si>
  <si>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</si>
  <si>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</si>
  <si>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</si>
  <si>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</si>
  <si>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</si>
  <si>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</si>
  <si>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</si>
  <si>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</si>
  <si>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</si>
  <si>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</si>
  <si>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</si>
  <si>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</si>
  <si>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</si>
  <si>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</si>
  <si>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</si>
  <si>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</si>
  <si>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</si>
  <si>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</si>
  <si>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</si>
  <si>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</si>
  <si>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</si>
  <si>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</si>
  <si>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</si>
  <si>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</si>
  <si>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</si>
  <si>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</si>
  <si>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</si>
  <si>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</si>
  <si>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</si>
  <si>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</si>
  <si>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</si>
  <si>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</si>
  <si>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</si>
  <si>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</si>
  <si>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</si>
  <si>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</si>
  <si>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</si>
  <si>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</si>
  <si>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</si>
  <si>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</si>
  <si>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</si>
  <si>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</si>
  <si>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</si>
  <si>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</si>
  <si>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</si>
  <si>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</si>
  <si>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</si>
  <si>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</si>
  <si>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</si>
  <si>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</si>
  <si>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</si>
  <si>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</si>
  <si>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</si>
  <si>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</si>
  <si>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</si>
  <si>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</si>
  <si>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</si>
  <si>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</si>
  <si>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</si>
  <si>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</si>
  <si>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</si>
  <si>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</si>
  <si>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</si>
  <si>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</si>
  <si>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</si>
  <si>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</si>
  <si>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</si>
  <si>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</si>
  <si>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</si>
  <si>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</si>
  <si>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</si>
  <si>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</si>
  <si>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</si>
  <si>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</si>
  <si>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</si>
  <si>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</si>
  <si>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</si>
  <si>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</si>
  <si>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</si>
  <si>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</si>
  <si>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</si>
  <si>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</si>
  <si>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</si>
  <si>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</si>
  <si>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</si>
  <si>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</si>
  <si>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</si>
  <si>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</si>
  <si>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</si>
  <si>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</si>
  <si>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</si>
  <si>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</si>
  <si>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</si>
  <si>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</si>
  <si>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</si>
  <si>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</si>
  <si>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</si>
  <si>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</si>
  <si>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</si>
  <si>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</si>
  <si>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</si>
  <si>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</si>
  <si>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</si>
  <si>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</si>
  <si>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</si>
  <si>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</si>
  <si>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</si>
  <si>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</si>
  <si>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</si>
  <si>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</si>
  <si>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</si>
  <si>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</si>
  <si>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</si>
  <si>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</si>
  <si>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</si>
  <si>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</si>
  <si>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</si>
  <si>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</si>
  <si>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</si>
  <si>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</si>
  <si>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</si>
  <si>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</si>
  <si>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</si>
  <si>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</si>
  <si>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</si>
  <si>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</si>
  <si>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</si>
  <si>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</si>
  <si>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</si>
  <si>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</si>
  <si>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</si>
  <si>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</si>
  <si>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</si>
  <si>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</si>
  <si>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</si>
  <si>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</si>
  <si>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</si>
  <si>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</si>
  <si>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</si>
  <si>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</si>
  <si>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</si>
  <si>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</si>
  <si>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</si>
  <si>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</si>
  <si>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</si>
  <si>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</si>
  <si>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</si>
  <si>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</si>
  <si>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</si>
  <si>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</si>
  <si>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</si>
  <si>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</si>
  <si>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</si>
  <si>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</si>
  <si>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</si>
  <si>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</si>
  <si>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 xml:space="preserve">01 0 03 51200 </t>
  </si>
  <si>
    <t>02 0 02 01110</t>
  </si>
  <si>
    <t>67 0 01 00000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</si>
  <si>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</si>
  <si>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</si>
  <si>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</si>
  <si>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</si>
  <si>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</si>
  <si>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</si>
  <si>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</si>
  <si>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</si>
  <si>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</si>
  <si>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</si>
  <si>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</si>
  <si>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</si>
  <si>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</si>
  <si>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</si>
  <si>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</si>
  <si>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</si>
  <si>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</si>
  <si>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</si>
  <si>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</si>
  <si>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</si>
  <si>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</si>
  <si>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</si>
  <si>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</si>
  <si>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</si>
  <si>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</si>
  <si>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</si>
  <si>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</si>
  <si>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</si>
  <si>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</si>
  <si>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</si>
  <si>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</si>
  <si>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</si>
  <si>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</si>
  <si>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</si>
  <si>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</si>
  <si>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</si>
  <si>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</si>
  <si>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</si>
  <si>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</si>
  <si>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</si>
  <si>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</si>
  <si>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</si>
  <si>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</si>
  <si>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</si>
  <si>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</si>
  <si>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</si>
  <si>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</si>
  <si>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</si>
  <si>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</si>
  <si>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</si>
  <si>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</si>
  <si>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</si>
  <si>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</si>
  <si>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</si>
  <si>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</si>
  <si>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</si>
  <si>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</si>
  <si>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</si>
  <si>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</si>
  <si>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</si>
  <si>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</si>
  <si>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</si>
  <si>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</si>
  <si>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</si>
  <si>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</si>
  <si>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</si>
  <si>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</si>
  <si>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</si>
  <si>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</si>
  <si>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</si>
  <si>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</si>
  <si>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</si>
  <si>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</si>
  <si>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</si>
  <si>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</si>
  <si>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</si>
  <si>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</si>
  <si>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</si>
  <si>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</si>
  <si>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</si>
  <si>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</si>
  <si>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</si>
  <si>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</si>
  <si>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</si>
  <si>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</si>
  <si>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</si>
  <si>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</si>
  <si>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</si>
  <si>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</si>
  <si>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</si>
  <si>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</si>
  <si>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</si>
  <si>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</si>
  <si>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</si>
  <si>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Основное мероприятие "Государственная поддержка отрасли культуры"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</si>
  <si>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</si>
  <si>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</si>
  <si>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</si>
  <si>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</si>
  <si>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</si>
  <si>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</si>
  <si>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</si>
  <si>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</si>
  <si>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</si>
  <si>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</si>
  <si>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</si>
  <si>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</si>
  <si>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</si>
  <si>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</si>
  <si>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</si>
  <si>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</si>
  <si>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</si>
  <si>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</si>
  <si>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</si>
  <si>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</si>
  <si>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</si>
  <si>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</si>
  <si>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</si>
  <si>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</si>
  <si>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</si>
  <si>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</si>
  <si>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A1 55190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</si>
  <si>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</si>
  <si>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</si>
  <si>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</si>
  <si>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</si>
  <si>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</si>
  <si>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</si>
  <si>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</si>
  <si>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</si>
  <si>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</si>
  <si>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</si>
  <si>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</si>
  <si>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</si>
  <si>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</si>
  <si>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</si>
  <si>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</si>
  <si>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</si>
  <si>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</si>
  <si>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</si>
  <si>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</si>
  <si>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</si>
  <si>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</si>
  <si>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</si>
  <si>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</si>
  <si>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</si>
  <si>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52 0 10 00000</t>
  </si>
  <si>
    <t>52 0 10 S3420</t>
  </si>
  <si>
    <t>52 0 10 73420</t>
  </si>
  <si>
    <t>52 0 01 12000</t>
  </si>
  <si>
    <t>52 0 02 74130</t>
  </si>
  <si>
    <t>Основное мероприятие "Развитие образовательных  учреждений"</t>
  </si>
  <si>
    <t>52 0 03 20060</t>
  </si>
  <si>
    <t>52 0 08 00000</t>
  </si>
  <si>
    <t>52 0 08 S3950</t>
  </si>
  <si>
    <t>52 0 05 20070</t>
  </si>
  <si>
    <t>52 0 09 00000</t>
  </si>
  <si>
    <t>52 0 01 13000</t>
  </si>
  <si>
    <t>52 0 04 S3210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</si>
  <si>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</si>
  <si>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</si>
  <si>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</si>
  <si>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</si>
  <si>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</si>
  <si>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</si>
  <si>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</si>
  <si>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</si>
  <si>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</si>
  <si>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</si>
  <si>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</si>
  <si>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</si>
  <si>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</si>
  <si>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</si>
  <si>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</si>
  <si>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</si>
  <si>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>Субсидии на создание модельных библиотек</t>
  </si>
  <si>
    <t>01 13</t>
  </si>
  <si>
    <t>08 01</t>
  </si>
  <si>
    <t>10 03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</si>
  <si>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</si>
  <si>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</si>
  <si>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</si>
  <si>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</si>
  <si>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</si>
  <si>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</si>
  <si>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</si>
  <si>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</si>
  <si>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</si>
  <si>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</si>
  <si>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</si>
  <si>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 образовательных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</si>
  <si>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</si>
  <si>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</si>
  <si>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</si>
  <si>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</si>
  <si>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58 0 01 01790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</si>
  <si>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</si>
  <si>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</si>
  <si>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</si>
  <si>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</si>
  <si>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</si>
  <si>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</si>
  <si>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</si>
  <si>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</si>
  <si>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</si>
  <si>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</si>
  <si>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60 0 03 74170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</si>
  <si>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</si>
  <si>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</si>
  <si>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</si>
  <si>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</si>
  <si>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</si>
  <si>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</si>
  <si>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</si>
  <si>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</si>
  <si>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</si>
  <si>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</si>
  <si>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</si>
  <si>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</si>
  <si>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</si>
  <si>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</si>
  <si>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</si>
  <si>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</si>
  <si>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</si>
  <si>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</si>
  <si>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</si>
  <si>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</si>
  <si>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</si>
  <si>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</si>
  <si>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</si>
  <si>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</si>
  <si>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</si>
  <si>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</si>
  <si>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</si>
  <si>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</si>
  <si>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</si>
  <si>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</si>
  <si>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</si>
  <si>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</si>
  <si>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</si>
  <si>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>Муниципальная программа "Развитие культуры в Омсукчанском городском  округе"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</si>
  <si>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</si>
  <si>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</si>
  <si>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</si>
  <si>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</si>
  <si>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</si>
  <si>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</si>
  <si>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</si>
  <si>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</si>
  <si>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</si>
  <si>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</si>
  <si>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</si>
  <si>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</si>
  <si>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</si>
  <si>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</si>
  <si>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</si>
  <si>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</si>
  <si>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</si>
  <si>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</si>
  <si>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</si>
  <si>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</si>
  <si>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</si>
  <si>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</si>
  <si>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</si>
  <si>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</si>
  <si>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</si>
  <si>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</si>
  <si>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</si>
  <si>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</si>
  <si>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</si>
  <si>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</si>
  <si>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</si>
  <si>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</si>
  <si>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</si>
  <si>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07 02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</si>
  <si>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</si>
  <si>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</si>
  <si>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</si>
  <si>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</si>
  <si>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</si>
  <si>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</si>
  <si>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</si>
  <si>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</si>
  <si>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</si>
  <si>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</si>
  <si>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</si>
  <si>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</si>
  <si>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52 0 09 S3443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</si>
  <si>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</si>
  <si>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</si>
  <si>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</si>
  <si>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</si>
  <si>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</si>
  <si>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</si>
  <si>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</si>
  <si>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</si>
  <si>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</si>
  <si>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</si>
  <si>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</si>
  <si>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</si>
  <si>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</si>
  <si>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</si>
  <si>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</si>
  <si>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</si>
  <si>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</si>
  <si>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</si>
  <si>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</si>
  <si>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</si>
  <si>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</si>
  <si>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</si>
  <si>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</si>
  <si>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</si>
  <si>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</si>
  <si>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</si>
  <si>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</si>
  <si>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</si>
  <si>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</si>
  <si>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</si>
  <si>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</si>
  <si>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</si>
  <si>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</si>
  <si>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</si>
  <si>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</si>
  <si>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</si>
  <si>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</si>
  <si>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</si>
  <si>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</si>
  <si>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</si>
  <si>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</si>
  <si>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</si>
  <si>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</si>
  <si>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</si>
  <si>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</si>
  <si>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</si>
  <si>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</si>
  <si>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11 01</t>
  </si>
  <si>
    <t>58 0 01 S3У10</t>
  </si>
  <si>
    <t>Обеспечение гарантированного комплектования фондов муниципальных библиотек</t>
  </si>
  <si>
    <t>07 07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</si>
  <si>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</si>
  <si>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</si>
  <si>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04 05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</si>
  <si>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</si>
  <si>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04 12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</si>
  <si>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</si>
  <si>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</si>
  <si>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</si>
  <si>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</si>
  <si>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к решению СПОГО</t>
  </si>
  <si>
    <t xml:space="preserve">               Приложение № 1.1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</si>
  <si>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</si>
  <si>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</si>
  <si>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</si>
  <si>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</si>
  <si>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</si>
  <si>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</si>
  <si>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</si>
  <si>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</si>
  <si>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</si>
  <si>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</si>
  <si>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</si>
  <si>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</si>
  <si>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</si>
  <si>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</si>
  <si>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</si>
  <si>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</si>
  <si>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</si>
  <si>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</si>
  <si>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</si>
  <si>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</si>
  <si>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</si>
  <si>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</si>
  <si>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</si>
  <si>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</si>
  <si>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</si>
  <si>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</si>
  <si>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</si>
  <si>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</si>
  <si>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</si>
  <si>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</si>
  <si>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</si>
  <si>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</si>
  <si>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</si>
  <si>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</si>
  <si>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</si>
  <si>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</si>
  <si>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</si>
  <si>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</si>
  <si>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</si>
  <si>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</si>
  <si>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</si>
  <si>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</si>
  <si>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</si>
  <si>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</si>
  <si>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</si>
  <si>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</si>
  <si>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</si>
  <si>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>05 01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</si>
  <si>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</si>
  <si>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</si>
  <si>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</si>
  <si>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</si>
  <si>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</si>
  <si>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</si>
  <si>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</si>
  <si>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</si>
  <si>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</si>
  <si>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</si>
  <si>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</si>
  <si>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</si>
  <si>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</si>
  <si>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</si>
  <si>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</si>
  <si>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</si>
  <si>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</si>
  <si>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</si>
  <si>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</si>
  <si>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</si>
  <si>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</si>
  <si>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</si>
  <si>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</si>
  <si>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</si>
  <si>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</si>
  <si>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</si>
  <si>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</si>
  <si>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</si>
  <si>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</si>
  <si>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</si>
  <si>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</si>
  <si>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</si>
  <si>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</si>
  <si>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</si>
  <si>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</si>
  <si>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</si>
  <si>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</si>
  <si>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</si>
  <si>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</si>
  <si>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</si>
  <si>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</si>
  <si>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</si>
  <si>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</si>
  <si>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</si>
  <si>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</si>
  <si>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</si>
  <si>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</si>
  <si>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</si>
  <si>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</si>
  <si>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</si>
  <si>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</si>
  <si>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11 05</t>
  </si>
  <si>
    <t>60 0 05 00000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</si>
  <si>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</si>
  <si>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</si>
  <si>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</si>
  <si>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</si>
  <si>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</si>
  <si>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</si>
  <si>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</si>
  <si>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</si>
  <si>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</si>
  <si>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57 0 02 20100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</si>
  <si>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</si>
  <si>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</si>
  <si>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</si>
  <si>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</si>
  <si>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</si>
  <si>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</si>
  <si>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</si>
  <si>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</si>
  <si>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</si>
  <si>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</si>
  <si>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</si>
  <si>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</si>
  <si>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</si>
  <si>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</si>
  <si>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</si>
  <si>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</si>
  <si>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</si>
  <si>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</si>
  <si>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</si>
  <si>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</si>
  <si>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</si>
  <si>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</si>
  <si>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</si>
  <si>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</si>
  <si>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Единая субвенция, предоставляемая бюджетам городских округов Магаданской области из областного бюджета, для осуществления переданных государственных полномочий Магаданской области</t>
  </si>
  <si>
    <t>Содержание  казенных учреждений</t>
  </si>
  <si>
    <t>Контрольно- счетная палата Омсукчанского городского округа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</si>
  <si>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</si>
  <si>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</si>
  <si>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</si>
  <si>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Основное мероприятие ""</t>
  </si>
  <si>
    <t>Основное мероприятие " "</t>
  </si>
  <si>
    <t>Обеспечение персонифицированного финансирования дополнительного образования детей</t>
  </si>
  <si>
    <t>бюджет Омсукчанского городского округа в 2022 году</t>
  </si>
  <si>
    <t xml:space="preserve">Ведомственная  структура расходов бюджета Омсукчанского городского округа на 2022 год </t>
  </si>
  <si>
    <t xml:space="preserve">от        12.2021 года  № </t>
  </si>
  <si>
    <t>1 01 02080 01 0000110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</si>
  <si>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</si>
  <si>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</si>
  <si>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</si>
  <si>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</t>
  </si>
  <si>
    <t>область</t>
  </si>
  <si>
    <t>РзПр</t>
  </si>
  <si>
    <t>федер.</t>
  </si>
  <si>
    <t>Формула расчета</t>
  </si>
  <si>
    <t>Процент софинансирования м/б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</si>
  <si>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</t>
  </si>
  <si>
    <t>Субсидии бюджетам городских округов на организацию питания в образовательных учреждениях</t>
  </si>
  <si>
    <t>Субсидии бюджетам городских округов на укрепление материально-технической базы в области физической культуры и спорта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</si>
  <si>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</si>
  <si>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</si>
  <si>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</si>
  <si>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</si>
  <si>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57 0 07 S3080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</si>
  <si>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</si>
  <si>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</si>
  <si>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</si>
  <si>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</si>
  <si>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</si>
  <si>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Мероприятия по увековечиванию памяти погибших при защите Отечества</t>
  </si>
  <si>
    <t>51 4 01 L2990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</si>
  <si>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
</t>
  </si>
  <si>
    <t>Развитие сети учреждений культурно-досугового типа</t>
  </si>
  <si>
    <t>58 0 A1 55130</t>
  </si>
  <si>
    <t>Субсидии бюджетам городских округов на развитие сети учреждений культурно-досугового типа</t>
  </si>
  <si>
    <t>Мероприятия по государственной поддержке отрасли культуры</t>
  </si>
  <si>
    <t>58 0 06 L5190</t>
  </si>
  <si>
    <t>2 02 25497 04 0000 150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</si>
  <si>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</si>
  <si>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</si>
  <si>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</si>
  <si>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</si>
  <si>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</si>
  <si>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</si>
  <si>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Субсидии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</t>
  </si>
  <si>
    <t>Осуществление переданных государственных полномочий Магаданской области за счет единой субвенции</t>
  </si>
  <si>
    <t>52 0 02 74200</t>
  </si>
  <si>
    <t>58 0 04 74200</t>
  </si>
  <si>
    <t>07 01                         0702</t>
  </si>
  <si>
    <t>Область и федерация</t>
  </si>
  <si>
    <t>бюджета Омсукчанского городского округа  на 2022 год</t>
  </si>
  <si>
    <t xml:space="preserve"> расходов бюджетов Российской Федерации на  2022 год</t>
  </si>
  <si>
    <t xml:space="preserve">от     .2021 года  №       </t>
  </si>
  <si>
    <t>Приложение № 2</t>
  </si>
  <si>
    <t>01 0 03 74200</t>
  </si>
  <si>
    <t>01 0 04 01790</t>
  </si>
  <si>
    <t>52 0 07 S3090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</si>
  <si>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
</t>
  </si>
  <si>
    <t xml:space="preserve">                 от        2021г. №</t>
  </si>
  <si>
    <t>на плановый период 2023-2024 годов</t>
  </si>
  <si>
    <t>План на 2024 год</t>
  </si>
  <si>
    <t xml:space="preserve">от       .2021 года № 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</si>
  <si>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2022 год</t>
  </si>
  <si>
    <t xml:space="preserve">2 02 25299 04 0000 150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</si>
  <si>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</si>
  <si>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</si>
  <si>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2 02 25497 00 0000 150</t>
  </si>
  <si>
    <t>Субсидии бюджетам на реализацию мероприятий по обеспечению жильем молодых семей</t>
  </si>
  <si>
    <t>2 02 25513 00 0000 150</t>
  </si>
  <si>
    <t>Субсидии бюджетам на развитие сети учреждений культурно-досугового типа</t>
  </si>
  <si>
    <t>2 02 25513 04 0000 150</t>
  </si>
  <si>
    <t>Субсидии бюджетам городских округов на возмещение расходов по коммунальным услугам учреждениям социальной сферы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</si>
  <si>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</si>
  <si>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</si>
  <si>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</si>
  <si>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</si>
  <si>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</si>
  <si>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</si>
  <si>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</si>
  <si>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</si>
  <si>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Ведомственная  структура расходов бюджета Омсукчанского городского округа на 2023-2024 годы </t>
  </si>
  <si>
    <t>по расчету области</t>
  </si>
  <si>
    <t>от                 2021г. №</t>
  </si>
  <si>
    <t>от            .2021 года  №</t>
  </si>
  <si>
    <t xml:space="preserve">План на 2023год </t>
  </si>
  <si>
    <t>='Пр.4.1 ведом.23-24 '!G1030</t>
  </si>
  <si>
    <t xml:space="preserve"> расходов бюджетов Российской Федерации на  2023-2024 годы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</si>
  <si>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2023-2024 годы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</si>
  <si>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</si>
  <si>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2023-2024 годы</t>
  </si>
  <si>
    <t xml:space="preserve">План на 2024год </t>
  </si>
  <si>
    <t>Приложение № 3.1.</t>
  </si>
  <si>
    <t>Приложение № 6.1.</t>
  </si>
  <si>
    <t>Распределения бюджетных ассигнований, направляемых на исполнение публичных нормативных обязательств на 2023-2024 годы</t>
  </si>
  <si>
    <t>58 0 А2 00000</t>
  </si>
  <si>
    <t>58 0 A2 55190</t>
  </si>
  <si>
    <t>Основное мероприятие " Создание условий для реализации творческого потенциала нации"</t>
  </si>
  <si>
    <t>52 0 17 01970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</si>
  <si>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</si>
  <si>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</si>
  <si>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</si>
  <si>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</si>
  <si>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>59 0 01 0 20110</t>
  </si>
  <si>
    <t>64 0 02 20110</t>
  </si>
  <si>
    <t>Приложение №4.1</t>
  </si>
  <si>
    <t>Приложение № 5.1.</t>
  </si>
  <si>
    <t>Приложение № 2.1</t>
  </si>
  <si>
    <t>Укрепление материально-технической базы в области физической культуры  и спорта (по соглашению м/б - 30100руб.)</t>
  </si>
  <si>
    <t>Возмещение расходов по коммунальным услугам физкультурно-оздоровительным и спортивным комплексам (по соглашению м/б 1506700руб.)</t>
  </si>
  <si>
    <t>Восстановление и модернизация муниципального имущества в городских округах Магаданской области (по соглашению м/б 517206,82)</t>
  </si>
  <si>
    <t>(-255)</t>
  </si>
  <si>
    <t>(+5,06)(+5,06)</t>
  </si>
  <si>
    <t>(+21,18)(+21,18)</t>
  </si>
  <si>
    <t>(+135,74)(+135,74)</t>
  </si>
  <si>
    <t>(-0,1)</t>
  </si>
  <si>
    <t>(-122,5)(-126,2)</t>
  </si>
  <si>
    <t>(-0,125)(-0,05)</t>
  </si>
  <si>
    <t>(-0,1)(-0,05)</t>
  </si>
  <si>
    <t>План на 2024год</t>
  </si>
  <si>
    <t>бюджета Омсукчанского городского округа  на 2023-20243 годы</t>
  </si>
  <si>
    <t>(-456,6)(-456,6)</t>
  </si>
  <si>
    <t>S3090</t>
  </si>
  <si>
    <t>д/с Омсукчан</t>
  </si>
  <si>
    <t>д/с Дукат</t>
  </si>
  <si>
    <t>ООШ</t>
  </si>
  <si>
    <t>СОШ Дукат</t>
  </si>
  <si>
    <t>СОШ Омсукчан</t>
  </si>
  <si>
    <t>(+48,9)(+55,8)</t>
  </si>
  <si>
    <t>(-48,9)(-55,8)</t>
  </si>
  <si>
    <t>68 0 00 00000</t>
  </si>
  <si>
    <t>68 0 01 00000</t>
  </si>
  <si>
    <t>68 0 01 01980</t>
  </si>
  <si>
    <t>350</t>
  </si>
  <si>
    <t>(+30)(+30)</t>
  </si>
  <si>
    <t>68 0 00 01980</t>
  </si>
  <si>
    <t>(-0,063)</t>
  </si>
  <si>
    <t>(-0,01)(-0,01)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</si>
  <si>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городской округ" " 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</si>
  <si>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</si>
  <si>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</si>
  <si>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</si>
  <si>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(-13,7)(-65,87)</t>
  </si>
  <si>
    <t>(+478,41)(+478,41)</t>
  </si>
  <si>
    <t>(-335,19)(-350,69)</t>
  </si>
  <si>
    <t>(+15,8)(+15,8)</t>
  </si>
  <si>
    <t>(-159,1)(-159,1)</t>
  </si>
  <si>
    <t>(+15,6)</t>
  </si>
  <si>
    <t>(-0,08)(+0,02)</t>
  </si>
  <si>
    <t>(-511)</t>
  </si>
  <si>
    <t>(+380)(+380)</t>
  </si>
  <si>
    <t>(+130)(+130)</t>
  </si>
  <si>
    <t>(+0,2)</t>
  </si>
  <si>
    <t>(+0,1)(+0,2)</t>
  </si>
  <si>
    <t>(-0,1)(-0,2)</t>
  </si>
  <si>
    <t>(-3)</t>
  </si>
  <si>
    <t>(-0,3)(-0,3)</t>
  </si>
  <si>
    <t>(+0,3)(+0,3)</t>
  </si>
  <si>
    <t>(+1)(+1)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</si>
  <si>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</si>
  <si>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"Реализация проекта "1000 дворов"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</si>
  <si>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</si>
  <si>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>60 0 06 00000</t>
  </si>
  <si>
    <t>60 0 06 55056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</si>
  <si>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</si>
  <si>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Мероприятия в сфере молодежной политики</t>
  </si>
  <si>
    <t>51 1 02 S3444</t>
  </si>
  <si>
    <t>Субсидии на реализацию мероприятий в сфере молодежной политики</t>
  </si>
  <si>
    <t>Мероприятия по увековечиванию памяти погибших при защите Отечества (доп.код с 1 на конце)</t>
  </si>
  <si>
    <t>Мероприятия по увековечиванию памяти погибших при защите Отечества (доп.код с 2 на конце)</t>
  </si>
  <si>
    <t xml:space="preserve"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</si>
  <si>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</si>
  <si>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2 02 45505 00 0000 150
</t>
  </si>
  <si>
    <t xml:space="preserve">2 02 45505 04 0000 150
</t>
  </si>
  <si>
    <t>в Кристе -</t>
  </si>
  <si>
    <t>Субсидии бюджетам городских округов Магаданской области на реализацию мероприятий в сфере молодежной политики</t>
  </si>
  <si>
    <t>2 02 36900 04 0000 150</t>
  </si>
  <si>
    <t>2 02 36900 00 0000 150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</si>
  <si>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</si>
  <si>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</si>
  <si>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60 0 06 55050</t>
  </si>
  <si>
    <t>Основное мероприятие "Комплексное развитие сельских территорий "</t>
  </si>
  <si>
    <t>60 0 07 00000</t>
  </si>
  <si>
    <t xml:space="preserve">Обеспечение комплексного развития сельских территорий </t>
  </si>
  <si>
    <t xml:space="preserve">60 0 07 L5760 </t>
  </si>
  <si>
    <t>Основное мероприятие "Комплексное развитие сельских территорий"</t>
  </si>
  <si>
    <t>(-1000,9)</t>
  </si>
  <si>
    <t>(+1000,9)</t>
  </si>
  <si>
    <t>Основное мероприятие "Создание условий для реализации творческого потенциала нации"</t>
  </si>
  <si>
    <t>Формирование современной городской среды</t>
  </si>
  <si>
    <t>Благоустройство общественных территорий</t>
  </si>
  <si>
    <t>65 0 01 69640</t>
  </si>
  <si>
    <t>Основное мероприятие "Подготовка к осенне-зимнему отопительному сезону"</t>
  </si>
  <si>
    <t>62 0 08 62110</t>
  </si>
  <si>
    <t>62 0 08 00000</t>
  </si>
  <si>
    <t>Мероприятия по подготовке к осенне-зимнему отопительному периоду</t>
  </si>
  <si>
    <t>Ликвидация несанкционированных свалок на территории городских округов Магаданской области</t>
  </si>
  <si>
    <t>0113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</si>
  <si>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</si>
  <si>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</si>
  <si>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Субсидии бюджетам городских округов на благоустройство общественных территорий</t>
  </si>
  <si>
    <t>Субсидии бюджетам городских округов на осуществление мероприятий по подготовке к осенне-зимнему отопительному периоду</t>
  </si>
  <si>
    <t xml:space="preserve">Исполнение судебных актов </t>
  </si>
  <si>
    <t>Целевые субсидии на организацию трудоустройства несовершеннолетних граждан</t>
  </si>
  <si>
    <t>Основное мероприятие "Содействие временному трудоустройству молодежи"</t>
  </si>
  <si>
    <t>57 0 08 00000</t>
  </si>
  <si>
    <t>57 0 08 20120</t>
  </si>
  <si>
    <t>02 0 02 01730</t>
  </si>
  <si>
    <t>51 1 01 20120</t>
  </si>
  <si>
    <t>52 0 18 00000</t>
  </si>
  <si>
    <t>52 0 18 20120</t>
  </si>
  <si>
    <t>58 0 02 20030</t>
  </si>
  <si>
    <t>58 0 02 20040</t>
  </si>
  <si>
    <t xml:space="preserve">Основное мероприятие "Прочие мероприятия в области культуры и искусства " </t>
  </si>
  <si>
    <t>58 0 09 00000</t>
  </si>
  <si>
    <t xml:space="preserve">Целевые субсидии на проведение мероприятий по новогоднему оформлению территории городского округа </t>
  </si>
  <si>
    <t>58 0 09 20190</t>
  </si>
  <si>
    <t>Основное мероприятие "Прочие мероприятия в области культуры и искусства"</t>
  </si>
  <si>
    <t>Субсидии бюджетам муниципальных образований на реализацию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</si>
  <si>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</si>
  <si>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10 06</t>
  </si>
  <si>
    <t>59 0 02 20030</t>
  </si>
  <si>
    <t>Охрана окружающей среды</t>
  </si>
  <si>
    <t>Другие вопросы в области охраны окружающей среды</t>
  </si>
  <si>
    <t xml:space="preserve">Субсидии бюджетам городских округов  на реализацию мероприятий поддержки развития малого и среднего предпринимательства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</si>
  <si>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</si>
  <si>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</si>
  <si>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1 11 09044 04 0000 120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</si>
  <si>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</si>
  <si>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"Развитие системы обращения с твердыми коммунальными отходами на территории Омсучанского городского округа</t>
  </si>
  <si>
    <t>Основное мероприятие " Снижение негативного влияния отходов на состояние окружающей среды"</t>
  </si>
  <si>
    <t>71 0 00 00000</t>
  </si>
  <si>
    <t>71 0 01 00000</t>
  </si>
  <si>
    <t>71 0 01 S3П08</t>
  </si>
  <si>
    <t>Распределения бюджетных ассигнований, направляемых на исполнение публичных нормативных обязательств бюджета Омсукчанского городского округа на 2022 год</t>
  </si>
  <si>
    <t>02 0 02 01990</t>
  </si>
  <si>
    <t>Мероприятия, проводимые за счет резервного фонда администрации Омсукчанского городского округа</t>
  </si>
  <si>
    <t>52 0 03 20090</t>
  </si>
  <si>
    <t>Целевые субсидии по осуществлению гарантий и компенсаций расходов, связанных с переездом в районы Крайнего Севера</t>
  </si>
  <si>
    <t>58 0 03 20200</t>
  </si>
  <si>
    <t>Целевые субсидии на реализацию мер социальной поддержки мобилизованных граждан</t>
  </si>
  <si>
    <t>Управление Образования  Омсукчанского городского округа</t>
  </si>
  <si>
    <t xml:space="preserve">                                                                                                                                        от 21.11.2022 № 54 </t>
  </si>
  <si>
    <t>________________________________</t>
  </si>
  <si>
    <t xml:space="preserve">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</si>
  <si>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к решению СПОГО</t>
  </si>
  <si>
    <t xml:space="preserve">от 21.11.2022 № 54    </t>
  </si>
  <si>
    <t>от 21.11.2022 № 54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</si>
  <si>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2022 год</t>
  </si>
  <si>
    <t xml:space="preserve">                                         ____________________________</t>
  </si>
  <si>
    <t>Приложение № 4</t>
  </si>
  <si>
    <t>_______________________________</t>
  </si>
  <si>
    <t xml:space="preserve">от 21.11.2022 № 54 </t>
  </si>
  <si>
    <t>__________________________</t>
  </si>
  <si>
    <t>______________________</t>
  </si>
  <si>
    <t xml:space="preserve">                                                                             Приложение № 7</t>
  </si>
  <si>
    <t>_______________________</t>
  </si>
  <si>
    <t xml:space="preserve">                                                                                  к решению СПОГО</t>
  </si>
  <si>
    <t xml:space="preserve">                                                                                       от 21.11.2022 № 54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</si>
</sst>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#,##0.000000"/>
  </numFmts>
  <fonts count="5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164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4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693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0" fontId="8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Fill="1"/>
    <xf numFmtId="165" fontId="0" fillId="0" borderId="0" xfId="0" applyNumberFormat="1" applyFill="1" applyBorder="1"/>
    <xf numFmtId="165" fontId="0" fillId="0" borderId="0" xfId="0" applyNumberFormat="1" applyFill="1"/>
    <xf numFmtId="4" fontId="0" fillId="0" borderId="0" xfId="0" applyNumberFormat="1" applyFill="1" applyBorder="1"/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/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165" fontId="26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0" fillId="0" borderId="0" xfId="0" applyFont="1"/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/>
    <xf numFmtId="165" fontId="30" fillId="0" borderId="0" xfId="0" applyNumberFormat="1" applyFont="1" applyFill="1"/>
    <xf numFmtId="0" fontId="3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0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8" xfId="0" applyFont="1" applyFill="1" applyBorder="1" applyAlignment="1">
      <alignment vertical="center" wrapText="1"/>
    </xf>
    <xf numFmtId="4" fontId="0" fillId="0" borderId="0" xfId="0" applyNumberFormat="1"/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7" fillId="0" borderId="2" xfId="0" applyFont="1" applyFill="1" applyBorder="1"/>
    <xf numFmtId="0" fontId="34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5" fontId="34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166" fontId="10" fillId="0" borderId="8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165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/>
    <xf numFmtId="0" fontId="25" fillId="0" borderId="0" xfId="0" applyNumberFormat="1" applyFont="1" applyFill="1"/>
    <xf numFmtId="165" fontId="25" fillId="0" borderId="0" xfId="0" applyNumberFormat="1" applyFont="1" applyFill="1"/>
    <xf numFmtId="0" fontId="25" fillId="0" borderId="0" xfId="0" applyFont="1"/>
    <xf numFmtId="4" fontId="25" fillId="0" borderId="0" xfId="0" applyNumberFormat="1" applyFont="1"/>
    <xf numFmtId="2" fontId="2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6" fillId="0" borderId="0" xfId="0" applyNumberFormat="1" applyFont="1"/>
    <xf numFmtId="2" fontId="44" fillId="0" borderId="0" xfId="0" applyNumberFormat="1" applyFont="1" applyFill="1" applyAlignment="1">
      <alignment horizontal="center" vertical="center"/>
    </xf>
    <xf numFmtId="4" fontId="45" fillId="0" borderId="0" xfId="0" applyNumberFormat="1" applyFont="1"/>
    <xf numFmtId="0" fontId="45" fillId="0" borderId="0" xfId="0" applyFont="1"/>
    <xf numFmtId="165" fontId="1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6" borderId="2" xfId="0" applyNumberForma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5" fillId="7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5" fontId="12" fillId="5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46" fillId="0" borderId="3" xfId="0" applyFont="1" applyFill="1" applyBorder="1" applyAlignment="1">
      <alignment horizontal="right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46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2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1" applyNumberFormat="1" applyFill="1"/>
    <xf numFmtId="2" fontId="24" fillId="0" borderId="0" xfId="1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0" fillId="0" borderId="17" xfId="0" applyNumberFormat="1" applyFill="1" applyBorder="1"/>
    <xf numFmtId="4" fontId="0" fillId="0" borderId="14" xfId="0" applyNumberFormat="1" applyFill="1" applyBorder="1"/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0" fontId="43" fillId="7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4" fillId="0" borderId="3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8" borderId="19" xfId="0" applyFill="1" applyBorder="1"/>
    <xf numFmtId="0" fontId="0" fillId="8" borderId="18" xfId="0" applyFill="1" applyBorder="1"/>
    <xf numFmtId="0" fontId="0" fillId="8" borderId="0" xfId="0" applyFill="1"/>
    <xf numFmtId="0" fontId="0" fillId="0" borderId="19" xfId="0" applyFill="1" applyBorder="1"/>
    <xf numFmtId="0" fontId="8" fillId="0" borderId="0" xfId="1" applyNumberFormat="1" applyFont="1" applyFill="1"/>
    <xf numFmtId="14" fontId="0" fillId="0" borderId="0" xfId="0" applyNumberFormat="1" applyFill="1" applyBorder="1"/>
    <xf numFmtId="14" fontId="0" fillId="0" borderId="0" xfId="0" applyNumberFormat="1" applyFill="1"/>
    <xf numFmtId="14" fontId="1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1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1" fillId="0" borderId="9" xfId="1" applyNumberFormat="1" applyFont="1" applyFill="1" applyBorder="1" applyAlignment="1">
      <alignment horizontal="center" vertical="center"/>
    </xf>
    <xf numFmtId="16" fontId="0" fillId="0" borderId="0" xfId="0" applyNumberFormat="1" applyFill="1"/>
    <xf numFmtId="14" fontId="10" fillId="0" borderId="0" xfId="0" applyNumberFormat="1" applyFont="1" applyFill="1" applyBorder="1" applyAlignment="1">
      <alignment horizontal="left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47" fillId="7" borderId="2" xfId="0" applyFont="1" applyFill="1" applyBorder="1" applyAlignment="1">
      <alignment horizontal="center" vertical="center" wrapText="1"/>
    </xf>
    <xf numFmtId="4" fontId="25" fillId="6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" fillId="0" borderId="3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7" fillId="0" borderId="0" xfId="0" applyFont="1"/>
    <xf numFmtId="0" fontId="10" fillId="0" borderId="0" xfId="0" applyFont="1"/>
    <xf numFmtId="4" fontId="10" fillId="0" borderId="0" xfId="0" applyNumberFormat="1" applyFont="1" applyAlignment="1">
      <alignment wrapText="1"/>
    </xf>
    <xf numFmtId="4" fontId="27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3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1" fillId="0" borderId="2" xfId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4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1" fillId="0" borderId="1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33" fillId="0" borderId="3" xfId="0" applyFont="1" applyFill="1" applyBorder="1" applyAlignment="1">
      <alignment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top" wrapText="1"/>
    </xf>
    <xf numFmtId="0" fontId="46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165" fontId="27" fillId="0" borderId="2" xfId="0" applyNumberFormat="1" applyFont="1" applyBorder="1" applyAlignment="1">
      <alignment wrapText="1"/>
    </xf>
    <xf numFmtId="4" fontId="27" fillId="0" borderId="2" xfId="0" applyNumberFormat="1" applyFont="1" applyBorder="1" applyAlignment="1">
      <alignment wrapText="1"/>
    </xf>
    <xf numFmtId="0" fontId="27" fillId="0" borderId="8" xfId="0" applyFont="1" applyBorder="1" applyAlignment="1">
      <alignment wrapText="1"/>
    </xf>
    <xf numFmtId="4" fontId="27" fillId="0" borderId="8" xfId="0" applyNumberFormat="1" applyFont="1" applyBorder="1" applyAlignment="1">
      <alignment wrapText="1"/>
    </xf>
    <xf numFmtId="0" fontId="27" fillId="0" borderId="2" xfId="0" applyFont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2" xfId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3" fillId="6" borderId="0" xfId="0" applyFont="1" applyFill="1" applyBorder="1" applyAlignment="1">
      <alignment horizontal="center" vertical="center" wrapText="1"/>
    </xf>
    <xf numFmtId="4" fontId="0" fillId="6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4" fontId="0" fillId="6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5" fontId="1" fillId="0" borderId="0" xfId="1" applyNumberFormat="1" applyFont="1" applyFill="1" applyAlignment="1"/>
    <xf numFmtId="165" fontId="1" fillId="2" borderId="2" xfId="1" applyNumberFormat="1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horizontal="center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/>
    <xf numFmtId="165" fontId="1" fillId="2" borderId="0" xfId="0" applyNumberFormat="1" applyFont="1" applyFill="1" applyAlignment="1"/>
    <xf numFmtId="0" fontId="1" fillId="2" borderId="0" xfId="0" applyNumberFormat="1" applyFont="1" applyFill="1" applyAlignment="1"/>
    <xf numFmtId="0" fontId="2" fillId="2" borderId="0" xfId="0" applyFont="1" applyFill="1" applyBorder="1" applyAlignment="1">
      <alignment horizontal="center" wrapText="1"/>
    </xf>
    <xf numFmtId="165" fontId="0" fillId="2" borderId="0" xfId="0" applyNumberFormat="1" applyFill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/>
    </xf>
    <xf numFmtId="0" fontId="2" fillId="2" borderId="13" xfId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4" fillId="2" borderId="16" xfId="0" applyFont="1" applyFill="1" applyBorder="1" applyAlignment="1">
      <alignment horizontal="left" vertical="center" wrapText="1"/>
    </xf>
    <xf numFmtId="166" fontId="10" fillId="2" borderId="8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1" fontId="2" fillId="2" borderId="2" xfId="1" applyNumberFormat="1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/>
    </xf>
    <xf numFmtId="0" fontId="8" fillId="2" borderId="0" xfId="1" applyFill="1"/>
    <xf numFmtId="0" fontId="7" fillId="2" borderId="0" xfId="1" applyFont="1" applyFill="1"/>
    <xf numFmtId="0" fontId="12" fillId="2" borderId="0" xfId="1" applyFont="1" applyFill="1" applyAlignment="1">
      <alignment horizontal="right"/>
    </xf>
    <xf numFmtId="165" fontId="12" fillId="2" borderId="0" xfId="1" applyNumberFormat="1" applyFont="1" applyFill="1" applyAlignment="1">
      <alignment horizontal="center"/>
    </xf>
    <xf numFmtId="0" fontId="7" fillId="2" borderId="0" xfId="1" applyFont="1" applyFill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/>
    <xf numFmtId="1" fontId="7" fillId="2" borderId="0" xfId="1" applyNumberFormat="1" applyFont="1" applyFill="1"/>
    <xf numFmtId="2" fontId="7" fillId="2" borderId="0" xfId="1" applyNumberFormat="1" applyFont="1" applyFill="1"/>
    <xf numFmtId="165" fontId="13" fillId="2" borderId="0" xfId="1" applyNumberFormat="1" applyFont="1" applyFill="1"/>
    <xf numFmtId="165" fontId="40" fillId="2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6" fontId="1" fillId="0" borderId="2" xfId="0" applyNumberFormat="1" applyFont="1" applyFill="1" applyBorder="1" applyAlignment="1">
      <alignment vertical="center" wrapText="1"/>
    </xf>
    <xf numFmtId="165" fontId="1" fillId="2" borderId="8" xfId="1" applyNumberFormat="1" applyFont="1" applyFill="1" applyBorder="1" applyAlignment="1" applyProtection="1">
      <alignment horizontal="center" vertical="center" shrinkToFit="1"/>
      <protection locked="0"/>
    </xf>
    <xf numFmtId="4" fontId="27" fillId="0" borderId="2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165" fontId="27" fillId="0" borderId="2" xfId="0" applyNumberFormat="1" applyFont="1" applyFill="1" applyBorder="1" applyAlignment="1">
      <alignment wrapText="1"/>
    </xf>
    <xf numFmtId="4" fontId="27" fillId="0" borderId="2" xfId="0" applyNumberFormat="1" applyFont="1" applyFill="1" applyBorder="1" applyAlignment="1">
      <alignment wrapText="1"/>
    </xf>
    <xf numFmtId="165" fontId="20" fillId="0" borderId="2" xfId="0" applyNumberFormat="1" applyFont="1" applyFill="1" applyBorder="1" applyAlignment="1">
      <alignment wrapText="1"/>
    </xf>
    <xf numFmtId="4" fontId="20" fillId="0" borderId="2" xfId="0" applyNumberFormat="1" applyFont="1" applyFill="1" applyBorder="1" applyAlignment="1">
      <alignment wrapText="1"/>
    </xf>
    <xf numFmtId="49" fontId="51" fillId="0" borderId="9" xfId="1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/>
    </xf>
    <xf numFmtId="165" fontId="52" fillId="0" borderId="0" xfId="0" applyNumberFormat="1" applyFont="1" applyFill="1" applyBorder="1" applyAlignment="1">
      <alignment horizontal="left"/>
    </xf>
    <xf numFmtId="49" fontId="51" fillId="0" borderId="9" xfId="0" applyNumberFormat="1" applyFont="1" applyFill="1" applyBorder="1" applyAlignment="1">
      <alignment horizontal="left" vertical="center"/>
    </xf>
    <xf numFmtId="49" fontId="51" fillId="0" borderId="15" xfId="1" applyNumberFormat="1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/>
    </xf>
    <xf numFmtId="49" fontId="51" fillId="0" borderId="0" xfId="1" applyNumberFormat="1" applyFont="1" applyFill="1" applyBorder="1" applyAlignment="1">
      <alignment horizontal="left" vertical="center"/>
    </xf>
    <xf numFmtId="4" fontId="51" fillId="0" borderId="15" xfId="1" applyNumberFormat="1" applyFont="1" applyFill="1" applyBorder="1" applyAlignment="1">
      <alignment horizontal="left" vertical="center"/>
    </xf>
    <xf numFmtId="16" fontId="52" fillId="0" borderId="8" xfId="0" applyNumberFormat="1" applyFont="1" applyFill="1" applyBorder="1" applyAlignment="1">
      <alignment horizontal="left"/>
    </xf>
    <xf numFmtId="16" fontId="52" fillId="0" borderId="11" xfId="0" applyNumberFormat="1" applyFont="1" applyFill="1" applyBorder="1" applyAlignment="1">
      <alignment horizontal="left"/>
    </xf>
    <xf numFmtId="16" fontId="52" fillId="0" borderId="15" xfId="0" applyNumberFormat="1" applyFont="1" applyFill="1" applyBorder="1" applyAlignment="1">
      <alignment horizontal="left"/>
    </xf>
    <xf numFmtId="16" fontId="52" fillId="0" borderId="16" xfId="0" applyNumberFormat="1" applyFont="1" applyFill="1" applyBorder="1" applyAlignment="1">
      <alignment horizontal="left"/>
    </xf>
    <xf numFmtId="16" fontId="52" fillId="0" borderId="12" xfId="0" applyNumberFormat="1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49" fontId="51" fillId="0" borderId="8" xfId="1" applyNumberFormat="1" applyFont="1" applyFill="1" applyBorder="1" applyAlignment="1">
      <alignment horizontal="left" vertical="center"/>
    </xf>
    <xf numFmtId="49" fontId="51" fillId="0" borderId="11" xfId="1" applyNumberFormat="1" applyFont="1" applyFill="1" applyBorder="1" applyAlignment="1">
      <alignment horizontal="left" vertical="center"/>
    </xf>
    <xf numFmtId="14" fontId="52" fillId="0" borderId="0" xfId="0" applyNumberFormat="1" applyFont="1" applyFill="1" applyBorder="1" applyAlignment="1">
      <alignment horizontal="left"/>
    </xf>
    <xf numFmtId="165" fontId="52" fillId="0" borderId="0" xfId="0" applyNumberFormat="1" applyFont="1" applyFill="1" applyAlignment="1">
      <alignment horizontal="left"/>
    </xf>
    <xf numFmtId="165" fontId="27" fillId="5" borderId="2" xfId="0" applyNumberFormat="1" applyFont="1" applyFill="1" applyBorder="1" applyAlignment="1">
      <alignment wrapText="1"/>
    </xf>
    <xf numFmtId="0" fontId="10" fillId="9" borderId="2" xfId="0" applyFont="1" applyFill="1" applyBorder="1" applyAlignment="1">
      <alignment horizontal="left"/>
    </xf>
    <xf numFmtId="49" fontId="1" fillId="9" borderId="2" xfId="1" applyNumberFormat="1" applyFont="1" applyFill="1" applyBorder="1" applyAlignment="1">
      <alignment horizontal="left"/>
    </xf>
    <xf numFmtId="0" fontId="1" fillId="9" borderId="2" xfId="1" applyFont="1" applyFill="1" applyBorder="1" applyAlignment="1">
      <alignment horizontal="left" vertical="center" wrapText="1"/>
    </xf>
    <xf numFmtId="4" fontId="10" fillId="9" borderId="11" xfId="0" applyNumberFormat="1" applyFont="1" applyFill="1" applyBorder="1" applyAlignment="1">
      <alignment horizontal="left" wrapText="1"/>
    </xf>
    <xf numFmtId="4" fontId="10" fillId="9" borderId="2" xfId="0" applyNumberFormat="1" applyFont="1" applyFill="1" applyBorder="1" applyAlignment="1">
      <alignment horizontal="left" wrapText="1"/>
    </xf>
    <xf numFmtId="165" fontId="10" fillId="9" borderId="2" xfId="0" applyNumberFormat="1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vertical="center" wrapText="1"/>
    </xf>
    <xf numFmtId="49" fontId="1" fillId="9" borderId="2" xfId="0" applyNumberFormat="1" applyFont="1" applyFill="1" applyBorder="1" applyAlignment="1">
      <alignment horizontal="left"/>
    </xf>
    <xf numFmtId="0" fontId="10" fillId="9" borderId="2" xfId="0" applyFont="1" applyFill="1" applyBorder="1" applyAlignment="1">
      <alignment horizontal="left" wrapText="1"/>
    </xf>
    <xf numFmtId="4" fontId="10" fillId="0" borderId="0" xfId="0" applyNumberFormat="1" applyFont="1"/>
    <xf numFmtId="4" fontId="0" fillId="0" borderId="0" xfId="0" applyNumberFormat="1" applyAlignment="1">
      <alignment wrapText="1"/>
    </xf>
    <xf numFmtId="0" fontId="10" fillId="9" borderId="11" xfId="0" applyFont="1" applyFill="1" applyBorder="1" applyAlignment="1">
      <alignment horizontal="left" wrapText="1"/>
    </xf>
    <xf numFmtId="0" fontId="1" fillId="9" borderId="11" xfId="1" applyFont="1" applyFill="1" applyBorder="1" applyAlignment="1">
      <alignment horizontal="left" vertical="center" wrapText="1"/>
    </xf>
    <xf numFmtId="0" fontId="1" fillId="9" borderId="3" xfId="0" applyNumberFormat="1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wrapText="1"/>
    </xf>
    <xf numFmtId="49" fontId="24" fillId="9" borderId="2" xfId="1" applyNumberFormat="1" applyFont="1" applyFill="1" applyBorder="1" applyAlignment="1">
      <alignment horizontal="left"/>
    </xf>
    <xf numFmtId="49" fontId="24" fillId="9" borderId="2" xfId="0" applyNumberFormat="1" applyFont="1" applyFill="1" applyBorder="1" applyAlignment="1">
      <alignment horizontal="left" wrapText="1"/>
    </xf>
    <xf numFmtId="49" fontId="24" fillId="9" borderId="2" xfId="1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right" vertical="center"/>
    </xf>
    <xf numFmtId="0" fontId="8" fillId="0" borderId="0" xfId="1" applyNumberForma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165" fontId="12" fillId="5" borderId="2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/>
    </xf>
    <xf numFmtId="168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2" xfId="1" applyFont="1" applyFill="1" applyBorder="1" applyAlignment="1">
      <alignment horizontal="left" wrapText="1"/>
    </xf>
    <xf numFmtId="4" fontId="27" fillId="0" borderId="2" xfId="0" applyNumberFormat="1" applyFont="1" applyBorder="1" applyAlignment="1">
      <alignment horizontal="center" wrapText="1"/>
    </xf>
    <xf numFmtId="165" fontId="1" fillId="10" borderId="2" xfId="1" applyNumberFormat="1" applyFont="1" applyFill="1" applyBorder="1" applyAlignment="1">
      <alignment horizontal="center" vertical="center"/>
    </xf>
    <xf numFmtId="165" fontId="1" fillId="10" borderId="2" xfId="1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wrapText="1"/>
    </xf>
    <xf numFmtId="165" fontId="1" fillId="2" borderId="0" xfId="0" applyNumberFormat="1" applyFont="1" applyFill="1" applyAlignment="1">
      <alignment horizontal="right"/>
    </xf>
    <xf numFmtId="0" fontId="1" fillId="10" borderId="2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26" fillId="0" borderId="0" xfId="0" applyFont="1" applyFill="1"/>
    <xf numFmtId="0" fontId="1" fillId="10" borderId="2" xfId="1" applyFont="1" applyFill="1" applyBorder="1" applyAlignment="1">
      <alignment horizontal="center" vertical="center" wrapText="1"/>
    </xf>
    <xf numFmtId="49" fontId="1" fillId="10" borderId="2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2" fillId="0" borderId="2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9" fontId="1" fillId="10" borderId="2" xfId="1" applyNumberFormat="1" applyFont="1" applyFill="1" applyBorder="1" applyAlignment="1">
      <alignment horizontal="left" vertical="top" wrapText="1"/>
    </xf>
    <xf numFmtId="49" fontId="10" fillId="9" borderId="2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/>
    </xf>
    <xf numFmtId="0" fontId="53" fillId="0" borderId="0" xfId="0" applyNumberFormat="1" applyFont="1" applyFill="1" applyAlignment="1">
      <alignment vertical="center"/>
    </xf>
    <xf numFmtId="168" fontId="27" fillId="0" borderId="0" xfId="0" applyNumberFormat="1" applyFont="1" applyFill="1" applyAlignment="1">
      <alignment vertical="center"/>
    </xf>
    <xf numFmtId="168" fontId="27" fillId="0" borderId="0" xfId="0" applyNumberFormat="1" applyFont="1" applyFill="1" applyAlignment="1">
      <alignment horizontal="right" vertical="center"/>
    </xf>
    <xf numFmtId="168" fontId="27" fillId="0" borderId="0" xfId="0" applyNumberFormat="1" applyFont="1" applyFill="1" applyAlignment="1">
      <alignment horizontal="left" vertical="center"/>
    </xf>
    <xf numFmtId="0" fontId="54" fillId="0" borderId="0" xfId="0" applyNumberFormat="1" applyFont="1" applyFill="1" applyAlignment="1">
      <alignment vertical="center"/>
    </xf>
    <xf numFmtId="165" fontId="27" fillId="0" borderId="0" xfId="0" applyNumberFormat="1" applyFont="1" applyFill="1" applyAlignment="1">
      <alignment vertical="center"/>
    </xf>
    <xf numFmtId="0" fontId="20" fillId="0" borderId="0" xfId="1" applyNumberFormat="1" applyFont="1" applyFill="1" applyAlignment="1">
      <alignment vertical="center"/>
    </xf>
    <xf numFmtId="4" fontId="24" fillId="9" borderId="11" xfId="0" applyNumberFormat="1" applyFont="1" applyFill="1" applyBorder="1" applyAlignment="1">
      <alignment horizontal="left" wrapText="1"/>
    </xf>
    <xf numFmtId="4" fontId="1" fillId="9" borderId="2" xfId="0" applyNumberFormat="1" applyFont="1" applyFill="1" applyBorder="1" applyAlignment="1">
      <alignment horizontal="left" wrapText="1"/>
    </xf>
    <xf numFmtId="49" fontId="55" fillId="0" borderId="0" xfId="1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wrapText="1"/>
    </xf>
    <xf numFmtId="49" fontId="51" fillId="0" borderId="8" xfId="0" applyNumberFormat="1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/>
    </xf>
    <xf numFmtId="4" fontId="42" fillId="0" borderId="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169" fontId="0" fillId="0" borderId="0" xfId="0" applyNumberFormat="1"/>
    <xf numFmtId="165" fontId="1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right" vertical="center"/>
    </xf>
    <xf numFmtId="0" fontId="56" fillId="0" borderId="0" xfId="0" applyNumberFormat="1" applyFont="1" applyFill="1" applyAlignment="1">
      <alignment horizontal="right" vertical="center" wrapText="1"/>
    </xf>
    <xf numFmtId="0" fontId="53" fillId="0" borderId="0" xfId="0" applyNumberFormat="1" applyFont="1" applyFill="1" applyAlignment="1">
      <alignment horizontal="right" vertical="center"/>
    </xf>
    <xf numFmtId="0" fontId="54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1" applyNumberFormat="1" applyFont="1" applyFill="1" applyAlignment="1">
      <alignment horizontal="right" vertical="center"/>
    </xf>
    <xf numFmtId="165" fontId="27" fillId="0" borderId="0" xfId="0" applyNumberFormat="1" applyFont="1" applyFill="1" applyAlignment="1">
      <alignment horizontal="right" vertical="center"/>
    </xf>
    <xf numFmtId="0" fontId="52" fillId="11" borderId="0" xfId="0" applyFont="1" applyFill="1" applyBorder="1" applyAlignment="1">
      <alignment horizontal="left"/>
    </xf>
    <xf numFmtId="0" fontId="31" fillId="11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1" fillId="0" borderId="13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NumberFormat="1" applyFont="1" applyFill="1"/>
    <xf numFmtId="165" fontId="57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0" fontId="57" fillId="0" borderId="0" xfId="0" applyFont="1" applyFill="1"/>
    <xf numFmtId="165" fontId="1" fillId="0" borderId="0" xfId="0" applyNumberFormat="1" applyFont="1" applyFill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1" fillId="2" borderId="0" xfId="0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4" fontId="27" fillId="0" borderId="2" xfId="0" applyNumberFormat="1" applyFont="1" applyBorder="1" applyAlignment="1">
      <alignment horizontal="center" wrapText="1"/>
    </xf>
    <xf numFmtId="165" fontId="1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Гиперссылка" xfId="3" builtinId="8"/>
    <cellStyle name="Обычный" xfId="0" builtinId="0"/>
    <cellStyle name="Обычный 2" xfId="1"/>
    <cellStyle name="Процентный 2" xfId="4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</sheetData>
      <sheetData sheetId="5"/>
      <sheetData sheetId="6">
        <row r="47">
          <cell r="G47">
            <v>40.5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3"/>
  <sheetViews>
    <sheetView view="pageBreakPreview" zoomScale="80" zoomScaleNormal="90" zoomScaleSheetLayoutView="80" workbookViewId="0">
      <selection activeCell="C4" sqref="C4"/>
    </sheetView>
  </sheetViews>
  <sheetFormatPr defaultColWidth="9.140625" defaultRowHeight="15" x14ac:dyDescent="0.25"/>
  <cols>
    <col min="1" max="1" width="25.140625" style="76" customWidth="1"/>
    <col min="2" max="2" width="79.140625" style="76" customWidth="1"/>
    <col min="3" max="3" width="16.28515625" style="101" customWidth="1"/>
    <col min="4" max="4" width="18.85546875" style="76" hidden="1" customWidth="1"/>
    <col min="5" max="5" width="12.5703125" style="76" hidden="1" customWidth="1"/>
    <col min="6" max="6" width="11.85546875" style="76" hidden="1" customWidth="1"/>
    <col min="7" max="7" width="12.5703125" style="76" hidden="1" customWidth="1"/>
    <col min="8" max="8" width="11.85546875" style="76" hidden="1" customWidth="1"/>
    <col min="9" max="9" width="15" style="76" hidden="1" customWidth="1"/>
    <col min="10" max="10" width="8.28515625" style="569" hidden="1" customWidth="1"/>
    <col min="11" max="11" width="13.7109375" style="633" customWidth="1"/>
    <col min="12" max="12" width="9.85546875" style="607" customWidth="1"/>
    <col min="13" max="13" width="14.5703125" style="607" bestFit="1" customWidth="1"/>
    <col min="14" max="14" width="9.140625" style="607"/>
    <col min="15" max="15" width="24" style="607" customWidth="1"/>
    <col min="16" max="16384" width="9.140625" style="76"/>
  </cols>
  <sheetData>
    <row r="1" spans="1:11" ht="15" customHeight="1" x14ac:dyDescent="0.25">
      <c r="B1" s="656" t="s">
        <v>1363</v>
      </c>
      <c r="C1" s="656"/>
    </row>
    <row r="2" spans="1:11" ht="15" customHeight="1" x14ac:dyDescent="0.25">
      <c r="B2" s="656" t="s">
        <v>1364</v>
      </c>
      <c r="C2" s="656"/>
    </row>
    <row r="3" spans="1:11" ht="15.75" x14ac:dyDescent="0.25">
      <c r="B3" s="656" t="s">
        <v>1361</v>
      </c>
      <c r="C3" s="656"/>
    </row>
    <row r="4" spans="1:11" ht="15.75" x14ac:dyDescent="0.25">
      <c r="B4" s="649"/>
      <c r="C4" s="649"/>
    </row>
    <row r="5" spans="1:11" ht="15.75" x14ac:dyDescent="0.25">
      <c r="A5" s="659" t="s">
        <v>976</v>
      </c>
      <c r="B5" s="659"/>
      <c r="C5" s="659"/>
    </row>
    <row r="6" spans="1:11" ht="15.75" x14ac:dyDescent="0.25">
      <c r="A6" s="659" t="s">
        <v>1123</v>
      </c>
      <c r="B6" s="659"/>
      <c r="C6" s="659"/>
    </row>
    <row r="7" spans="1:11" ht="15.75" x14ac:dyDescent="0.25">
      <c r="A7" s="78"/>
      <c r="B7" s="78"/>
      <c r="C7" s="647" t="s">
        <v>336</v>
      </c>
      <c r="K7" s="634"/>
    </row>
    <row r="8" spans="1:11" ht="31.5" x14ac:dyDescent="0.25">
      <c r="A8" s="79" t="s">
        <v>2</v>
      </c>
      <c r="B8" s="80" t="s">
        <v>3</v>
      </c>
      <c r="C8" s="9" t="s">
        <v>588</v>
      </c>
      <c r="D8" s="206" t="s">
        <v>926</v>
      </c>
      <c r="E8" s="206" t="s">
        <v>926</v>
      </c>
    </row>
    <row r="9" spans="1:11" ht="15.75" x14ac:dyDescent="0.25">
      <c r="A9" s="81" t="s">
        <v>4</v>
      </c>
      <c r="B9" s="82" t="s">
        <v>5</v>
      </c>
      <c r="C9" s="294">
        <f>C10+C17+C22+C32+C40+C43+C51+C58+C61+C66</f>
        <v>396156.9473</v>
      </c>
      <c r="E9" s="209">
        <f>SUM(E17:E53)</f>
        <v>-12872.07</v>
      </c>
      <c r="G9" s="71"/>
      <c r="H9" s="71"/>
      <c r="J9" s="570"/>
    </row>
    <row r="10" spans="1:11" ht="15.75" x14ac:dyDescent="0.25">
      <c r="A10" s="83" t="s">
        <v>6</v>
      </c>
      <c r="B10" s="82" t="s">
        <v>7</v>
      </c>
      <c r="C10" s="294">
        <f>C11</f>
        <v>303640.90000000002</v>
      </c>
      <c r="D10" s="71"/>
      <c r="F10" s="71"/>
      <c r="G10" s="71"/>
      <c r="H10" s="71"/>
      <c r="I10" s="71"/>
      <c r="J10" s="570"/>
    </row>
    <row r="11" spans="1:11" ht="15.75" x14ac:dyDescent="0.25">
      <c r="A11" s="84" t="s">
        <v>8</v>
      </c>
      <c r="B11" s="85" t="s">
        <v>9</v>
      </c>
      <c r="C11" s="294">
        <f>SUM(C12:C16)</f>
        <v>303640.90000000002</v>
      </c>
      <c r="D11" s="71"/>
      <c r="F11" s="71"/>
      <c r="G11" s="71"/>
      <c r="H11" s="71"/>
      <c r="I11" s="71"/>
      <c r="J11" s="570"/>
    </row>
    <row r="12" spans="1:11" ht="63" x14ac:dyDescent="0.25">
      <c r="A12" s="126" t="s">
        <v>10</v>
      </c>
      <c r="B12" s="86" t="s">
        <v>11</v>
      </c>
      <c r="C12" s="295">
        <f>246084-3466+6400+437.1</f>
        <v>249455.1</v>
      </c>
      <c r="D12" s="133"/>
    </row>
    <row r="13" spans="1:11" ht="94.5" x14ac:dyDescent="0.25">
      <c r="A13" s="126" t="s">
        <v>12</v>
      </c>
      <c r="B13" s="87" t="s">
        <v>13</v>
      </c>
      <c r="C13" s="295">
        <f>55+4155</f>
        <v>4210</v>
      </c>
    </row>
    <row r="14" spans="1:11" ht="36.75" customHeight="1" x14ac:dyDescent="0.25">
      <c r="A14" s="126" t="s">
        <v>14</v>
      </c>
      <c r="B14" s="87" t="s">
        <v>15</v>
      </c>
      <c r="C14" s="295">
        <v>939</v>
      </c>
    </row>
    <row r="15" spans="1:11" ht="78.75" x14ac:dyDescent="0.25">
      <c r="A15" s="126" t="s">
        <v>16</v>
      </c>
      <c r="B15" s="87" t="s">
        <v>17</v>
      </c>
      <c r="C15" s="295">
        <f>802-535</f>
        <v>267</v>
      </c>
    </row>
    <row r="16" spans="1:11" ht="78.75" x14ac:dyDescent="0.25">
      <c r="A16" s="328" t="s">
        <v>1126</v>
      </c>
      <c r="B16" s="329" t="s">
        <v>1195</v>
      </c>
      <c r="C16" s="295">
        <f>7598.8+8030.2+31500+525.8+1115</f>
        <v>48769.8</v>
      </c>
    </row>
    <row r="17" spans="1:6" ht="31.5" x14ac:dyDescent="0.25">
      <c r="A17" s="88" t="s">
        <v>18</v>
      </c>
      <c r="B17" s="89" t="s">
        <v>19</v>
      </c>
      <c r="C17" s="294">
        <f>C18</f>
        <v>3071.5699999999997</v>
      </c>
      <c r="D17" s="207">
        <v>2319</v>
      </c>
      <c r="E17" s="207">
        <f>D17-C17</f>
        <v>-752.56999999999971</v>
      </c>
    </row>
    <row r="18" spans="1:6" ht="31.5" x14ac:dyDescent="0.25">
      <c r="A18" s="106" t="s">
        <v>20</v>
      </c>
      <c r="B18" s="107" t="s">
        <v>21</v>
      </c>
      <c r="C18" s="294">
        <f>SUM(C19:C21)</f>
        <v>3071.5699999999997</v>
      </c>
    </row>
    <row r="19" spans="1:6" ht="100.5" customHeight="1" x14ac:dyDescent="0.25">
      <c r="A19" s="90" t="s">
        <v>992</v>
      </c>
      <c r="B19" s="87" t="s">
        <v>1008</v>
      </c>
      <c r="C19" s="295">
        <f>1388.75-74.75</f>
        <v>1314</v>
      </c>
    </row>
    <row r="20" spans="1:6" ht="117" customHeight="1" x14ac:dyDescent="0.25">
      <c r="A20" s="631" t="s">
        <v>993</v>
      </c>
      <c r="B20" s="87" t="s">
        <v>1009</v>
      </c>
      <c r="C20" s="295">
        <f>7.69-0.69</f>
        <v>7</v>
      </c>
    </row>
    <row r="21" spans="1:6" ht="98.45" customHeight="1" x14ac:dyDescent="0.25">
      <c r="A21" s="631" t="s">
        <v>994</v>
      </c>
      <c r="B21" s="87" t="s">
        <v>1010</v>
      </c>
      <c r="C21" s="295">
        <f>1849.27-98.7</f>
        <v>1750.57</v>
      </c>
    </row>
    <row r="22" spans="1:6" ht="18.75" x14ac:dyDescent="0.25">
      <c r="A22" s="84" t="s">
        <v>22</v>
      </c>
      <c r="B22" s="85" t="s">
        <v>23</v>
      </c>
      <c r="C22" s="294">
        <f>SUM(C23+C28+C30)</f>
        <v>34484</v>
      </c>
      <c r="F22" s="122"/>
    </row>
    <row r="23" spans="1:6" ht="31.5" x14ac:dyDescent="0.25">
      <c r="A23" s="81" t="s">
        <v>24</v>
      </c>
      <c r="B23" s="85" t="s">
        <v>25</v>
      </c>
      <c r="C23" s="294">
        <f>C24+C26</f>
        <v>29449</v>
      </c>
      <c r="D23" s="207">
        <v>13524.7</v>
      </c>
      <c r="E23" s="207">
        <f>D23-C23</f>
        <v>-15924.3</v>
      </c>
    </row>
    <row r="24" spans="1:6" ht="31.5" x14ac:dyDescent="0.25">
      <c r="A24" s="81" t="s">
        <v>667</v>
      </c>
      <c r="B24" s="339" t="s">
        <v>27</v>
      </c>
      <c r="C24" s="294">
        <f>C25</f>
        <v>26496</v>
      </c>
    </row>
    <row r="25" spans="1:6" ht="31.5" x14ac:dyDescent="0.25">
      <c r="A25" s="79" t="s">
        <v>26</v>
      </c>
      <c r="B25" s="67" t="s">
        <v>27</v>
      </c>
      <c r="C25" s="295">
        <f>11040+15456</f>
        <v>26496</v>
      </c>
    </row>
    <row r="26" spans="1:6" ht="36.75" customHeight="1" x14ac:dyDescent="0.25">
      <c r="A26" s="81" t="s">
        <v>666</v>
      </c>
      <c r="B26" s="159" t="s">
        <v>665</v>
      </c>
      <c r="C26" s="294">
        <f>C27</f>
        <v>2953</v>
      </c>
    </row>
    <row r="27" spans="1:6" ht="50.25" customHeight="1" x14ac:dyDescent="0.25">
      <c r="A27" s="79" t="s">
        <v>28</v>
      </c>
      <c r="B27" s="91" t="s">
        <v>29</v>
      </c>
      <c r="C27" s="295">
        <f>395+2558</f>
        <v>2953</v>
      </c>
    </row>
    <row r="28" spans="1:6" ht="15.75" hidden="1" x14ac:dyDescent="0.25">
      <c r="A28" s="81" t="s">
        <v>30</v>
      </c>
      <c r="B28" s="94" t="s">
        <v>31</v>
      </c>
      <c r="C28" s="294">
        <f>SUM(C29:C29)</f>
        <v>0</v>
      </c>
    </row>
    <row r="29" spans="1:6" ht="15.75" hidden="1" x14ac:dyDescent="0.25">
      <c r="A29" s="126" t="s">
        <v>32</v>
      </c>
      <c r="B29" s="86" t="s">
        <v>31</v>
      </c>
      <c r="C29" s="295"/>
    </row>
    <row r="30" spans="1:6" ht="31.5" x14ac:dyDescent="0.25">
      <c r="A30" s="81" t="s">
        <v>676</v>
      </c>
      <c r="B30" s="92" t="s">
        <v>668</v>
      </c>
      <c r="C30" s="294">
        <f>C31</f>
        <v>5035</v>
      </c>
    </row>
    <row r="31" spans="1:6" ht="31.5" x14ac:dyDescent="0.25">
      <c r="A31" s="79" t="s">
        <v>33</v>
      </c>
      <c r="B31" s="155" t="s">
        <v>34</v>
      </c>
      <c r="C31" s="295">
        <f>2806+2229</f>
        <v>5035</v>
      </c>
    </row>
    <row r="32" spans="1:6" ht="15.75" x14ac:dyDescent="0.25">
      <c r="A32" s="84" t="s">
        <v>35</v>
      </c>
      <c r="B32" s="85" t="s">
        <v>36</v>
      </c>
      <c r="C32" s="294">
        <f>C33+C35</f>
        <v>1748</v>
      </c>
    </row>
    <row r="33" spans="1:6" ht="15.75" x14ac:dyDescent="0.25">
      <c r="A33" s="84" t="s">
        <v>37</v>
      </c>
      <c r="B33" s="85" t="s">
        <v>38</v>
      </c>
      <c r="C33" s="294">
        <f>C34</f>
        <v>1121</v>
      </c>
    </row>
    <row r="34" spans="1:6" ht="31.7" customHeight="1" x14ac:dyDescent="0.25">
      <c r="A34" s="126" t="s">
        <v>39</v>
      </c>
      <c r="B34" s="91" t="s">
        <v>40</v>
      </c>
      <c r="C34" s="295">
        <v>1121</v>
      </c>
    </row>
    <row r="35" spans="1:6" ht="15.75" x14ac:dyDescent="0.25">
      <c r="A35" s="84" t="s">
        <v>41</v>
      </c>
      <c r="B35" s="85" t="s">
        <v>42</v>
      </c>
      <c r="C35" s="294">
        <f>C36+C38</f>
        <v>627</v>
      </c>
      <c r="D35" s="76">
        <v>678</v>
      </c>
      <c r="E35" s="149">
        <f>D35-C35</f>
        <v>51</v>
      </c>
    </row>
    <row r="36" spans="1:6" ht="15.75" x14ac:dyDescent="0.25">
      <c r="A36" s="84" t="s">
        <v>678</v>
      </c>
      <c r="B36" s="85" t="s">
        <v>677</v>
      </c>
      <c r="C36" s="294">
        <f>C37</f>
        <v>504</v>
      </c>
    </row>
    <row r="37" spans="1:6" ht="31.5" x14ac:dyDescent="0.25">
      <c r="A37" s="126" t="s">
        <v>43</v>
      </c>
      <c r="B37" s="91" t="s">
        <v>44</v>
      </c>
      <c r="C37" s="295">
        <v>504</v>
      </c>
    </row>
    <row r="38" spans="1:6" ht="15.75" x14ac:dyDescent="0.25">
      <c r="A38" s="84" t="s">
        <v>680</v>
      </c>
      <c r="B38" s="85" t="s">
        <v>679</v>
      </c>
      <c r="C38" s="294">
        <f>C39</f>
        <v>123</v>
      </c>
    </row>
    <row r="39" spans="1:6" ht="31.5" x14ac:dyDescent="0.25">
      <c r="A39" s="126" t="s">
        <v>45</v>
      </c>
      <c r="B39" s="91" t="s">
        <v>46</v>
      </c>
      <c r="C39" s="295">
        <v>123</v>
      </c>
    </row>
    <row r="40" spans="1:6" ht="15.75" x14ac:dyDescent="0.25">
      <c r="A40" s="84" t="s">
        <v>47</v>
      </c>
      <c r="B40" s="85" t="s">
        <v>48</v>
      </c>
      <c r="C40" s="294">
        <f>C41</f>
        <v>1283</v>
      </c>
    </row>
    <row r="41" spans="1:6" ht="31.5" x14ac:dyDescent="0.25">
      <c r="A41" s="84" t="s">
        <v>49</v>
      </c>
      <c r="B41" s="85" t="s">
        <v>50</v>
      </c>
      <c r="C41" s="294">
        <f>C42</f>
        <v>1283</v>
      </c>
    </row>
    <row r="42" spans="1:6" ht="47.25" x14ac:dyDescent="0.25">
      <c r="A42" s="126" t="s">
        <v>51</v>
      </c>
      <c r="B42" s="86" t="s">
        <v>52</v>
      </c>
      <c r="C42" s="295">
        <v>1283</v>
      </c>
    </row>
    <row r="43" spans="1:6" ht="31.5" x14ac:dyDescent="0.25">
      <c r="A43" s="84" t="s">
        <v>53</v>
      </c>
      <c r="B43" s="93" t="s">
        <v>54</v>
      </c>
      <c r="C43" s="294">
        <f>C44+C49</f>
        <v>50966.577299999997</v>
      </c>
      <c r="D43" s="71">
        <f>C43+C51+C58+C61+C66</f>
        <v>51929.477299999999</v>
      </c>
      <c r="F43" s="71"/>
    </row>
    <row r="44" spans="1:6" ht="78.75" x14ac:dyDescent="0.25">
      <c r="A44" s="84" t="s">
        <v>55</v>
      </c>
      <c r="B44" s="93" t="s">
        <v>56</v>
      </c>
      <c r="C44" s="294">
        <f>C45+C47</f>
        <v>44000</v>
      </c>
      <c r="D44" s="208">
        <v>45000</v>
      </c>
      <c r="E44" s="207">
        <f>D44-C44</f>
        <v>1000</v>
      </c>
    </row>
    <row r="45" spans="1:6" ht="63" x14ac:dyDescent="0.25">
      <c r="A45" s="84" t="s">
        <v>57</v>
      </c>
      <c r="B45" s="85" t="s">
        <v>58</v>
      </c>
      <c r="C45" s="294">
        <f>C46</f>
        <v>40000</v>
      </c>
    </row>
    <row r="46" spans="1:6" ht="63" x14ac:dyDescent="0.25">
      <c r="A46" s="126" t="s">
        <v>59</v>
      </c>
      <c r="B46" s="91" t="s">
        <v>60</v>
      </c>
      <c r="C46" s="295">
        <v>40000</v>
      </c>
      <c r="D46" s="149"/>
    </row>
    <row r="47" spans="1:6" ht="36.75" customHeight="1" x14ac:dyDescent="0.25">
      <c r="A47" s="84" t="s">
        <v>61</v>
      </c>
      <c r="B47" s="85" t="s">
        <v>62</v>
      </c>
      <c r="C47" s="294">
        <f>C48</f>
        <v>4000</v>
      </c>
      <c r="D47" s="149"/>
    </row>
    <row r="48" spans="1:6" ht="31.5" x14ac:dyDescent="0.25">
      <c r="A48" s="126" t="s">
        <v>63</v>
      </c>
      <c r="B48" s="91" t="s">
        <v>64</v>
      </c>
      <c r="C48" s="295">
        <v>4000</v>
      </c>
    </row>
    <row r="49" spans="1:5" ht="78.75" x14ac:dyDescent="0.25">
      <c r="A49" s="84" t="s">
        <v>1345</v>
      </c>
      <c r="B49" s="85" t="s">
        <v>1344</v>
      </c>
      <c r="C49" s="294">
        <f>C50</f>
        <v>6966.5772999999999</v>
      </c>
    </row>
    <row r="50" spans="1:5" ht="63" x14ac:dyDescent="0.25">
      <c r="A50" s="126" t="s">
        <v>1346</v>
      </c>
      <c r="B50" s="91" t="s">
        <v>1347</v>
      </c>
      <c r="C50" s="295">
        <v>6966.5772999999999</v>
      </c>
    </row>
    <row r="51" spans="1:5" ht="15.75" x14ac:dyDescent="0.25">
      <c r="A51" s="84" t="s">
        <v>65</v>
      </c>
      <c r="B51" s="93" t="s">
        <v>66</v>
      </c>
      <c r="C51" s="294">
        <f>SUM(C52)</f>
        <v>333.6</v>
      </c>
      <c r="D51" s="208">
        <v>3087.4</v>
      </c>
      <c r="E51" s="207">
        <f>D51-C51</f>
        <v>2753.8</v>
      </c>
    </row>
    <row r="52" spans="1:5" ht="15.75" x14ac:dyDescent="0.25">
      <c r="A52" s="84" t="s">
        <v>67</v>
      </c>
      <c r="B52" s="93" t="s">
        <v>68</v>
      </c>
      <c r="C52" s="294">
        <f>C53+C54+C55</f>
        <v>333.6</v>
      </c>
    </row>
    <row r="53" spans="1:5" ht="31.5" x14ac:dyDescent="0.25">
      <c r="A53" s="84" t="s">
        <v>69</v>
      </c>
      <c r="B53" s="93" t="s">
        <v>70</v>
      </c>
      <c r="C53" s="295">
        <f>49.1+32.8-37.5+117.6</f>
        <v>162</v>
      </c>
      <c r="D53" s="124"/>
    </row>
    <row r="54" spans="1:5" ht="16.5" x14ac:dyDescent="0.25">
      <c r="A54" s="84" t="s">
        <v>71</v>
      </c>
      <c r="B54" s="93" t="s">
        <v>72</v>
      </c>
      <c r="C54" s="295">
        <f>166+110.7-260.5+155.4</f>
        <v>171.6</v>
      </c>
      <c r="D54" s="124"/>
    </row>
    <row r="55" spans="1:5" ht="23.45" hidden="1" customHeight="1" x14ac:dyDescent="0.25">
      <c r="A55" s="84" t="s">
        <v>925</v>
      </c>
      <c r="B55" s="154" t="s">
        <v>669</v>
      </c>
      <c r="C55" s="294">
        <f>C56+C57</f>
        <v>0</v>
      </c>
      <c r="D55" s="124"/>
    </row>
    <row r="56" spans="1:5" ht="18.75" hidden="1" x14ac:dyDescent="0.25">
      <c r="A56" s="126" t="s">
        <v>371</v>
      </c>
      <c r="B56" s="86" t="s">
        <v>372</v>
      </c>
      <c r="C56" s="295">
        <f>2370.8-1734.8-112.2-523.8</f>
        <v>0</v>
      </c>
      <c r="D56" s="125"/>
    </row>
    <row r="57" spans="1:5" ht="16.5" hidden="1" x14ac:dyDescent="0.25">
      <c r="A57" s="126" t="s">
        <v>373</v>
      </c>
      <c r="B57" s="86" t="s">
        <v>374</v>
      </c>
      <c r="C57" s="295">
        <f>250.2-40.4-115.6-94.2</f>
        <v>0</v>
      </c>
      <c r="D57" s="124"/>
    </row>
    <row r="58" spans="1:5" ht="31.5" x14ac:dyDescent="0.25">
      <c r="A58" s="84" t="s">
        <v>73</v>
      </c>
      <c r="B58" s="93" t="s">
        <v>74</v>
      </c>
      <c r="C58" s="294">
        <f>C60</f>
        <v>377.29999999999995</v>
      </c>
      <c r="D58" s="124"/>
    </row>
    <row r="59" spans="1:5" ht="15.75" x14ac:dyDescent="0.25">
      <c r="A59" s="84" t="s">
        <v>75</v>
      </c>
      <c r="B59" s="93" t="s">
        <v>76</v>
      </c>
      <c r="C59" s="294">
        <f>C60</f>
        <v>377.29999999999995</v>
      </c>
    </row>
    <row r="60" spans="1:5" ht="31.5" x14ac:dyDescent="0.25">
      <c r="A60" s="126" t="s">
        <v>77</v>
      </c>
      <c r="B60" s="86" t="s">
        <v>78</v>
      </c>
      <c r="C60" s="295">
        <f>833.9-456.6</f>
        <v>377.29999999999995</v>
      </c>
      <c r="D60" s="127"/>
    </row>
    <row r="61" spans="1:5" ht="31.5" x14ac:dyDescent="0.25">
      <c r="A61" s="84" t="s">
        <v>79</v>
      </c>
      <c r="B61" s="93" t="s">
        <v>80</v>
      </c>
      <c r="C61" s="294">
        <f>SUM(C62+C64)</f>
        <v>236</v>
      </c>
    </row>
    <row r="62" spans="1:5" ht="78.75" x14ac:dyDescent="0.25">
      <c r="A62" s="84" t="s">
        <v>81</v>
      </c>
      <c r="B62" s="93" t="s">
        <v>82</v>
      </c>
      <c r="C62" s="294">
        <f>C63</f>
        <v>235</v>
      </c>
    </row>
    <row r="63" spans="1:5" ht="78.75" x14ac:dyDescent="0.25">
      <c r="A63" s="126" t="s">
        <v>83</v>
      </c>
      <c r="B63" s="86" t="s">
        <v>337</v>
      </c>
      <c r="C63" s="295">
        <v>235</v>
      </c>
    </row>
    <row r="64" spans="1:5" ht="31.5" x14ac:dyDescent="0.25">
      <c r="A64" s="84" t="s">
        <v>84</v>
      </c>
      <c r="B64" s="93" t="s">
        <v>85</v>
      </c>
      <c r="C64" s="294">
        <f>SUM(C65)</f>
        <v>1</v>
      </c>
    </row>
    <row r="65" spans="1:15" ht="47.25" x14ac:dyDescent="0.25">
      <c r="A65" s="126" t="s">
        <v>86</v>
      </c>
      <c r="B65" s="86" t="s">
        <v>87</v>
      </c>
      <c r="C65" s="295">
        <v>1</v>
      </c>
    </row>
    <row r="66" spans="1:15" ht="15.75" x14ac:dyDescent="0.25">
      <c r="A66" s="84" t="s">
        <v>88</v>
      </c>
      <c r="B66" s="93" t="s">
        <v>89</v>
      </c>
      <c r="C66" s="294">
        <f>C67</f>
        <v>16</v>
      </c>
    </row>
    <row r="67" spans="1:15" ht="31.5" x14ac:dyDescent="0.25">
      <c r="A67" s="84" t="s">
        <v>648</v>
      </c>
      <c r="B67" s="93" t="s">
        <v>90</v>
      </c>
      <c r="C67" s="294">
        <f>C68+C70+C72+C74</f>
        <v>16</v>
      </c>
    </row>
    <row r="68" spans="1:15" ht="47.25" x14ac:dyDescent="0.25">
      <c r="A68" s="84" t="s">
        <v>662</v>
      </c>
      <c r="B68" s="160" t="s">
        <v>661</v>
      </c>
      <c r="C68" s="294">
        <f>C69</f>
        <v>10</v>
      </c>
    </row>
    <row r="69" spans="1:15" ht="63" x14ac:dyDescent="0.25">
      <c r="A69" s="126" t="s">
        <v>650</v>
      </c>
      <c r="B69" s="161" t="s">
        <v>656</v>
      </c>
      <c r="C69" s="295">
        <v>10</v>
      </c>
    </row>
    <row r="70" spans="1:15" ht="60.4" customHeight="1" x14ac:dyDescent="0.25">
      <c r="A70" s="84" t="s">
        <v>664</v>
      </c>
      <c r="B70" s="160" t="s">
        <v>663</v>
      </c>
      <c r="C70" s="294">
        <f>C71</f>
        <v>2.5</v>
      </c>
    </row>
    <row r="71" spans="1:15" ht="90.75" customHeight="1" x14ac:dyDescent="0.25">
      <c r="A71" s="126" t="s">
        <v>649</v>
      </c>
      <c r="B71" s="161" t="s">
        <v>657</v>
      </c>
      <c r="C71" s="295">
        <v>2.5</v>
      </c>
    </row>
    <row r="72" spans="1:15" s="116" customFormat="1" ht="51.75" customHeight="1" x14ac:dyDescent="0.25">
      <c r="A72" s="84" t="s">
        <v>1196</v>
      </c>
      <c r="B72" s="162" t="s">
        <v>1198</v>
      </c>
      <c r="C72" s="294">
        <f>C73</f>
        <v>0.5</v>
      </c>
      <c r="J72" s="571"/>
      <c r="K72" s="635"/>
      <c r="L72" s="608"/>
      <c r="M72" s="608"/>
      <c r="N72" s="608"/>
      <c r="O72" s="608"/>
    </row>
    <row r="73" spans="1:15" ht="71.25" customHeight="1" x14ac:dyDescent="0.25">
      <c r="A73" s="126" t="s">
        <v>1197</v>
      </c>
      <c r="B73" s="161" t="s">
        <v>1199</v>
      </c>
      <c r="C73" s="295">
        <v>0.5</v>
      </c>
    </row>
    <row r="74" spans="1:15" ht="63" x14ac:dyDescent="0.25">
      <c r="A74" s="84" t="s">
        <v>660</v>
      </c>
      <c r="B74" s="162" t="s">
        <v>659</v>
      </c>
      <c r="C74" s="294">
        <f>C75</f>
        <v>3</v>
      </c>
    </row>
    <row r="75" spans="1:15" ht="78.75" x14ac:dyDescent="0.25">
      <c r="A75" s="126" t="s">
        <v>653</v>
      </c>
      <c r="B75" s="163" t="s">
        <v>658</v>
      </c>
      <c r="C75" s="295">
        <v>3</v>
      </c>
    </row>
    <row r="76" spans="1:15" ht="15.75" hidden="1" x14ac:dyDescent="0.25">
      <c r="A76" s="3" t="s">
        <v>651</v>
      </c>
      <c r="B76" s="105" t="s">
        <v>345</v>
      </c>
      <c r="C76" s="294">
        <f>C77</f>
        <v>0</v>
      </c>
    </row>
    <row r="77" spans="1:15" ht="15.75" hidden="1" x14ac:dyDescent="0.25">
      <c r="A77" s="3" t="s">
        <v>652</v>
      </c>
      <c r="B77" s="105" t="s">
        <v>346</v>
      </c>
      <c r="C77" s="294">
        <f>SUM(C78)</f>
        <v>0</v>
      </c>
    </row>
    <row r="78" spans="1:15" ht="15.75" hidden="1" x14ac:dyDescent="0.25">
      <c r="A78" s="2" t="s">
        <v>347</v>
      </c>
      <c r="B78" s="104" t="s">
        <v>348</v>
      </c>
      <c r="C78" s="295">
        <v>0</v>
      </c>
    </row>
    <row r="79" spans="1:15" ht="15.75" x14ac:dyDescent="0.25">
      <c r="A79" s="84" t="s">
        <v>91</v>
      </c>
      <c r="B79" s="85" t="s">
        <v>92</v>
      </c>
      <c r="C79" s="294">
        <f>C80+C197</f>
        <v>553607.88060999999</v>
      </c>
      <c r="D79" s="186">
        <f>C79-C81</f>
        <v>349114.88060999999</v>
      </c>
      <c r="E79" s="71"/>
      <c r="F79" s="71">
        <v>443864.2</v>
      </c>
      <c r="H79" s="118"/>
      <c r="J79" s="570"/>
      <c r="K79" s="610"/>
      <c r="L79" s="610" t="s">
        <v>1293</v>
      </c>
      <c r="M79" s="611">
        <f>331602347.57/1000</f>
        <v>331602.34756999998</v>
      </c>
      <c r="O79" s="609">
        <f>K79-M79</f>
        <v>-331602.34756999998</v>
      </c>
    </row>
    <row r="80" spans="1:15" ht="31.5" x14ac:dyDescent="0.25">
      <c r="A80" s="84" t="s">
        <v>93</v>
      </c>
      <c r="B80" s="85" t="s">
        <v>94</v>
      </c>
      <c r="C80" s="294">
        <f>C81+C86+C152+C183</f>
        <v>537673.58060999995</v>
      </c>
      <c r="D80" s="187"/>
      <c r="H80" s="118"/>
      <c r="I80" s="71"/>
      <c r="J80" s="572"/>
      <c r="K80" s="610"/>
      <c r="L80" s="609"/>
    </row>
    <row r="81" spans="1:12" ht="15.75" x14ac:dyDescent="0.25">
      <c r="A81" s="84" t="s">
        <v>390</v>
      </c>
      <c r="B81" s="94" t="s">
        <v>95</v>
      </c>
      <c r="C81" s="294">
        <f>C82+C84</f>
        <v>204493</v>
      </c>
      <c r="D81" s="188"/>
      <c r="K81" s="610"/>
      <c r="L81" s="609"/>
    </row>
    <row r="82" spans="1:12" ht="15.75" x14ac:dyDescent="0.25">
      <c r="A82" s="84" t="s">
        <v>682</v>
      </c>
      <c r="B82" s="94" t="s">
        <v>681</v>
      </c>
      <c r="C82" s="294">
        <f>C83</f>
        <v>193111</v>
      </c>
      <c r="D82" s="188"/>
      <c r="K82" s="610"/>
      <c r="L82" s="609"/>
    </row>
    <row r="83" spans="1:12" ht="31.5" x14ac:dyDescent="0.25">
      <c r="A83" s="126" t="s">
        <v>389</v>
      </c>
      <c r="B83" s="91" t="s">
        <v>689</v>
      </c>
      <c r="C83" s="295">
        <v>193111</v>
      </c>
      <c r="D83" s="188"/>
      <c r="F83" s="71"/>
    </row>
    <row r="84" spans="1:12" ht="31.5" x14ac:dyDescent="0.25">
      <c r="A84" s="81" t="s">
        <v>940</v>
      </c>
      <c r="B84" s="85" t="s">
        <v>941</v>
      </c>
      <c r="C84" s="294">
        <f>C85</f>
        <v>11382</v>
      </c>
      <c r="D84" s="187"/>
    </row>
    <row r="85" spans="1:12" ht="31.5" x14ac:dyDescent="0.25">
      <c r="A85" s="79" t="s">
        <v>942</v>
      </c>
      <c r="B85" s="91" t="s">
        <v>943</v>
      </c>
      <c r="C85" s="295">
        <v>11382</v>
      </c>
      <c r="D85" s="187"/>
    </row>
    <row r="86" spans="1:12" ht="34.5" customHeight="1" x14ac:dyDescent="0.25">
      <c r="A86" s="84" t="s">
        <v>388</v>
      </c>
      <c r="B86" s="85" t="s">
        <v>96</v>
      </c>
      <c r="C86" s="294">
        <f>C91+C95+C101+C103+C105+C107+C109+C111+C113+C115</f>
        <v>90180.51761000001</v>
      </c>
      <c r="D86" s="189">
        <f>C93+C97+C99+C101+C107+C109+C111+C115+C113+C89+C87</f>
        <v>87867.946380000009</v>
      </c>
      <c r="E86" s="71"/>
      <c r="F86" s="71"/>
      <c r="G86" s="71"/>
      <c r="I86" s="71"/>
    </row>
    <row r="87" spans="1:12" ht="54" hidden="1" customHeight="1" x14ac:dyDescent="0.25">
      <c r="A87" s="628" t="s">
        <v>944</v>
      </c>
      <c r="B87" s="219" t="s">
        <v>945</v>
      </c>
      <c r="C87" s="272">
        <f>C88</f>
        <v>0</v>
      </c>
      <c r="D87" s="189"/>
      <c r="E87" s="71"/>
      <c r="F87" s="71"/>
      <c r="G87" s="71"/>
      <c r="I87" s="71"/>
      <c r="J87" s="570"/>
    </row>
    <row r="88" spans="1:12" ht="54" hidden="1" customHeight="1" x14ac:dyDescent="0.25">
      <c r="A88" s="126" t="s">
        <v>946</v>
      </c>
      <c r="B88" s="221" t="s">
        <v>947</v>
      </c>
      <c r="C88" s="295"/>
      <c r="D88" s="189">
        <f>'Пр.4 ведом.22'!G991-63</f>
        <v>-63</v>
      </c>
      <c r="E88" s="71"/>
      <c r="F88" s="71"/>
      <c r="G88" s="71"/>
      <c r="I88" s="71"/>
    </row>
    <row r="89" spans="1:12" ht="54" hidden="1" customHeight="1" x14ac:dyDescent="0.25">
      <c r="A89" s="84" t="s">
        <v>949</v>
      </c>
      <c r="B89" s="222" t="s">
        <v>948</v>
      </c>
      <c r="C89" s="294">
        <f>C90</f>
        <v>0</v>
      </c>
      <c r="D89" s="189"/>
      <c r="E89" s="71"/>
      <c r="F89" s="71"/>
      <c r="G89" s="71"/>
      <c r="I89" s="71"/>
    </row>
    <row r="90" spans="1:12" ht="54" hidden="1" customHeight="1" x14ac:dyDescent="0.25">
      <c r="A90" s="126" t="s">
        <v>950</v>
      </c>
      <c r="B90" s="225" t="s">
        <v>951</v>
      </c>
      <c r="C90" s="295"/>
      <c r="D90" s="189">
        <f>'Пр.4 ведом.22'!G830-258.45</f>
        <v>-258.45</v>
      </c>
      <c r="E90" s="71"/>
      <c r="F90" s="71"/>
      <c r="G90" s="71"/>
      <c r="I90" s="71"/>
    </row>
    <row r="91" spans="1:12" ht="45.75" customHeight="1" x14ac:dyDescent="0.25">
      <c r="A91" s="84" t="s">
        <v>955</v>
      </c>
      <c r="B91" s="110" t="s">
        <v>1192</v>
      </c>
      <c r="C91" s="294">
        <f>C92</f>
        <v>1677.7</v>
      </c>
      <c r="D91" s="189"/>
      <c r="E91" s="71"/>
      <c r="F91" s="71"/>
      <c r="G91" s="71"/>
      <c r="I91" s="71"/>
    </row>
    <row r="92" spans="1:12" ht="45.75" customHeight="1" x14ac:dyDescent="0.25">
      <c r="A92" s="126" t="s">
        <v>1128</v>
      </c>
      <c r="B92" s="221" t="s">
        <v>1127</v>
      </c>
      <c r="C92" s="295">
        <f>1677.8-0.1</f>
        <v>1677.7</v>
      </c>
      <c r="D92" s="189"/>
      <c r="E92" s="71"/>
      <c r="F92" s="71"/>
      <c r="G92" s="71"/>
      <c r="I92" s="71"/>
    </row>
    <row r="93" spans="1:12" ht="49.7" hidden="1" customHeight="1" x14ac:dyDescent="0.25">
      <c r="A93" s="629" t="s">
        <v>704</v>
      </c>
      <c r="B93" s="159" t="s">
        <v>706</v>
      </c>
      <c r="C93" s="273">
        <f>C94</f>
        <v>0</v>
      </c>
      <c r="D93" s="190"/>
      <c r="E93" s="71"/>
      <c r="F93" s="71"/>
      <c r="G93" s="71"/>
      <c r="H93" s="118"/>
      <c r="I93" s="71"/>
    </row>
    <row r="94" spans="1:12" ht="65.25" hidden="1" customHeight="1" x14ac:dyDescent="0.25">
      <c r="A94" s="126" t="s">
        <v>703</v>
      </c>
      <c r="B94" s="67" t="s">
        <v>1046</v>
      </c>
      <c r="C94" s="295"/>
      <c r="D94" s="190">
        <f>'Пр.4 ведом.22'!G823-150.8</f>
        <v>-150.80000000000001</v>
      </c>
      <c r="E94" s="71"/>
      <c r="F94" s="71"/>
      <c r="G94" s="71"/>
      <c r="H94" s="118"/>
      <c r="I94" s="71"/>
    </row>
    <row r="95" spans="1:12" ht="65.25" customHeight="1" x14ac:dyDescent="0.25">
      <c r="A95" s="84" t="s">
        <v>1184</v>
      </c>
      <c r="B95" s="339" t="s">
        <v>1185</v>
      </c>
      <c r="C95" s="294">
        <f>C96</f>
        <v>35.292999999999999</v>
      </c>
      <c r="D95" s="190"/>
      <c r="E95" s="71"/>
      <c r="F95" s="71"/>
      <c r="G95" s="71"/>
      <c r="H95" s="118"/>
      <c r="I95" s="71"/>
    </row>
    <row r="96" spans="1:12" ht="65.25" customHeight="1" x14ac:dyDescent="0.25">
      <c r="A96" s="430" t="s">
        <v>1183</v>
      </c>
      <c r="B96" s="67" t="s">
        <v>1148</v>
      </c>
      <c r="C96" s="295">
        <f>99-0.033-98.967+20.3+15-0.007</f>
        <v>35.292999999999999</v>
      </c>
      <c r="D96" s="190"/>
      <c r="E96" s="71"/>
      <c r="F96" s="71"/>
      <c r="G96" s="71"/>
      <c r="H96" s="118"/>
      <c r="I96" s="71"/>
    </row>
    <row r="97" spans="1:15" ht="47.25" hidden="1" customHeight="1" x14ac:dyDescent="0.25">
      <c r="A97" s="84" t="s">
        <v>707</v>
      </c>
      <c r="B97" s="339" t="s">
        <v>710</v>
      </c>
      <c r="C97" s="294">
        <f>C98</f>
        <v>0</v>
      </c>
      <c r="D97" s="190"/>
      <c r="E97" s="71"/>
      <c r="F97" s="71"/>
      <c r="G97" s="71"/>
      <c r="H97" s="118"/>
      <c r="I97" s="71"/>
    </row>
    <row r="98" spans="1:15" ht="54.75" hidden="1" customHeight="1" x14ac:dyDescent="0.25">
      <c r="A98" s="126" t="s">
        <v>708</v>
      </c>
      <c r="B98" s="67" t="s">
        <v>709</v>
      </c>
      <c r="C98" s="295">
        <v>0</v>
      </c>
      <c r="D98" s="190"/>
      <c r="E98" s="71"/>
      <c r="F98" s="71"/>
      <c r="G98" s="71"/>
      <c r="H98" s="118"/>
      <c r="I98" s="71"/>
    </row>
    <row r="99" spans="1:15" ht="26.45" hidden="1" customHeight="1" x14ac:dyDescent="0.25">
      <c r="A99" s="628"/>
      <c r="B99" s="226" t="s">
        <v>804</v>
      </c>
      <c r="C99" s="294">
        <f>C100</f>
        <v>0</v>
      </c>
      <c r="D99" s="190"/>
      <c r="E99" s="71"/>
      <c r="F99" s="71"/>
      <c r="G99" s="71"/>
      <c r="H99" s="118"/>
      <c r="I99" s="71"/>
    </row>
    <row r="100" spans="1:15" ht="23.25" hidden="1" customHeight="1" x14ac:dyDescent="0.25">
      <c r="A100" s="631"/>
      <c r="B100" s="227"/>
      <c r="C100" s="295"/>
      <c r="D100" s="190" t="e">
        <f>'Пр.4 ведом.22'!#REF!-1936.29</f>
        <v>#REF!</v>
      </c>
      <c r="E100" s="71"/>
      <c r="F100" s="71"/>
      <c r="G100" s="71"/>
      <c r="H100" s="118"/>
      <c r="I100" s="71"/>
    </row>
    <row r="101" spans="1:15" ht="51.75" customHeight="1" x14ac:dyDescent="0.25">
      <c r="A101" s="628" t="s">
        <v>931</v>
      </c>
      <c r="B101" s="85" t="s">
        <v>932</v>
      </c>
      <c r="C101" s="294">
        <f>C102</f>
        <v>5193.5999999999995</v>
      </c>
      <c r="D101" s="190"/>
      <c r="G101" s="95"/>
    </row>
    <row r="102" spans="1:15" ht="51.75" customHeight="1" x14ac:dyDescent="0.25">
      <c r="A102" s="631" t="s">
        <v>933</v>
      </c>
      <c r="B102" s="91" t="s">
        <v>914</v>
      </c>
      <c r="C102" s="295">
        <f>5193.7-0.1</f>
        <v>5193.5999999999995</v>
      </c>
      <c r="D102" s="190"/>
      <c r="G102" s="95"/>
    </row>
    <row r="103" spans="1:15" ht="31.5" hidden="1" x14ac:dyDescent="0.25">
      <c r="A103" s="628" t="s">
        <v>1186</v>
      </c>
      <c r="B103" s="348" t="s">
        <v>1187</v>
      </c>
      <c r="C103" s="294">
        <f>C104</f>
        <v>0</v>
      </c>
      <c r="D103" s="190"/>
      <c r="G103" s="95"/>
    </row>
    <row r="104" spans="1:15" ht="31.5" hidden="1" x14ac:dyDescent="0.25">
      <c r="A104" s="431" t="s">
        <v>1157</v>
      </c>
      <c r="B104" s="349" t="s">
        <v>370</v>
      </c>
      <c r="C104" s="295">
        <f>183.9-0.035-183.865</f>
        <v>0</v>
      </c>
      <c r="D104" s="190"/>
      <c r="G104" s="95"/>
    </row>
    <row r="105" spans="1:15" s="116" customFormat="1" ht="34.5" customHeight="1" x14ac:dyDescent="0.25">
      <c r="A105" s="606" t="s">
        <v>670</v>
      </c>
      <c r="B105" s="94" t="s">
        <v>1318</v>
      </c>
      <c r="C105" s="294">
        <f>C106</f>
        <v>599.57822999999996</v>
      </c>
      <c r="D105" s="191"/>
      <c r="J105" s="571"/>
      <c r="K105" s="635"/>
      <c r="L105" s="608"/>
      <c r="M105" s="608"/>
      <c r="N105" s="608"/>
      <c r="O105" s="608"/>
    </row>
    <row r="106" spans="1:15" ht="34.5" customHeight="1" x14ac:dyDescent="0.25">
      <c r="A106" s="605" t="s">
        <v>400</v>
      </c>
      <c r="B106" s="618" t="s">
        <v>1317</v>
      </c>
      <c r="C106" s="295">
        <v>599.57822999999996</v>
      </c>
      <c r="D106" s="190"/>
      <c r="G106" s="95"/>
    </row>
    <row r="107" spans="1:15" s="95" customFormat="1" ht="33" customHeight="1" x14ac:dyDescent="0.25">
      <c r="A107" s="628" t="s">
        <v>1188</v>
      </c>
      <c r="B107" s="85" t="s">
        <v>1189</v>
      </c>
      <c r="C107" s="294">
        <f>C108</f>
        <v>10094.700000000001</v>
      </c>
      <c r="D107" s="190"/>
      <c r="E107" s="95" t="s">
        <v>908</v>
      </c>
      <c r="J107" s="573"/>
      <c r="K107" s="633"/>
      <c r="L107" s="607"/>
      <c r="M107" s="607"/>
      <c r="N107" s="607"/>
      <c r="O107" s="607"/>
    </row>
    <row r="108" spans="1:15" s="95" customFormat="1" ht="29.25" customHeight="1" x14ac:dyDescent="0.25">
      <c r="A108" s="631" t="s">
        <v>1190</v>
      </c>
      <c r="B108" s="279" t="s">
        <v>1154</v>
      </c>
      <c r="C108" s="295">
        <v>10094.700000000001</v>
      </c>
      <c r="D108" s="213">
        <f>'Пр.4 ведом.22'!G657-92.26</f>
        <v>532.95350999999994</v>
      </c>
      <c r="E108" s="622">
        <f>83.03+839.57</f>
        <v>922.6</v>
      </c>
      <c r="J108" s="573"/>
      <c r="K108" s="633"/>
      <c r="L108" s="607"/>
      <c r="M108" s="607"/>
      <c r="N108" s="607"/>
      <c r="O108" s="607"/>
    </row>
    <row r="109" spans="1:15" s="95" customFormat="1" ht="15.75" x14ac:dyDescent="0.25">
      <c r="A109" s="174" t="s">
        <v>700</v>
      </c>
      <c r="B109" s="175" t="s">
        <v>701</v>
      </c>
      <c r="C109" s="294">
        <f>C110</f>
        <v>168.60000000000002</v>
      </c>
      <c r="D109" s="190"/>
      <c r="J109" s="573"/>
      <c r="K109" s="633"/>
      <c r="L109" s="607"/>
      <c r="M109" s="607"/>
      <c r="N109" s="607"/>
      <c r="O109" s="607"/>
    </row>
    <row r="110" spans="1:15" s="95" customFormat="1" ht="15.75" x14ac:dyDescent="0.25">
      <c r="A110" s="176" t="s">
        <v>698</v>
      </c>
      <c r="B110" s="177" t="s">
        <v>699</v>
      </c>
      <c r="C110" s="295">
        <f>112.4+56.2</f>
        <v>168.60000000000002</v>
      </c>
      <c r="D110" s="190">
        <f>'Пр.4 ведом.22'!G488</f>
        <v>0</v>
      </c>
      <c r="E110" s="95">
        <v>2202.4</v>
      </c>
      <c r="F110" s="95" t="s">
        <v>908</v>
      </c>
      <c r="J110" s="573"/>
      <c r="K110" s="633"/>
      <c r="L110" s="607"/>
      <c r="M110" s="607"/>
      <c r="N110" s="607"/>
      <c r="O110" s="607"/>
    </row>
    <row r="111" spans="1:15" ht="31.5" x14ac:dyDescent="0.25">
      <c r="A111" s="628" t="s">
        <v>671</v>
      </c>
      <c r="B111" s="85" t="s">
        <v>672</v>
      </c>
      <c r="C111" s="294">
        <f>SUM(C112)</f>
        <v>12080.425380000001</v>
      </c>
      <c r="D111" s="190"/>
      <c r="G111" s="95"/>
    </row>
    <row r="112" spans="1:15" s="95" customFormat="1" ht="35.450000000000003" customHeight="1" x14ac:dyDescent="0.25">
      <c r="A112" s="631" t="s">
        <v>387</v>
      </c>
      <c r="B112" s="156" t="s">
        <v>1047</v>
      </c>
      <c r="C112" s="295">
        <f>12080.42538</f>
        <v>12080.425380000001</v>
      </c>
      <c r="D112" s="190">
        <f>'Пр.4 ведом.22'!G1261-500-874</f>
        <v>24714.123599999999</v>
      </c>
      <c r="E112" s="95">
        <v>3026.4</v>
      </c>
      <c r="F112" s="95" t="s">
        <v>908</v>
      </c>
      <c r="J112" s="573"/>
      <c r="K112" s="633"/>
      <c r="L112" s="607"/>
      <c r="M112" s="607"/>
      <c r="N112" s="607"/>
      <c r="O112" s="607"/>
    </row>
    <row r="113" spans="1:15" s="116" customFormat="1" ht="32.25" customHeight="1" x14ac:dyDescent="0.25">
      <c r="A113" s="628" t="s">
        <v>929</v>
      </c>
      <c r="B113" s="94" t="s">
        <v>928</v>
      </c>
      <c r="C113" s="294">
        <f>C114</f>
        <v>2000</v>
      </c>
      <c r="D113" s="191"/>
      <c r="J113" s="571"/>
      <c r="K113" s="635"/>
      <c r="L113" s="608"/>
      <c r="M113" s="608"/>
      <c r="N113" s="608"/>
      <c r="O113" s="608"/>
    </row>
    <row r="114" spans="1:15" s="95" customFormat="1" ht="32.25" customHeight="1" x14ac:dyDescent="0.25">
      <c r="A114" s="631" t="s">
        <v>930</v>
      </c>
      <c r="B114" s="156" t="s">
        <v>927</v>
      </c>
      <c r="C114" s="295">
        <v>2000</v>
      </c>
      <c r="D114" s="213">
        <f>'Пр.4 ведом.22'!G1206</f>
        <v>0</v>
      </c>
      <c r="J114" s="573"/>
      <c r="K114" s="633"/>
      <c r="L114" s="607"/>
      <c r="M114" s="607"/>
      <c r="N114" s="607"/>
      <c r="O114" s="607"/>
    </row>
    <row r="115" spans="1:15" s="116" customFormat="1" ht="15.75" x14ac:dyDescent="0.25">
      <c r="A115" s="628" t="s">
        <v>674</v>
      </c>
      <c r="B115" s="85" t="s">
        <v>673</v>
      </c>
      <c r="C115" s="73">
        <f>C116</f>
        <v>58330.621000000006</v>
      </c>
      <c r="D115" s="191"/>
      <c r="G115" s="118"/>
      <c r="H115" s="117">
        <f>C117+C118+C119+C120+C121+C124+C125+C127+C128+C129+C131</f>
        <v>7510.2799999999988</v>
      </c>
      <c r="I115" s="117"/>
      <c r="J115" s="571"/>
      <c r="K115" s="635"/>
      <c r="L115" s="608"/>
      <c r="M115" s="608"/>
      <c r="N115" s="608"/>
      <c r="O115" s="608"/>
    </row>
    <row r="116" spans="1:15" s="116" customFormat="1" ht="15.75" x14ac:dyDescent="0.25">
      <c r="A116" s="126" t="s">
        <v>386</v>
      </c>
      <c r="B116" s="91" t="s">
        <v>97</v>
      </c>
      <c r="C116" s="18">
        <f>SUM(C117:C151)</f>
        <v>58330.621000000006</v>
      </c>
      <c r="D116" s="191"/>
      <c r="G116" s="118"/>
      <c r="I116" s="117"/>
      <c r="J116" s="571"/>
      <c r="K116" s="635"/>
      <c r="L116" s="608"/>
      <c r="M116" s="608"/>
      <c r="N116" s="608"/>
      <c r="O116" s="608"/>
    </row>
    <row r="117" spans="1:15" ht="78.75" hidden="1" customHeight="1" x14ac:dyDescent="0.25">
      <c r="A117" s="663"/>
      <c r="B117" s="86" t="s">
        <v>996</v>
      </c>
      <c r="C117" s="295"/>
      <c r="D117" s="213" t="e">
        <f>'Пр.4 ведом.22'!#REF!</f>
        <v>#REF!</v>
      </c>
    </row>
    <row r="118" spans="1:15" ht="115.5" customHeight="1" x14ac:dyDescent="0.25">
      <c r="A118" s="664"/>
      <c r="B118" s="96" t="s">
        <v>1151</v>
      </c>
      <c r="C118" s="274">
        <f>652+731.2</f>
        <v>1383.2</v>
      </c>
      <c r="D118" s="213">
        <f>'Пр.4 ведом.22'!G728</f>
        <v>1487.3119999999999</v>
      </c>
    </row>
    <row r="119" spans="1:15" ht="134.44999999999999" hidden="1" customHeight="1" x14ac:dyDescent="0.25">
      <c r="A119" s="664"/>
      <c r="B119" s="20" t="s">
        <v>1090</v>
      </c>
      <c r="C119" s="274"/>
      <c r="D119" s="190" t="e">
        <f>'Пр.4 ведом.22'!#REF!</f>
        <v>#REF!</v>
      </c>
    </row>
    <row r="120" spans="1:15" ht="81.75" customHeight="1" x14ac:dyDescent="0.25">
      <c r="A120" s="664"/>
      <c r="B120" s="265" t="s">
        <v>1136</v>
      </c>
      <c r="C120" s="180">
        <f>4113.9-60.3+870.5+97.7+8.82+79.38+1.05+9.45+1.32+11.88-685.61</f>
        <v>4448.0899999999992</v>
      </c>
      <c r="D120" s="212" t="e">
        <f>'Пр.4 ведом.22'!#REF!</f>
        <v>#REF!</v>
      </c>
      <c r="I120" s="71"/>
    </row>
    <row r="121" spans="1:15" ht="63" hidden="1" customHeight="1" x14ac:dyDescent="0.25">
      <c r="A121" s="664"/>
      <c r="B121" s="96" t="s">
        <v>912</v>
      </c>
      <c r="C121" s="9"/>
      <c r="D121" s="190" t="e">
        <f>SUM(D122:D123)</f>
        <v>#REF!</v>
      </c>
      <c r="G121" s="97"/>
    </row>
    <row r="122" spans="1:15" s="97" customFormat="1" ht="94.7" hidden="1" customHeight="1" x14ac:dyDescent="0.25">
      <c r="A122" s="664"/>
      <c r="B122" s="266" t="s">
        <v>913</v>
      </c>
      <c r="C122" s="275"/>
      <c r="D122" s="192"/>
      <c r="J122" s="574"/>
      <c r="K122" s="636"/>
      <c r="L122" s="607"/>
      <c r="M122" s="612"/>
      <c r="N122" s="612"/>
      <c r="O122" s="612"/>
    </row>
    <row r="123" spans="1:15" s="97" customFormat="1" ht="127.5" hidden="1" customHeight="1" x14ac:dyDescent="0.25">
      <c r="A123" s="664"/>
      <c r="B123" s="86" t="s">
        <v>995</v>
      </c>
      <c r="C123" s="295"/>
      <c r="D123" s="213" t="e">
        <f>'Пр.4 ведом.22'!#REF!</f>
        <v>#REF!</v>
      </c>
      <c r="J123" s="574"/>
      <c r="K123" s="636"/>
      <c r="L123" s="607"/>
      <c r="M123" s="612"/>
      <c r="N123" s="612"/>
      <c r="O123" s="612"/>
    </row>
    <row r="124" spans="1:15" ht="31.5" x14ac:dyDescent="0.25">
      <c r="A124" s="664"/>
      <c r="B124" s="86" t="s">
        <v>1137</v>
      </c>
      <c r="C124" s="295">
        <f>2304.3-625.31</f>
        <v>1678.9900000000002</v>
      </c>
      <c r="D124" s="212" t="e">
        <f>'Пр.4 ведом.22'!#REF!</f>
        <v>#REF!</v>
      </c>
      <c r="K124" s="637"/>
    </row>
    <row r="125" spans="1:15" ht="78.75" hidden="1" x14ac:dyDescent="0.25">
      <c r="A125" s="664"/>
      <c r="B125" s="86" t="s">
        <v>1158</v>
      </c>
      <c r="C125" s="295">
        <f>255-255</f>
        <v>0</v>
      </c>
      <c r="D125" s="213" t="e">
        <f>'Пр.4 ведом.22'!#REF!</f>
        <v>#REF!</v>
      </c>
    </row>
    <row r="126" spans="1:15" ht="63" hidden="1" customHeight="1" x14ac:dyDescent="0.25">
      <c r="A126" s="664"/>
      <c r="B126" s="30" t="s">
        <v>997</v>
      </c>
      <c r="C126" s="295"/>
      <c r="D126" s="213" t="e">
        <f>'Пр.4 ведом.22'!#REF!</f>
        <v>#REF!</v>
      </c>
    </row>
    <row r="127" spans="1:15" ht="82.5" hidden="1" customHeight="1" x14ac:dyDescent="0.25">
      <c r="A127" s="664"/>
      <c r="B127" s="86" t="s">
        <v>998</v>
      </c>
      <c r="C127" s="295"/>
      <c r="D127" s="213" t="e">
        <f>'Пр.4 ведом.22'!#REF!</f>
        <v>#REF!</v>
      </c>
    </row>
    <row r="128" spans="1:15" ht="47.25" hidden="1" customHeight="1" x14ac:dyDescent="0.25">
      <c r="A128" s="664"/>
      <c r="B128" s="20" t="s">
        <v>915</v>
      </c>
      <c r="C128" s="9"/>
      <c r="D128" s="190" t="e">
        <f>'Пр.4 ведом.22'!#REF!</f>
        <v>#REF!</v>
      </c>
    </row>
    <row r="129" spans="1:15" s="114" customFormat="1" ht="149.25" hidden="1" customHeight="1" x14ac:dyDescent="0.2">
      <c r="A129" s="664"/>
      <c r="B129" s="267" t="s">
        <v>999</v>
      </c>
      <c r="C129" s="18"/>
      <c r="D129" s="193" t="e">
        <f>'Пр.4 ведом.22'!#REF!</f>
        <v>#REF!</v>
      </c>
      <c r="E129" s="281"/>
      <c r="F129" s="281"/>
      <c r="G129" s="281"/>
      <c r="H129" s="281"/>
      <c r="I129" s="281"/>
      <c r="J129" s="575"/>
      <c r="K129" s="638"/>
      <c r="L129" s="614"/>
      <c r="M129" s="614"/>
      <c r="N129" s="614"/>
      <c r="O129" s="614"/>
    </row>
    <row r="130" spans="1:15" s="114" customFormat="1" ht="84.2" hidden="1" customHeight="1" x14ac:dyDescent="0.2">
      <c r="A130" s="664"/>
      <c r="B130" s="268" t="s">
        <v>1000</v>
      </c>
      <c r="C130" s="18"/>
      <c r="D130" s="193" t="e">
        <f>'Пр.4 ведом.22'!#REF!</f>
        <v>#REF!</v>
      </c>
      <c r="E130" s="281"/>
      <c r="F130" s="281"/>
      <c r="G130" s="281"/>
      <c r="H130" s="281"/>
      <c r="I130" s="281"/>
      <c r="J130" s="575"/>
      <c r="K130" s="638"/>
      <c r="L130" s="614"/>
      <c r="M130" s="614"/>
      <c r="N130" s="614"/>
      <c r="O130" s="614"/>
    </row>
    <row r="131" spans="1:15" s="114" customFormat="1" ht="118.5" hidden="1" customHeight="1" x14ac:dyDescent="0.2">
      <c r="A131" s="664"/>
      <c r="B131" s="30" t="s">
        <v>1101</v>
      </c>
      <c r="C131" s="18"/>
      <c r="D131" s="282"/>
      <c r="E131" s="281"/>
      <c r="F131" s="281"/>
      <c r="G131" s="281"/>
      <c r="H131" s="281"/>
      <c r="I131" s="281"/>
      <c r="J131" s="575"/>
      <c r="K131" s="638"/>
      <c r="L131" s="614"/>
      <c r="M131" s="614"/>
      <c r="N131" s="614"/>
      <c r="O131" s="614"/>
    </row>
    <row r="132" spans="1:15" s="114" customFormat="1" ht="141" hidden="1" customHeight="1" x14ac:dyDescent="0.2">
      <c r="A132" s="664"/>
      <c r="B132" s="29" t="s">
        <v>1017</v>
      </c>
      <c r="C132" s="18"/>
      <c r="D132" s="282"/>
      <c r="E132" s="281"/>
      <c r="F132" s="281"/>
      <c r="G132" s="281"/>
      <c r="H132" s="281"/>
      <c r="I132" s="281"/>
      <c r="J132" s="575"/>
      <c r="K132" s="638"/>
      <c r="L132" s="614"/>
      <c r="M132" s="614"/>
      <c r="N132" s="614"/>
      <c r="O132" s="614"/>
    </row>
    <row r="133" spans="1:15" s="281" customFormat="1" ht="110.25" x14ac:dyDescent="0.2">
      <c r="A133" s="664"/>
      <c r="B133" s="279" t="s">
        <v>1164</v>
      </c>
      <c r="C133" s="18">
        <f>6871.5-0.038+4396.16654</f>
        <v>11267.628540000002</v>
      </c>
      <c r="D133" s="282"/>
      <c r="J133" s="575"/>
      <c r="K133" s="638"/>
      <c r="L133" s="614"/>
      <c r="M133" s="614"/>
      <c r="N133" s="614"/>
      <c r="O133" s="614"/>
    </row>
    <row r="134" spans="1:15" s="281" customFormat="1" ht="41.25" customHeight="1" x14ac:dyDescent="0.2">
      <c r="A134" s="664"/>
      <c r="B134" s="279" t="s">
        <v>1138</v>
      </c>
      <c r="C134" s="18">
        <v>400</v>
      </c>
      <c r="D134" s="282"/>
      <c r="J134" s="575"/>
      <c r="K134" s="638"/>
      <c r="L134" s="614"/>
      <c r="M134" s="614"/>
      <c r="N134" s="614"/>
      <c r="O134" s="614"/>
    </row>
    <row r="135" spans="1:15" s="281" customFormat="1" ht="41.25" customHeight="1" x14ac:dyDescent="0.2">
      <c r="A135" s="664"/>
      <c r="B135" s="279" t="s">
        <v>1191</v>
      </c>
      <c r="C135" s="18">
        <v>3515.6</v>
      </c>
      <c r="D135" s="282"/>
      <c r="J135" s="575"/>
      <c r="K135" s="638"/>
      <c r="L135" s="614"/>
      <c r="M135" s="614"/>
      <c r="N135" s="614"/>
      <c r="O135" s="614"/>
    </row>
    <row r="136" spans="1:15" s="281" customFormat="1" ht="41.25" customHeight="1" x14ac:dyDescent="0.2">
      <c r="A136" s="664"/>
      <c r="B136" s="279" t="s">
        <v>1043</v>
      </c>
      <c r="C136" s="18">
        <f>200-200+138</f>
        <v>138</v>
      </c>
      <c r="D136" s="282"/>
      <c r="J136" s="575"/>
      <c r="K136" s="638"/>
      <c r="L136" s="614"/>
      <c r="M136" s="614"/>
      <c r="N136" s="614"/>
      <c r="O136" s="614"/>
    </row>
    <row r="137" spans="1:15" s="281" customFormat="1" ht="49.9" hidden="1" customHeight="1" x14ac:dyDescent="0.2">
      <c r="A137" s="664"/>
      <c r="B137" s="279" t="s">
        <v>1144</v>
      </c>
      <c r="C137" s="18">
        <f>247.3-247.3</f>
        <v>0</v>
      </c>
      <c r="D137" s="282"/>
      <c r="J137" s="575"/>
      <c r="K137" s="638"/>
      <c r="L137" s="614"/>
      <c r="M137" s="614"/>
      <c r="N137" s="614"/>
      <c r="O137" s="614"/>
    </row>
    <row r="138" spans="1:15" s="281" customFormat="1" ht="41.25" hidden="1" customHeight="1" x14ac:dyDescent="0.2">
      <c r="A138" s="664"/>
      <c r="B138" s="279" t="s">
        <v>1045</v>
      </c>
      <c r="C138" s="18"/>
      <c r="D138" s="282"/>
      <c r="J138" s="575"/>
      <c r="K138" s="638"/>
      <c r="L138" s="614"/>
      <c r="M138" s="614"/>
      <c r="N138" s="614"/>
      <c r="O138" s="614"/>
    </row>
    <row r="139" spans="1:15" s="281" customFormat="1" ht="41.25" hidden="1" customHeight="1" x14ac:dyDescent="0.2">
      <c r="A139" s="664"/>
      <c r="B139" s="279" t="s">
        <v>1044</v>
      </c>
      <c r="C139" s="18"/>
      <c r="D139" s="282"/>
      <c r="J139" s="575"/>
      <c r="K139" s="638"/>
      <c r="L139" s="614"/>
      <c r="M139" s="614"/>
      <c r="N139" s="614"/>
      <c r="O139" s="614"/>
    </row>
    <row r="140" spans="1:15" s="281" customFormat="1" ht="41.25" hidden="1" customHeight="1" x14ac:dyDescent="0.2">
      <c r="A140" s="664"/>
      <c r="B140" s="279" t="s">
        <v>1058</v>
      </c>
      <c r="C140" s="18"/>
      <c r="D140" s="282"/>
      <c r="J140" s="575"/>
      <c r="K140" s="638"/>
      <c r="L140" s="614"/>
      <c r="M140" s="614"/>
      <c r="N140" s="614"/>
      <c r="O140" s="614"/>
    </row>
    <row r="141" spans="1:15" s="309" customFormat="1" ht="77.45" hidden="1" customHeight="1" x14ac:dyDescent="0.2">
      <c r="A141" s="664"/>
      <c r="B141" s="279" t="s">
        <v>1147</v>
      </c>
      <c r="C141" s="18">
        <f>200-200</f>
        <v>0</v>
      </c>
      <c r="D141" s="282"/>
      <c r="J141" s="576"/>
      <c r="K141" s="638"/>
      <c r="L141" s="614"/>
      <c r="M141" s="614"/>
      <c r="N141" s="614"/>
      <c r="O141" s="614"/>
    </row>
    <row r="142" spans="1:15" s="309" customFormat="1" ht="45.75" hidden="1" customHeight="1" x14ac:dyDescent="0.2">
      <c r="A142" s="664"/>
      <c r="B142" s="279" t="s">
        <v>1075</v>
      </c>
      <c r="C142" s="18"/>
      <c r="D142" s="282"/>
      <c r="J142" s="576"/>
      <c r="K142" s="638"/>
      <c r="L142" s="614"/>
      <c r="M142" s="614"/>
      <c r="N142" s="614"/>
      <c r="O142" s="614"/>
    </row>
    <row r="143" spans="1:15" s="309" customFormat="1" ht="34.5" customHeight="1" x14ac:dyDescent="0.2">
      <c r="A143" s="664"/>
      <c r="B143" s="279" t="s">
        <v>1081</v>
      </c>
      <c r="C143" s="18">
        <f>4173.5-4173.5+4539.35</f>
        <v>4539.3500000000004</v>
      </c>
      <c r="D143" s="282"/>
      <c r="J143" s="576"/>
      <c r="K143" s="638"/>
      <c r="L143" s="614"/>
      <c r="M143" s="614"/>
      <c r="N143" s="614"/>
      <c r="O143" s="614"/>
    </row>
    <row r="144" spans="1:15" s="309" customFormat="1" ht="85.5" hidden="1" customHeight="1" x14ac:dyDescent="0.2">
      <c r="A144" s="664"/>
      <c r="B144" s="279" t="s">
        <v>1087</v>
      </c>
      <c r="C144" s="18"/>
      <c r="D144" s="282"/>
      <c r="J144" s="576"/>
      <c r="K144" s="638"/>
      <c r="L144" s="614"/>
      <c r="M144" s="614"/>
      <c r="N144" s="614"/>
      <c r="O144" s="614"/>
    </row>
    <row r="145" spans="1:15" s="309" customFormat="1" ht="15.75" hidden="1" customHeight="1" x14ac:dyDescent="0.2">
      <c r="A145" s="664"/>
      <c r="B145" s="279"/>
      <c r="C145" s="18"/>
      <c r="D145" s="282"/>
      <c r="J145" s="576"/>
      <c r="K145" s="638"/>
      <c r="L145" s="614"/>
      <c r="M145" s="614"/>
      <c r="N145" s="614"/>
      <c r="O145" s="614"/>
    </row>
    <row r="146" spans="1:15" s="309" customFormat="1" ht="38.25" hidden="1" customHeight="1" x14ac:dyDescent="0.2">
      <c r="A146" s="664"/>
      <c r="B146" s="279" t="s">
        <v>1294</v>
      </c>
      <c r="C146" s="18">
        <f>286-286</f>
        <v>0</v>
      </c>
      <c r="D146" s="282"/>
      <c r="J146" s="576"/>
      <c r="K146" s="638"/>
      <c r="L146" s="614"/>
      <c r="M146" s="614"/>
      <c r="N146" s="614"/>
      <c r="O146" s="614"/>
    </row>
    <row r="147" spans="1:15" s="309" customFormat="1" ht="38.25" customHeight="1" x14ac:dyDescent="0.2">
      <c r="A147" s="664"/>
      <c r="B147" s="279" t="s">
        <v>1319</v>
      </c>
      <c r="C147" s="18">
        <v>1352.46236</v>
      </c>
      <c r="D147" s="282"/>
      <c r="J147" s="576"/>
      <c r="K147" s="638"/>
      <c r="L147" s="614"/>
      <c r="M147" s="614"/>
      <c r="N147" s="614"/>
      <c r="O147" s="614"/>
    </row>
    <row r="148" spans="1:15" s="309" customFormat="1" ht="38.25" customHeight="1" x14ac:dyDescent="0.2">
      <c r="A148" s="664"/>
      <c r="B148" s="279" t="s">
        <v>1320</v>
      </c>
      <c r="C148" s="18">
        <v>22696.000100000001</v>
      </c>
      <c r="D148" s="282"/>
      <c r="J148" s="576"/>
      <c r="K148" s="638"/>
      <c r="L148" s="614"/>
      <c r="M148" s="614"/>
      <c r="N148" s="614"/>
      <c r="O148" s="614"/>
    </row>
    <row r="149" spans="1:15" s="309" customFormat="1" ht="38.25" customHeight="1" x14ac:dyDescent="0.2">
      <c r="A149" s="665"/>
      <c r="B149" s="279" t="s">
        <v>1058</v>
      </c>
      <c r="C149" s="18">
        <f>3881.4+2247.3</f>
        <v>6128.7000000000007</v>
      </c>
      <c r="D149" s="282"/>
      <c r="J149" s="576"/>
      <c r="K149" s="638"/>
      <c r="L149" s="614"/>
      <c r="M149" s="614"/>
      <c r="N149" s="614"/>
      <c r="O149" s="614"/>
    </row>
    <row r="150" spans="1:15" s="309" customFormat="1" ht="52.5" customHeight="1" x14ac:dyDescent="0.2">
      <c r="A150" s="632"/>
      <c r="B150" s="279" t="s">
        <v>1337</v>
      </c>
      <c r="C150" s="18">
        <v>422.6</v>
      </c>
      <c r="D150" s="282"/>
      <c r="J150" s="576"/>
      <c r="K150" s="638"/>
      <c r="L150" s="614"/>
      <c r="M150" s="614"/>
      <c r="N150" s="614"/>
      <c r="O150" s="614"/>
    </row>
    <row r="151" spans="1:15" s="309" customFormat="1" ht="38.25" customHeight="1" x14ac:dyDescent="0.2">
      <c r="A151" s="632"/>
      <c r="B151" s="279" t="s">
        <v>1343</v>
      </c>
      <c r="C151" s="18">
        <v>360</v>
      </c>
      <c r="D151" s="282"/>
      <c r="J151" s="576"/>
      <c r="K151" s="638"/>
      <c r="L151" s="614"/>
      <c r="M151" s="614"/>
      <c r="N151" s="614"/>
      <c r="O151" s="614"/>
    </row>
    <row r="152" spans="1:15" ht="15.75" x14ac:dyDescent="0.25">
      <c r="A152" s="84" t="s">
        <v>385</v>
      </c>
      <c r="B152" s="93" t="s">
        <v>99</v>
      </c>
      <c r="C152" s="294">
        <f>C181+C153+C175+C177</f>
        <v>228878.96299999999</v>
      </c>
      <c r="D152" s="190"/>
      <c r="F152" s="71"/>
      <c r="H152" s="76">
        <v>242488.3</v>
      </c>
      <c r="I152" s="71">
        <f>H152-C152</f>
        <v>13609.337</v>
      </c>
    </row>
    <row r="153" spans="1:15" ht="31.5" x14ac:dyDescent="0.25">
      <c r="A153" s="84" t="s">
        <v>384</v>
      </c>
      <c r="B153" s="93" t="s">
        <v>100</v>
      </c>
      <c r="C153" s="294">
        <f>C154+C179</f>
        <v>228207.96299999999</v>
      </c>
      <c r="D153" s="190"/>
    </row>
    <row r="154" spans="1:15" ht="31.5" x14ac:dyDescent="0.25">
      <c r="A154" s="126" t="s">
        <v>383</v>
      </c>
      <c r="B154" s="86" t="s">
        <v>101</v>
      </c>
      <c r="C154" s="295">
        <f>SUM(C156+C157+C158+C159+C160+C161+C162+C165+C166+C167+C168+C170+C169+C171+C155)</f>
        <v>20483.8</v>
      </c>
      <c r="D154" s="190"/>
    </row>
    <row r="155" spans="1:15" ht="47.25" hidden="1" x14ac:dyDescent="0.25">
      <c r="A155" s="663"/>
      <c r="B155" s="96" t="s">
        <v>1114</v>
      </c>
      <c r="C155" s="295"/>
      <c r="D155" s="190"/>
    </row>
    <row r="156" spans="1:15" ht="97.5" hidden="1" customHeight="1" x14ac:dyDescent="0.25">
      <c r="A156" s="664"/>
      <c r="B156" s="265" t="s">
        <v>1163</v>
      </c>
      <c r="C156" s="9"/>
      <c r="D156" s="213"/>
    </row>
    <row r="157" spans="1:15" ht="81" hidden="1" customHeight="1" x14ac:dyDescent="0.25">
      <c r="A157" s="664"/>
      <c r="B157" s="86" t="s">
        <v>1004</v>
      </c>
      <c r="C157" s="9"/>
      <c r="D157" s="213"/>
    </row>
    <row r="158" spans="1:15" ht="99" hidden="1" customHeight="1" x14ac:dyDescent="0.25">
      <c r="A158" s="664"/>
      <c r="B158" s="86" t="s">
        <v>1001</v>
      </c>
      <c r="C158" s="9"/>
      <c r="D158" s="213"/>
      <c r="E158" s="149"/>
    </row>
    <row r="159" spans="1:15" ht="97.5" hidden="1" customHeight="1" x14ac:dyDescent="0.25">
      <c r="A159" s="664"/>
      <c r="B159" s="86" t="s">
        <v>1002</v>
      </c>
      <c r="C159" s="9"/>
      <c r="D159" s="213"/>
      <c r="E159" s="149"/>
    </row>
    <row r="160" spans="1:15" ht="97.5" hidden="1" customHeight="1" x14ac:dyDescent="0.25">
      <c r="A160" s="664"/>
      <c r="B160" s="86" t="s">
        <v>1003</v>
      </c>
      <c r="C160" s="9"/>
      <c r="D160" s="213"/>
      <c r="E160" s="149"/>
    </row>
    <row r="161" spans="1:11" ht="135.75" customHeight="1" x14ac:dyDescent="0.25">
      <c r="A161" s="664"/>
      <c r="B161" s="86" t="s">
        <v>1098</v>
      </c>
      <c r="C161" s="9">
        <v>315.8</v>
      </c>
      <c r="D161" s="213">
        <f>'Пр.4 ведом.22'!G236</f>
        <v>315.8</v>
      </c>
      <c r="E161" s="149">
        <f>C161-D161</f>
        <v>0</v>
      </c>
    </row>
    <row r="162" spans="1:11" ht="51" customHeight="1" x14ac:dyDescent="0.25">
      <c r="A162" s="664"/>
      <c r="B162" s="86" t="s">
        <v>1177</v>
      </c>
      <c r="C162" s="9">
        <f>SUM(C163:C164)</f>
        <v>3551.5</v>
      </c>
      <c r="D162" s="212">
        <f>'Пр.4 ведом.22'!G262</f>
        <v>3551.5</v>
      </c>
    </row>
    <row r="163" spans="1:11" ht="78.75" x14ac:dyDescent="0.25">
      <c r="A163" s="664"/>
      <c r="B163" s="269" t="s">
        <v>1005</v>
      </c>
      <c r="C163" s="275">
        <v>3156.9</v>
      </c>
      <c r="D163" s="190"/>
    </row>
    <row r="164" spans="1:11" ht="126" x14ac:dyDescent="0.25">
      <c r="A164" s="664"/>
      <c r="B164" s="269" t="s">
        <v>1006</v>
      </c>
      <c r="C164" s="275">
        <v>394.6</v>
      </c>
      <c r="D164" s="190"/>
    </row>
    <row r="165" spans="1:11" ht="129.75" customHeight="1" x14ac:dyDescent="0.25">
      <c r="A165" s="664"/>
      <c r="B165" s="86" t="s">
        <v>1162</v>
      </c>
      <c r="C165" s="9">
        <f>384.5+16.1+53.3</f>
        <v>453.90000000000003</v>
      </c>
      <c r="D165" s="213">
        <f>'Пр.4 ведом.22'!G458</f>
        <v>453.90000000000003</v>
      </c>
    </row>
    <row r="166" spans="1:11" ht="96.75" customHeight="1" x14ac:dyDescent="0.25">
      <c r="A166" s="664"/>
      <c r="B166" s="86" t="s">
        <v>1161</v>
      </c>
      <c r="C166" s="9">
        <f>909.3-188.2</f>
        <v>721.09999999999991</v>
      </c>
      <c r="D166" s="213">
        <f>'Пр.4 ведом.22'!G766</f>
        <v>721.09999999999991</v>
      </c>
    </row>
    <row r="167" spans="1:11" ht="47.25" x14ac:dyDescent="0.25">
      <c r="A167" s="664"/>
      <c r="B167" s="86" t="s">
        <v>1099</v>
      </c>
      <c r="C167" s="9">
        <v>1420.8</v>
      </c>
      <c r="D167" s="213">
        <f>'Пр.4 ведом.22'!G81</f>
        <v>1420.8</v>
      </c>
      <c r="E167" s="149">
        <f>C167-D167</f>
        <v>0</v>
      </c>
      <c r="J167" s="577"/>
      <c r="K167" s="639"/>
    </row>
    <row r="168" spans="1:11" ht="149.25" customHeight="1" x14ac:dyDescent="0.25">
      <c r="A168" s="664"/>
      <c r="B168" s="20" t="s">
        <v>1159</v>
      </c>
      <c r="C168" s="9">
        <v>16.600000000000001</v>
      </c>
      <c r="D168" s="185">
        <f>'Пр.4 ведом.22'!G630</f>
        <v>0</v>
      </c>
      <c r="E168" s="125"/>
      <c r="F168" s="125"/>
      <c r="G168" s="125"/>
      <c r="H168" s="125"/>
      <c r="I168" s="125"/>
    </row>
    <row r="169" spans="1:11" ht="144" hidden="1" customHeight="1" x14ac:dyDescent="0.25">
      <c r="A169" s="664"/>
      <c r="B169" s="30" t="s">
        <v>1160</v>
      </c>
      <c r="C169" s="9">
        <f>1975.4-1975.4</f>
        <v>0</v>
      </c>
      <c r="D169" s="202">
        <f>'Пр.4 ведом.22'!G668</f>
        <v>0</v>
      </c>
      <c r="E169" s="125"/>
      <c r="F169" s="125"/>
      <c r="G169" s="125"/>
      <c r="H169" s="125"/>
      <c r="I169" s="125"/>
    </row>
    <row r="170" spans="1:11" ht="47.25" x14ac:dyDescent="0.25">
      <c r="A170" s="664"/>
      <c r="B170" s="86" t="s">
        <v>934</v>
      </c>
      <c r="C170" s="9">
        <f>2145.8+112.9</f>
        <v>2258.7000000000003</v>
      </c>
      <c r="D170" s="185">
        <f>'Пр.4 ведом.22'!G1240</f>
        <v>2258.7000000000003</v>
      </c>
      <c r="E170" s="125"/>
      <c r="F170" s="125"/>
      <c r="G170" s="125"/>
      <c r="H170" s="125"/>
      <c r="I170" s="125"/>
    </row>
    <row r="171" spans="1:11" ht="63" x14ac:dyDescent="0.25">
      <c r="A171" s="664"/>
      <c r="B171" s="98" t="s">
        <v>1100</v>
      </c>
      <c r="C171" s="276">
        <f>SUM(C172:C174)</f>
        <v>11745.4</v>
      </c>
      <c r="D171" s="185"/>
      <c r="E171" s="125"/>
      <c r="F171" s="125"/>
      <c r="G171" s="125"/>
      <c r="H171" s="125"/>
      <c r="I171" s="125"/>
    </row>
    <row r="172" spans="1:11" ht="47.25" customHeight="1" x14ac:dyDescent="0.25">
      <c r="A172" s="664"/>
      <c r="B172" s="203" t="s">
        <v>935</v>
      </c>
      <c r="C172" s="277">
        <f>9911-470-680</f>
        <v>8761</v>
      </c>
      <c r="D172" s="185">
        <f>'Пр.4 ведом.22'!G362+'Пр.4 ведом.22'!G697+'Пр.4 ведом.22'!G765+'Пр.4 ведом.22'!G857</f>
        <v>8761</v>
      </c>
      <c r="E172" s="125">
        <f>C172-D172</f>
        <v>0</v>
      </c>
      <c r="F172" s="125"/>
      <c r="G172" s="125"/>
      <c r="H172" s="125"/>
      <c r="I172" s="125"/>
    </row>
    <row r="173" spans="1:11" ht="54" customHeight="1" x14ac:dyDescent="0.25">
      <c r="A173" s="664"/>
      <c r="B173" s="203" t="s">
        <v>936</v>
      </c>
      <c r="C173" s="277">
        <v>2100.5</v>
      </c>
      <c r="D173" s="185">
        <f>'Пр.4 ведом.22'!G453</f>
        <v>1204.3</v>
      </c>
      <c r="E173" s="125"/>
      <c r="F173" s="125"/>
      <c r="G173" s="125"/>
      <c r="H173" s="125"/>
      <c r="I173" s="125"/>
    </row>
    <row r="174" spans="1:11" ht="52.5" customHeight="1" x14ac:dyDescent="0.25">
      <c r="A174" s="665"/>
      <c r="B174" s="203" t="s">
        <v>937</v>
      </c>
      <c r="C174" s="277">
        <v>883.9</v>
      </c>
      <c r="D174" s="185">
        <f>'Пр.4 ведом.22'!G975</f>
        <v>883.9</v>
      </c>
      <c r="E174" s="125"/>
      <c r="F174" s="125"/>
      <c r="G174" s="125"/>
      <c r="H174" s="125"/>
      <c r="I174" s="125"/>
    </row>
    <row r="175" spans="1:11" ht="55.15" hidden="1" customHeight="1" x14ac:dyDescent="0.25">
      <c r="A175" s="84" t="s">
        <v>712</v>
      </c>
      <c r="B175" s="34" t="s">
        <v>714</v>
      </c>
      <c r="C175" s="35">
        <f>C176</f>
        <v>0</v>
      </c>
      <c r="D175" s="185">
        <f>'Пр.4 ведом.22'!G73</f>
        <v>0</v>
      </c>
      <c r="E175" s="125"/>
      <c r="F175" s="125"/>
      <c r="G175" s="125"/>
      <c r="H175" s="125"/>
      <c r="I175" s="125"/>
    </row>
    <row r="176" spans="1:11" ht="54" hidden="1" customHeight="1" x14ac:dyDescent="0.25">
      <c r="A176" s="126" t="s">
        <v>713</v>
      </c>
      <c r="B176" s="29" t="s">
        <v>714</v>
      </c>
      <c r="C176" s="9">
        <v>0</v>
      </c>
      <c r="D176" s="185">
        <f>'Пр.4 ведом.22'!G75</f>
        <v>0</v>
      </c>
      <c r="E176" s="125"/>
      <c r="F176" s="125"/>
      <c r="G176" s="125"/>
      <c r="H176" s="125"/>
      <c r="I176" s="125"/>
    </row>
    <row r="177" spans="1:15" ht="31.5" hidden="1" x14ac:dyDescent="0.25">
      <c r="A177" s="84" t="s">
        <v>960</v>
      </c>
      <c r="B177" s="34" t="s">
        <v>961</v>
      </c>
      <c r="C177" s="35">
        <f>C178</f>
        <v>0</v>
      </c>
      <c r="D177" s="185"/>
      <c r="E177" s="125"/>
      <c r="F177" s="125"/>
      <c r="G177" s="125"/>
      <c r="H177" s="125"/>
      <c r="I177" s="125"/>
    </row>
    <row r="178" spans="1:15" ht="31.5" hidden="1" x14ac:dyDescent="0.25">
      <c r="A178" s="126" t="s">
        <v>962</v>
      </c>
      <c r="B178" s="29" t="s">
        <v>963</v>
      </c>
      <c r="C178" s="9"/>
      <c r="D178" s="185" t="e">
        <f>'Пр.4 ведом.22'!#REF!</f>
        <v>#REF!</v>
      </c>
      <c r="E178" s="125"/>
      <c r="F178" s="125"/>
      <c r="G178" s="125"/>
      <c r="H178" s="125"/>
      <c r="I178" s="125"/>
    </row>
    <row r="179" spans="1:15" s="116" customFormat="1" ht="31.5" customHeight="1" x14ac:dyDescent="0.25">
      <c r="A179" s="84" t="s">
        <v>1296</v>
      </c>
      <c r="B179" s="601" t="s">
        <v>1297</v>
      </c>
      <c r="C179" s="35">
        <f>C180</f>
        <v>207724.163</v>
      </c>
      <c r="D179" s="602"/>
      <c r="E179" s="122"/>
      <c r="F179" s="122"/>
      <c r="G179" s="122"/>
      <c r="H179" s="122"/>
      <c r="I179" s="122"/>
      <c r="J179" s="571"/>
      <c r="K179" s="635"/>
      <c r="L179" s="608"/>
      <c r="M179" s="608"/>
      <c r="N179" s="608"/>
      <c r="O179" s="608"/>
    </row>
    <row r="180" spans="1:15" ht="33" customHeight="1" x14ac:dyDescent="0.25">
      <c r="A180" s="126" t="s">
        <v>1295</v>
      </c>
      <c r="B180" s="96" t="s">
        <v>1298</v>
      </c>
      <c r="C180" s="295">
        <f>204232.9-0.08+3491.343</f>
        <v>207724.163</v>
      </c>
      <c r="D180" s="185"/>
      <c r="E180" s="125"/>
      <c r="F180" s="125"/>
      <c r="G180" s="125"/>
      <c r="H180" s="125"/>
      <c r="I180" s="125"/>
    </row>
    <row r="181" spans="1:15" ht="31.5" x14ac:dyDescent="0.25">
      <c r="A181" s="84" t="s">
        <v>382</v>
      </c>
      <c r="B181" s="93" t="s">
        <v>102</v>
      </c>
      <c r="C181" s="294">
        <f t="shared" ref="C181" si="0">C182</f>
        <v>671</v>
      </c>
      <c r="D181" s="190"/>
    </row>
    <row r="182" spans="1:15" ht="31.5" x14ac:dyDescent="0.25">
      <c r="A182" s="126" t="s">
        <v>381</v>
      </c>
      <c r="B182" s="86" t="s">
        <v>103</v>
      </c>
      <c r="C182" s="294">
        <v>671</v>
      </c>
      <c r="D182" s="215">
        <f>'Пр.4 ведом.22'!G76</f>
        <v>671</v>
      </c>
    </row>
    <row r="183" spans="1:15" ht="15.75" x14ac:dyDescent="0.25">
      <c r="A183" s="84" t="s">
        <v>380</v>
      </c>
      <c r="B183" s="93" t="s">
        <v>104</v>
      </c>
      <c r="C183" s="294">
        <f>C190+C186+C184+C188</f>
        <v>14121.099999999999</v>
      </c>
      <c r="D183" s="190"/>
    </row>
    <row r="184" spans="1:15" ht="52.5" hidden="1" customHeight="1" x14ac:dyDescent="0.25">
      <c r="A184" s="84" t="s">
        <v>1030</v>
      </c>
      <c r="B184" s="290" t="s">
        <v>1031</v>
      </c>
      <c r="C184" s="294">
        <f>C185</f>
        <v>0</v>
      </c>
      <c r="D184" s="190"/>
    </row>
    <row r="185" spans="1:15" ht="51.75" hidden="1" customHeight="1" x14ac:dyDescent="0.25">
      <c r="A185" s="126" t="s">
        <v>1032</v>
      </c>
      <c r="B185" s="96" t="s">
        <v>1033</v>
      </c>
      <c r="C185" s="295"/>
      <c r="D185" s="190"/>
    </row>
    <row r="186" spans="1:15" ht="48.2" customHeight="1" x14ac:dyDescent="0.25">
      <c r="A186" s="184" t="s">
        <v>883</v>
      </c>
      <c r="B186" s="197" t="s">
        <v>881</v>
      </c>
      <c r="C186" s="294">
        <f>C187</f>
        <v>7062.0999999999995</v>
      </c>
      <c r="D186" s="190"/>
    </row>
    <row r="187" spans="1:15" ht="46.9" customHeight="1" x14ac:dyDescent="0.25">
      <c r="A187" s="172" t="s">
        <v>1048</v>
      </c>
      <c r="B187" s="98" t="s">
        <v>882</v>
      </c>
      <c r="C187" s="295">
        <f>7421.4-359.3</f>
        <v>7062.0999999999995</v>
      </c>
      <c r="D187" s="212">
        <f>'Пр.4 ведом.22'!G762</f>
        <v>7062.0999999999995</v>
      </c>
    </row>
    <row r="188" spans="1:15" s="116" customFormat="1" ht="66" customHeight="1" x14ac:dyDescent="0.25">
      <c r="A188" s="599" t="s">
        <v>1291</v>
      </c>
      <c r="B188" s="290" t="s">
        <v>1289</v>
      </c>
      <c r="C188" s="600">
        <f>C189</f>
        <v>7059</v>
      </c>
      <c r="D188" s="215"/>
      <c r="J188" s="571"/>
      <c r="K188" s="635"/>
      <c r="L188" s="608"/>
      <c r="M188" s="608"/>
      <c r="N188" s="608"/>
      <c r="O188" s="608"/>
    </row>
    <row r="189" spans="1:15" ht="62.25" customHeight="1" x14ac:dyDescent="0.25">
      <c r="A189" s="172" t="s">
        <v>1292</v>
      </c>
      <c r="B189" s="96" t="s">
        <v>1290</v>
      </c>
      <c r="C189" s="623">
        <v>7059</v>
      </c>
      <c r="D189" s="212"/>
    </row>
    <row r="190" spans="1:15" ht="15.75" hidden="1" x14ac:dyDescent="0.25">
      <c r="A190" s="84" t="s">
        <v>379</v>
      </c>
      <c r="B190" s="93" t="s">
        <v>105</v>
      </c>
      <c r="C190" s="294">
        <f>C191</f>
        <v>0</v>
      </c>
      <c r="D190" s="130"/>
    </row>
    <row r="191" spans="1:15" ht="31.5" hidden="1" x14ac:dyDescent="0.25">
      <c r="A191" s="126" t="s">
        <v>391</v>
      </c>
      <c r="B191" s="86" t="s">
        <v>675</v>
      </c>
      <c r="C191" s="277">
        <f>SUM(C192:C194)</f>
        <v>0</v>
      </c>
      <c r="D191" s="130"/>
    </row>
    <row r="192" spans="1:15" ht="15.75" hidden="1" x14ac:dyDescent="0.25">
      <c r="A192" s="660"/>
      <c r="B192" s="98"/>
      <c r="C192" s="277"/>
      <c r="D192" s="169">
        <f>'Пр.4 ведом.22'!G362+'Пр.4 ведом.22'!G697+'Пр.4 ведом.22'!G765+'Пр.4 ведом.22'!G857</f>
        <v>8761</v>
      </c>
      <c r="E192" s="170">
        <f>C192-D192</f>
        <v>-8761</v>
      </c>
    </row>
    <row r="193" spans="1:15" ht="112.7" hidden="1" customHeight="1" x14ac:dyDescent="0.25">
      <c r="A193" s="661"/>
      <c r="B193" s="98"/>
      <c r="C193" s="277"/>
      <c r="D193" s="169" t="e">
        <f>'Пр.4 ведом.22'!#REF!+'Пр.4 ведом.22'!G453</f>
        <v>#REF!</v>
      </c>
      <c r="E193" s="170" t="e">
        <f t="shared" ref="E193:E194" si="1">C193-D193</f>
        <v>#REF!</v>
      </c>
    </row>
    <row r="194" spans="1:15" ht="15.75" hidden="1" x14ac:dyDescent="0.25">
      <c r="A194" s="662"/>
      <c r="B194" s="98"/>
      <c r="C194" s="277"/>
      <c r="D194" s="169">
        <f>'Пр.4 ведом.22'!G975</f>
        <v>883.9</v>
      </c>
      <c r="E194" s="170">
        <f t="shared" si="1"/>
        <v>-883.9</v>
      </c>
    </row>
    <row r="195" spans="1:15" ht="15.75" hidden="1" x14ac:dyDescent="0.25">
      <c r="A195" s="630"/>
      <c r="B195" s="98"/>
      <c r="C195" s="277"/>
      <c r="D195" s="169"/>
      <c r="E195" s="170"/>
    </row>
    <row r="196" spans="1:15" ht="15.75" hidden="1" x14ac:dyDescent="0.25">
      <c r="A196" s="630"/>
      <c r="B196" s="98"/>
      <c r="C196" s="277"/>
      <c r="D196" s="169"/>
      <c r="E196" s="170"/>
    </row>
    <row r="197" spans="1:15" ht="31.5" x14ac:dyDescent="0.25">
      <c r="A197" s="271" t="s">
        <v>1014</v>
      </c>
      <c r="B197" s="197" t="s">
        <v>1019</v>
      </c>
      <c r="C197" s="278">
        <f>C198</f>
        <v>15934.3</v>
      </c>
      <c r="D197" s="169"/>
      <c r="E197" s="170"/>
    </row>
    <row r="198" spans="1:15" s="116" customFormat="1" ht="31.5" x14ac:dyDescent="0.25">
      <c r="A198" s="630" t="s">
        <v>1018</v>
      </c>
      <c r="B198" s="197" t="s">
        <v>1020</v>
      </c>
      <c r="C198" s="278">
        <f>C199</f>
        <v>15934.3</v>
      </c>
      <c r="D198" s="283"/>
      <c r="E198" s="284"/>
      <c r="J198" s="571"/>
      <c r="K198" s="635"/>
      <c r="L198" s="608"/>
      <c r="M198" s="608"/>
      <c r="N198" s="608"/>
      <c r="O198" s="608"/>
    </row>
    <row r="199" spans="1:15" ht="36" customHeight="1" x14ac:dyDescent="0.25">
      <c r="A199" s="632" t="s">
        <v>1012</v>
      </c>
      <c r="B199" s="98" t="s">
        <v>1013</v>
      </c>
      <c r="C199" s="277">
        <v>15934.3</v>
      </c>
      <c r="D199" s="169"/>
      <c r="E199" s="170"/>
    </row>
    <row r="200" spans="1:15" ht="15.75" hidden="1" x14ac:dyDescent="0.25">
      <c r="A200" s="630"/>
      <c r="B200" s="98"/>
      <c r="C200" s="277"/>
      <c r="D200" s="169"/>
      <c r="E200" s="170"/>
    </row>
    <row r="201" spans="1:15" ht="15.75" hidden="1" x14ac:dyDescent="0.25">
      <c r="A201" s="630"/>
      <c r="B201" s="98"/>
      <c r="C201" s="277"/>
      <c r="D201" s="169"/>
      <c r="E201" s="170"/>
    </row>
    <row r="202" spans="1:15" ht="15.75" hidden="1" x14ac:dyDescent="0.25">
      <c r="A202" s="630"/>
      <c r="B202" s="98"/>
      <c r="C202" s="277"/>
      <c r="D202" s="169"/>
      <c r="E202" s="170"/>
    </row>
    <row r="203" spans="1:15" ht="15.75" hidden="1" x14ac:dyDescent="0.25">
      <c r="A203" s="630"/>
      <c r="B203" s="98"/>
      <c r="C203" s="277"/>
      <c r="D203" s="169"/>
      <c r="E203" s="170"/>
    </row>
    <row r="204" spans="1:15" ht="15.75" hidden="1" x14ac:dyDescent="0.25">
      <c r="A204" s="630"/>
      <c r="B204" s="98"/>
      <c r="C204" s="277"/>
      <c r="D204" s="169"/>
      <c r="E204" s="170"/>
    </row>
    <row r="205" spans="1:15" ht="15.75" hidden="1" x14ac:dyDescent="0.25">
      <c r="A205" s="296" t="s">
        <v>359</v>
      </c>
      <c r="B205" s="112" t="s">
        <v>360</v>
      </c>
      <c r="C205" s="278">
        <f>SUM(C206)</f>
        <v>0</v>
      </c>
    </row>
    <row r="206" spans="1:15" ht="15.75" hidden="1" x14ac:dyDescent="0.25">
      <c r="A206" s="296" t="s">
        <v>361</v>
      </c>
      <c r="B206" s="112" t="s">
        <v>362</v>
      </c>
      <c r="C206" s="278">
        <f>SUM(C207)</f>
        <v>0</v>
      </c>
    </row>
    <row r="207" spans="1:15" ht="15.75" hidden="1" x14ac:dyDescent="0.25">
      <c r="A207" s="657" t="s">
        <v>409</v>
      </c>
      <c r="B207" s="115" t="s">
        <v>362</v>
      </c>
      <c r="C207" s="278">
        <f>SUM(C209:C210)</f>
        <v>0</v>
      </c>
    </row>
    <row r="208" spans="1:15" ht="15.75" hidden="1" x14ac:dyDescent="0.25">
      <c r="A208" s="658"/>
      <c r="B208" s="115" t="s">
        <v>98</v>
      </c>
      <c r="C208" s="278"/>
    </row>
    <row r="209" spans="1:12" ht="22.7" hidden="1" customHeight="1" x14ac:dyDescent="0.25">
      <c r="A209" s="658"/>
      <c r="B209" s="113"/>
      <c r="C209" s="277">
        <v>0</v>
      </c>
    </row>
    <row r="210" spans="1:12" ht="15.75" hidden="1" x14ac:dyDescent="0.25">
      <c r="A210" s="658"/>
      <c r="B210" s="113"/>
      <c r="C210" s="277">
        <v>0</v>
      </c>
    </row>
    <row r="211" spans="1:12" ht="15.75" x14ac:dyDescent="0.25">
      <c r="A211" s="126"/>
      <c r="B211" s="110" t="s">
        <v>106</v>
      </c>
      <c r="C211" s="294">
        <f>SUM(C9+C79)</f>
        <v>949764.82790999999</v>
      </c>
      <c r="D211" s="95"/>
      <c r="G211" s="118"/>
      <c r="H211" s="71"/>
      <c r="L211" s="613"/>
    </row>
    <row r="212" spans="1:12" x14ac:dyDescent="0.25">
      <c r="B212" s="652"/>
      <c r="C212" s="653">
        <f>C9+C83+C85</f>
        <v>600649.9473</v>
      </c>
    </row>
    <row r="213" spans="1:12" ht="21.2" customHeight="1" x14ac:dyDescent="0.25">
      <c r="B213" s="654" t="s">
        <v>1362</v>
      </c>
      <c r="C213" s="653">
        <f>C79-C83-C85</f>
        <v>349114.88060999999</v>
      </c>
      <c r="I213" s="149"/>
    </row>
  </sheetData>
  <mergeCells count="9">
    <mergeCell ref="B1:C1"/>
    <mergeCell ref="B2:C2"/>
    <mergeCell ref="B3:C3"/>
    <mergeCell ref="A207:A210"/>
    <mergeCell ref="A5:C5"/>
    <mergeCell ref="A6:C6"/>
    <mergeCell ref="A192:A194"/>
    <mergeCell ref="A155:A174"/>
    <mergeCell ref="A117:A149"/>
  </mergeCells>
  <hyperlinks>
    <hyperlink ref="B69" r:id="rId1" display="consultantplus://offline/ref=90DD075742B43C415054D7C57EEE35341F87E5BC1D9D1BDE3A747C0D881C15D50B24F795703DF0A84C588B73F9A8AC3C8A6AC02CDB9A5E68c4m2F"/>
    <hyperlink ref="B71" r:id="rId2" display="consultantplus://offline/ref=90DD075742B43C415054D7C57EEE35341F87E5BC1D9D1BDE3A747C0D881C15D50B24F795703DF2AD4E588B73F9A8AC3C8A6AC02CDB9A5E68c4m2F"/>
    <hyperlink ref="B75" r:id="rId3" display="consultantplus://offline/ref=90DD075742B43C415054D7C57EEE35341F87E5BC1D9D1BDE3A747C0D881C15D50B24F795703CF7A64B588B73F9A8AC3C8A6AC02CDB9A5E68c4m2F"/>
    <hyperlink ref="B74" r:id="rId4" display="consultantplus://offline/ref=90DD075742B43C415054D7C57EEE35341F87E5BC1D9D1BDE3A747C0D881C15D50B24F795703CF7A64B588B73F9A8AC3C8A6AC02CDB9A5E68c4m2F"/>
    <hyperlink ref="B68" r:id="rId5" display="consultantplus://offline/ref=90DD075742B43C415054D7C57EEE35341F87E5BC1D9D1BDE3A747C0D881C15D50B24F795703DF0A84C588B73F9A8AC3C8A6AC02CDB9A5E68c4m2F"/>
    <hyperlink ref="B70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8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6"/>
  <sheetViews>
    <sheetView view="pageBreakPreview" topLeftCell="A404" zoomScaleNormal="100" zoomScaleSheetLayoutView="100" workbookViewId="0">
      <selection activeCell="A351" sqref="A351"/>
    </sheetView>
  </sheetViews>
  <sheetFormatPr defaultColWidth="9.140625" defaultRowHeight="15" x14ac:dyDescent="0.25"/>
  <cols>
    <col min="1" max="1" width="56.28515625" style="344" customWidth="1"/>
    <col min="2" max="2" width="17.42578125" style="344" customWidth="1"/>
    <col min="3" max="3" width="8.28515625" style="344" customWidth="1"/>
    <col min="4" max="4" width="7.28515625" style="343" customWidth="1"/>
    <col min="5" max="5" width="8.7109375" style="343" customWidth="1"/>
    <col min="6" max="6" width="9.140625" style="344"/>
    <col min="7" max="7" width="11.42578125" style="71" customWidth="1"/>
    <col min="8" max="8" width="10.28515625" style="71" customWidth="1"/>
    <col min="9" max="9" width="9.140625" style="343" customWidth="1"/>
    <col min="10" max="10" width="10.7109375" style="343" customWidth="1"/>
    <col min="11" max="13" width="9.140625" style="343" customWidth="1"/>
    <col min="14" max="14" width="11.5703125" style="343" customWidth="1"/>
    <col min="15" max="16384" width="9.140625" style="343"/>
  </cols>
  <sheetData>
    <row r="1" spans="1:8" ht="15.75" x14ac:dyDescent="0.25">
      <c r="D1" s="344"/>
      <c r="E1" s="344"/>
      <c r="F1" s="434"/>
      <c r="G1" s="679" t="s">
        <v>1225</v>
      </c>
      <c r="H1" s="679"/>
    </row>
    <row r="2" spans="1:8" ht="15.75" x14ac:dyDescent="0.25">
      <c r="D2" s="344"/>
      <c r="E2" s="344"/>
      <c r="F2" s="434"/>
      <c r="G2" s="679" t="s">
        <v>294</v>
      </c>
      <c r="H2" s="679"/>
    </row>
    <row r="3" spans="1:8" ht="15.75" x14ac:dyDescent="0.25">
      <c r="D3" s="344"/>
      <c r="E3" s="344"/>
      <c r="F3" s="429"/>
      <c r="G3" s="670" t="s">
        <v>1181</v>
      </c>
      <c r="H3" s="670"/>
    </row>
    <row r="4" spans="1:8" ht="15.75" x14ac:dyDescent="0.25">
      <c r="D4" s="344"/>
      <c r="E4" s="344"/>
      <c r="F4" s="38"/>
      <c r="G4" s="386"/>
      <c r="H4" s="386"/>
    </row>
    <row r="5" spans="1:8" ht="38.25" customHeight="1" x14ac:dyDescent="0.25">
      <c r="A5" s="673" t="s">
        <v>1207</v>
      </c>
      <c r="B5" s="673"/>
      <c r="C5" s="673"/>
      <c r="D5" s="673"/>
      <c r="E5" s="673"/>
      <c r="F5" s="673"/>
      <c r="G5" s="673"/>
      <c r="H5" s="344"/>
    </row>
    <row r="6" spans="1:8" ht="16.5" x14ac:dyDescent="0.25">
      <c r="A6" s="390"/>
      <c r="B6" s="390"/>
      <c r="C6" s="390"/>
      <c r="D6" s="390"/>
      <c r="E6" s="390"/>
      <c r="F6" s="390"/>
    </row>
    <row r="7" spans="1:8" ht="15.75" x14ac:dyDescent="0.25">
      <c r="A7" s="38"/>
      <c r="B7" s="38"/>
      <c r="C7" s="38"/>
      <c r="D7" s="38"/>
      <c r="E7" s="40"/>
      <c r="F7" s="40"/>
      <c r="G7" s="179"/>
      <c r="H7" s="179" t="s">
        <v>1</v>
      </c>
    </row>
    <row r="8" spans="1:8" ht="31.5" x14ac:dyDescent="0.25">
      <c r="A8" s="41" t="s">
        <v>295</v>
      </c>
      <c r="B8" s="41" t="s">
        <v>297</v>
      </c>
      <c r="C8" s="41" t="s">
        <v>298</v>
      </c>
      <c r="D8" s="41" t="s">
        <v>299</v>
      </c>
      <c r="E8" s="41" t="s">
        <v>300</v>
      </c>
      <c r="F8" s="41" t="s">
        <v>301</v>
      </c>
      <c r="G8" s="251" t="s">
        <v>808</v>
      </c>
      <c r="H8" s="251" t="s">
        <v>1180</v>
      </c>
    </row>
    <row r="9" spans="1:8" ht="47.25" x14ac:dyDescent="0.25">
      <c r="A9" s="34" t="s">
        <v>889</v>
      </c>
      <c r="B9" s="6" t="s">
        <v>259</v>
      </c>
      <c r="C9" s="6"/>
      <c r="D9" s="6"/>
      <c r="E9" s="6"/>
      <c r="F9" s="6"/>
      <c r="G9" s="294">
        <f>G10+G17</f>
        <v>3193</v>
      </c>
      <c r="H9" s="294">
        <f>H10+H17</f>
        <v>3226.2</v>
      </c>
    </row>
    <row r="10" spans="1:8" ht="31.5" hidden="1" x14ac:dyDescent="0.25">
      <c r="A10" s="24" t="s">
        <v>560</v>
      </c>
      <c r="B10" s="6" t="s">
        <v>521</v>
      </c>
      <c r="C10" s="341"/>
      <c r="D10" s="341"/>
      <c r="E10" s="341"/>
      <c r="F10" s="341"/>
      <c r="G10" s="295">
        <f>G13</f>
        <v>144.30000000000001</v>
      </c>
      <c r="H10" s="295">
        <f>H13</f>
        <v>0</v>
      </c>
    </row>
    <row r="11" spans="1:8" ht="15.75" hidden="1" x14ac:dyDescent="0.25">
      <c r="A11" s="20" t="s">
        <v>166</v>
      </c>
      <c r="B11" s="341" t="s">
        <v>521</v>
      </c>
      <c r="C11" s="341" t="s">
        <v>139</v>
      </c>
      <c r="D11" s="341"/>
      <c r="E11" s="341"/>
      <c r="F11" s="341"/>
      <c r="G11" s="295">
        <f t="shared" ref="G11:H11" si="0">G12</f>
        <v>144.30000000000001</v>
      </c>
      <c r="H11" s="295">
        <f t="shared" si="0"/>
        <v>0</v>
      </c>
    </row>
    <row r="12" spans="1:8" ht="15.75" hidden="1" x14ac:dyDescent="0.25">
      <c r="A12" s="20" t="s">
        <v>258</v>
      </c>
      <c r="B12" s="341" t="s">
        <v>521</v>
      </c>
      <c r="C12" s="341" t="s">
        <v>139</v>
      </c>
      <c r="D12" s="341" t="s">
        <v>161</v>
      </c>
      <c r="E12" s="341"/>
      <c r="F12" s="341"/>
      <c r="G12" s="295">
        <f t="shared" ref="G12:H14" si="1">G13</f>
        <v>144.30000000000001</v>
      </c>
      <c r="H12" s="295">
        <f t="shared" si="1"/>
        <v>0</v>
      </c>
    </row>
    <row r="13" spans="1:8" ht="15.75" hidden="1" x14ac:dyDescent="0.25">
      <c r="A13" s="20" t="s">
        <v>562</v>
      </c>
      <c r="B13" s="341" t="s">
        <v>561</v>
      </c>
      <c r="C13" s="341" t="s">
        <v>139</v>
      </c>
      <c r="D13" s="341" t="s">
        <v>161</v>
      </c>
      <c r="E13" s="341"/>
      <c r="F13" s="341"/>
      <c r="G13" s="295">
        <f t="shared" si="1"/>
        <v>144.30000000000001</v>
      </c>
      <c r="H13" s="295">
        <f t="shared" si="1"/>
        <v>0</v>
      </c>
    </row>
    <row r="14" spans="1:8" ht="31.5" hidden="1" x14ac:dyDescent="0.25">
      <c r="A14" s="345" t="s">
        <v>123</v>
      </c>
      <c r="B14" s="341" t="s">
        <v>561</v>
      </c>
      <c r="C14" s="341" t="s">
        <v>139</v>
      </c>
      <c r="D14" s="341" t="s">
        <v>161</v>
      </c>
      <c r="E14" s="341" t="s">
        <v>124</v>
      </c>
      <c r="F14" s="341"/>
      <c r="G14" s="295">
        <f t="shared" si="1"/>
        <v>144.30000000000001</v>
      </c>
      <c r="H14" s="295">
        <f t="shared" si="1"/>
        <v>0</v>
      </c>
    </row>
    <row r="15" spans="1:8" ht="31.5" hidden="1" x14ac:dyDescent="0.25">
      <c r="A15" s="345" t="s">
        <v>125</v>
      </c>
      <c r="B15" s="341" t="s">
        <v>561</v>
      </c>
      <c r="C15" s="341" t="s">
        <v>139</v>
      </c>
      <c r="D15" s="341" t="s">
        <v>161</v>
      </c>
      <c r="E15" s="341" t="s">
        <v>126</v>
      </c>
      <c r="F15" s="341"/>
      <c r="G15" s="295">
        <f>'Пр.4 ведом.22'!G1097</f>
        <v>144.30000000000001</v>
      </c>
      <c r="H15" s="295">
        <f>'Пр.4 ведом.22'!H1097</f>
        <v>0</v>
      </c>
    </row>
    <row r="16" spans="1:8" ht="40.700000000000003" hidden="1" customHeight="1" x14ac:dyDescent="0.25">
      <c r="A16" s="29" t="s">
        <v>302</v>
      </c>
      <c r="B16" s="341" t="s">
        <v>561</v>
      </c>
      <c r="C16" s="341" t="s">
        <v>139</v>
      </c>
      <c r="D16" s="341" t="s">
        <v>161</v>
      </c>
      <c r="E16" s="341" t="s">
        <v>126</v>
      </c>
      <c r="F16" s="341" t="s">
        <v>303</v>
      </c>
      <c r="G16" s="295">
        <f>G15</f>
        <v>144.30000000000001</v>
      </c>
      <c r="H16" s="295">
        <f>H15</f>
        <v>0</v>
      </c>
    </row>
    <row r="17" spans="1:9" ht="31.5" x14ac:dyDescent="0.25">
      <c r="A17" s="24" t="s">
        <v>616</v>
      </c>
      <c r="B17" s="299" t="s">
        <v>522</v>
      </c>
      <c r="C17" s="341"/>
      <c r="D17" s="341"/>
      <c r="E17" s="341"/>
      <c r="F17" s="341"/>
      <c r="G17" s="294">
        <f t="shared" ref="G17:H19" si="2">G18</f>
        <v>3048.7</v>
      </c>
      <c r="H17" s="294">
        <f t="shared" si="2"/>
        <v>3226.2</v>
      </c>
    </row>
    <row r="18" spans="1:9" ht="15.75" x14ac:dyDescent="0.25">
      <c r="A18" s="20" t="s">
        <v>166</v>
      </c>
      <c r="B18" s="341" t="s">
        <v>522</v>
      </c>
      <c r="C18" s="341" t="s">
        <v>139</v>
      </c>
      <c r="D18" s="341"/>
      <c r="E18" s="341"/>
      <c r="F18" s="341"/>
      <c r="G18" s="295">
        <f t="shared" si="2"/>
        <v>3048.7</v>
      </c>
      <c r="H18" s="295">
        <f t="shared" si="2"/>
        <v>3226.2</v>
      </c>
    </row>
    <row r="19" spans="1:9" ht="15.75" x14ac:dyDescent="0.25">
      <c r="A19" s="20" t="s">
        <v>258</v>
      </c>
      <c r="B19" s="341" t="s">
        <v>522</v>
      </c>
      <c r="C19" s="341" t="s">
        <v>139</v>
      </c>
      <c r="D19" s="341" t="s">
        <v>161</v>
      </c>
      <c r="E19" s="341"/>
      <c r="F19" s="341"/>
      <c r="G19" s="295">
        <f t="shared" si="2"/>
        <v>3048.7</v>
      </c>
      <c r="H19" s="295">
        <f t="shared" si="2"/>
        <v>3226.2</v>
      </c>
    </row>
    <row r="20" spans="1:9" ht="15.75" x14ac:dyDescent="0.25">
      <c r="A20" s="20" t="s">
        <v>260</v>
      </c>
      <c r="B20" s="341" t="s">
        <v>563</v>
      </c>
      <c r="C20" s="341" t="s">
        <v>139</v>
      </c>
      <c r="D20" s="341" t="s">
        <v>161</v>
      </c>
      <c r="E20" s="341"/>
      <c r="F20" s="341"/>
      <c r="G20" s="295">
        <f>G24+G27+G22</f>
        <v>3048.7</v>
      </c>
      <c r="H20" s="295">
        <f>H24+H27+H22</f>
        <v>3226.2</v>
      </c>
    </row>
    <row r="21" spans="1:9" ht="78.75" x14ac:dyDescent="0.25">
      <c r="A21" s="345" t="s">
        <v>119</v>
      </c>
      <c r="B21" s="341" t="s">
        <v>563</v>
      </c>
      <c r="C21" s="341" t="s">
        <v>139</v>
      </c>
      <c r="D21" s="341" t="s">
        <v>161</v>
      </c>
      <c r="E21" s="341" t="s">
        <v>120</v>
      </c>
      <c r="F21" s="341"/>
      <c r="G21" s="295">
        <f>G22</f>
        <v>1907.4</v>
      </c>
      <c r="H21" s="295">
        <f>H22</f>
        <v>2062</v>
      </c>
    </row>
    <row r="22" spans="1:9" ht="15.75" x14ac:dyDescent="0.25">
      <c r="A22" s="345" t="s">
        <v>212</v>
      </c>
      <c r="B22" s="341" t="s">
        <v>563</v>
      </c>
      <c r="C22" s="341" t="s">
        <v>139</v>
      </c>
      <c r="D22" s="341" t="s">
        <v>161</v>
      </c>
      <c r="E22" s="341" t="s">
        <v>156</v>
      </c>
      <c r="F22" s="341"/>
      <c r="G22" s="295">
        <f>'Пр.4.1 ведом.23-24 '!G990</f>
        <v>1907.4</v>
      </c>
      <c r="H22" s="295">
        <f>'Пр.4.1 ведом.23-24 '!H990</f>
        <v>2062</v>
      </c>
    </row>
    <row r="23" spans="1:9" ht="31.5" x14ac:dyDescent="0.25">
      <c r="A23" s="29" t="s">
        <v>302</v>
      </c>
      <c r="B23" s="341" t="s">
        <v>563</v>
      </c>
      <c r="C23" s="341" t="s">
        <v>139</v>
      </c>
      <c r="D23" s="341" t="s">
        <v>161</v>
      </c>
      <c r="E23" s="341" t="s">
        <v>156</v>
      </c>
      <c r="F23" s="341" t="s">
        <v>303</v>
      </c>
      <c r="G23" s="295">
        <f>G22</f>
        <v>1907.4</v>
      </c>
      <c r="H23" s="295">
        <f>H22</f>
        <v>2062</v>
      </c>
    </row>
    <row r="24" spans="1:9" ht="31.5" x14ac:dyDescent="0.25">
      <c r="A24" s="20" t="s">
        <v>123</v>
      </c>
      <c r="B24" s="341" t="s">
        <v>563</v>
      </c>
      <c r="C24" s="341" t="s">
        <v>139</v>
      </c>
      <c r="D24" s="341" t="s">
        <v>161</v>
      </c>
      <c r="E24" s="341" t="s">
        <v>124</v>
      </c>
      <c r="F24" s="341"/>
      <c r="G24" s="295">
        <f t="shared" ref="G24:H24" si="3">G25</f>
        <v>1141.3</v>
      </c>
      <c r="H24" s="295">
        <f t="shared" si="3"/>
        <v>1164.2</v>
      </c>
    </row>
    <row r="25" spans="1:9" ht="31.5" x14ac:dyDescent="0.25">
      <c r="A25" s="20" t="s">
        <v>125</v>
      </c>
      <c r="B25" s="341" t="s">
        <v>563</v>
      </c>
      <c r="C25" s="341" t="s">
        <v>139</v>
      </c>
      <c r="D25" s="341" t="s">
        <v>161</v>
      </c>
      <c r="E25" s="341" t="s">
        <v>126</v>
      </c>
      <c r="F25" s="341"/>
      <c r="G25" s="295">
        <f>'Пр.4.1 ведом.23-24 '!G992</f>
        <v>1141.3</v>
      </c>
      <c r="H25" s="295">
        <f>'Пр.4.1 ведом.23-24 '!H992</f>
        <v>1164.2</v>
      </c>
    </row>
    <row r="26" spans="1:9" ht="31.5" x14ac:dyDescent="0.25">
      <c r="A26" s="29" t="s">
        <v>302</v>
      </c>
      <c r="B26" s="341" t="s">
        <v>563</v>
      </c>
      <c r="C26" s="341" t="s">
        <v>139</v>
      </c>
      <c r="D26" s="341" t="s">
        <v>161</v>
      </c>
      <c r="E26" s="341" t="s">
        <v>126</v>
      </c>
      <c r="F26" s="341" t="s">
        <v>303</v>
      </c>
      <c r="G26" s="295">
        <f>G25</f>
        <v>1141.3</v>
      </c>
      <c r="H26" s="295">
        <f>H25</f>
        <v>1164.2</v>
      </c>
    </row>
    <row r="27" spans="1:9" ht="15.75" hidden="1" x14ac:dyDescent="0.25">
      <c r="A27" s="345" t="s">
        <v>127</v>
      </c>
      <c r="B27" s="341" t="s">
        <v>563</v>
      </c>
      <c r="C27" s="341" t="s">
        <v>139</v>
      </c>
      <c r="D27" s="341" t="s">
        <v>161</v>
      </c>
      <c r="E27" s="341" t="s">
        <v>134</v>
      </c>
      <c r="F27" s="341"/>
      <c r="G27" s="295">
        <f t="shared" ref="G27:H27" si="4">G28</f>
        <v>0</v>
      </c>
      <c r="H27" s="295">
        <f t="shared" si="4"/>
        <v>0</v>
      </c>
    </row>
    <row r="28" spans="1:9" ht="15.75" hidden="1" x14ac:dyDescent="0.25">
      <c r="A28" s="345" t="s">
        <v>129</v>
      </c>
      <c r="B28" s="341" t="s">
        <v>563</v>
      </c>
      <c r="C28" s="341" t="s">
        <v>139</v>
      </c>
      <c r="D28" s="341" t="s">
        <v>161</v>
      </c>
      <c r="E28" s="341" t="s">
        <v>130</v>
      </c>
      <c r="F28" s="341"/>
      <c r="G28" s="295">
        <f>'Пр.4 ведом.22'!G1105</f>
        <v>0</v>
      </c>
      <c r="H28" s="295">
        <f>'Пр.4 ведом.22'!H1105</f>
        <v>0</v>
      </c>
    </row>
    <row r="29" spans="1:9" ht="31.5" hidden="1" x14ac:dyDescent="0.25">
      <c r="A29" s="29" t="s">
        <v>302</v>
      </c>
      <c r="B29" s="341" t="s">
        <v>563</v>
      </c>
      <c r="C29" s="341" t="s">
        <v>139</v>
      </c>
      <c r="D29" s="341" t="s">
        <v>161</v>
      </c>
      <c r="E29" s="341" t="s">
        <v>130</v>
      </c>
      <c r="F29" s="341" t="s">
        <v>303</v>
      </c>
      <c r="G29" s="295">
        <f>G28</f>
        <v>0</v>
      </c>
      <c r="H29" s="295">
        <f>H28</f>
        <v>0</v>
      </c>
    </row>
    <row r="30" spans="1:9" ht="47.25" x14ac:dyDescent="0.25">
      <c r="A30" s="34" t="s">
        <v>890</v>
      </c>
      <c r="B30" s="6" t="s">
        <v>213</v>
      </c>
      <c r="C30" s="6"/>
      <c r="D30" s="6"/>
      <c r="E30" s="6"/>
      <c r="F30" s="6"/>
      <c r="G30" s="35">
        <f>G31+G60+G68+G97+G113</f>
        <v>3576.2478900000001</v>
      </c>
      <c r="H30" s="35">
        <f>H31+H60+H68+H97+H113</f>
        <v>3415.41</v>
      </c>
      <c r="I30" s="15">
        <f>H30-G30</f>
        <v>-160.83789000000024</v>
      </c>
    </row>
    <row r="31" spans="1:9" ht="31.5" x14ac:dyDescent="0.25">
      <c r="A31" s="34" t="s">
        <v>304</v>
      </c>
      <c r="B31" s="6" t="s">
        <v>215</v>
      </c>
      <c r="C31" s="6"/>
      <c r="D31" s="6"/>
      <c r="E31" s="6"/>
      <c r="F31" s="6"/>
      <c r="G31" s="35">
        <f>G33+G43+G53</f>
        <v>760.1</v>
      </c>
      <c r="H31" s="35">
        <f>H33+H43+H53</f>
        <v>760.1</v>
      </c>
    </row>
    <row r="32" spans="1:9" ht="47.25" x14ac:dyDescent="0.25">
      <c r="A32" s="339" t="s">
        <v>589</v>
      </c>
      <c r="B32" s="299" t="s">
        <v>463</v>
      </c>
      <c r="C32" s="6"/>
      <c r="D32" s="6"/>
      <c r="E32" s="341"/>
      <c r="F32" s="341"/>
      <c r="G32" s="35">
        <f>G33</f>
        <v>280</v>
      </c>
      <c r="H32" s="35">
        <f>H33</f>
        <v>280</v>
      </c>
    </row>
    <row r="33" spans="1:8" ht="15.75" x14ac:dyDescent="0.25">
      <c r="A33" s="29" t="s">
        <v>186</v>
      </c>
      <c r="B33" s="341" t="s">
        <v>463</v>
      </c>
      <c r="C33" s="341" t="s">
        <v>187</v>
      </c>
      <c r="D33" s="341"/>
      <c r="E33" s="341"/>
      <c r="F33" s="341"/>
      <c r="G33" s="9">
        <f t="shared" ref="G33:H33" si="5">G34</f>
        <v>280</v>
      </c>
      <c r="H33" s="9">
        <f t="shared" si="5"/>
        <v>280</v>
      </c>
    </row>
    <row r="34" spans="1:8" ht="15.75" x14ac:dyDescent="0.25">
      <c r="A34" s="29" t="s">
        <v>246</v>
      </c>
      <c r="B34" s="341" t="s">
        <v>463</v>
      </c>
      <c r="C34" s="341" t="s">
        <v>187</v>
      </c>
      <c r="D34" s="341" t="s">
        <v>187</v>
      </c>
      <c r="E34" s="341"/>
      <c r="F34" s="341"/>
      <c r="G34" s="9">
        <f>G35+G39</f>
        <v>280</v>
      </c>
      <c r="H34" s="9">
        <f>H35+H39</f>
        <v>280</v>
      </c>
    </row>
    <row r="35" spans="1:8" ht="31.5" x14ac:dyDescent="0.25">
      <c r="A35" s="67" t="s">
        <v>595</v>
      </c>
      <c r="B35" s="346" t="s">
        <v>464</v>
      </c>
      <c r="C35" s="341" t="s">
        <v>187</v>
      </c>
      <c r="D35" s="341" t="s">
        <v>187</v>
      </c>
      <c r="E35" s="341"/>
      <c r="F35" s="341"/>
      <c r="G35" s="9">
        <f>G36</f>
        <v>280</v>
      </c>
      <c r="H35" s="9">
        <f>H36</f>
        <v>280</v>
      </c>
    </row>
    <row r="36" spans="1:8" ht="78.75" x14ac:dyDescent="0.25">
      <c r="A36" s="345" t="s">
        <v>119</v>
      </c>
      <c r="B36" s="346" t="s">
        <v>464</v>
      </c>
      <c r="C36" s="341" t="s">
        <v>187</v>
      </c>
      <c r="D36" s="341" t="s">
        <v>187</v>
      </c>
      <c r="E36" s="341" t="s">
        <v>120</v>
      </c>
      <c r="F36" s="341"/>
      <c r="G36" s="9">
        <f>G37</f>
        <v>280</v>
      </c>
      <c r="H36" s="9">
        <f>H37</f>
        <v>280</v>
      </c>
    </row>
    <row r="37" spans="1:8" ht="15.75" x14ac:dyDescent="0.25">
      <c r="A37" s="345" t="s">
        <v>212</v>
      </c>
      <c r="B37" s="346" t="s">
        <v>464</v>
      </c>
      <c r="C37" s="341" t="s">
        <v>187</v>
      </c>
      <c r="D37" s="341" t="s">
        <v>187</v>
      </c>
      <c r="E37" s="341" t="s">
        <v>156</v>
      </c>
      <c r="F37" s="341"/>
      <c r="G37" s="9">
        <f>'Пр.4.1 ведом.23-24 '!G353</f>
        <v>280</v>
      </c>
      <c r="H37" s="9">
        <f>'Пр.4.1 ведом.23-24 '!H353</f>
        <v>280</v>
      </c>
    </row>
    <row r="38" spans="1:8" ht="47.25" x14ac:dyDescent="0.25">
      <c r="A38" s="29" t="s">
        <v>185</v>
      </c>
      <c r="B38" s="346" t="s">
        <v>464</v>
      </c>
      <c r="C38" s="341" t="s">
        <v>187</v>
      </c>
      <c r="D38" s="341" t="s">
        <v>187</v>
      </c>
      <c r="E38" s="341" t="s">
        <v>156</v>
      </c>
      <c r="F38" s="341" t="s">
        <v>305</v>
      </c>
      <c r="G38" s="295">
        <f>G37</f>
        <v>280</v>
      </c>
      <c r="H38" s="295">
        <f>H37</f>
        <v>280</v>
      </c>
    </row>
    <row r="39" spans="1:8" ht="15.75" hidden="1" x14ac:dyDescent="0.25">
      <c r="A39" s="345" t="s">
        <v>590</v>
      </c>
      <c r="B39" s="346" t="s">
        <v>605</v>
      </c>
      <c r="C39" s="341" t="s">
        <v>187</v>
      </c>
      <c r="D39" s="341" t="s">
        <v>187</v>
      </c>
      <c r="E39" s="341"/>
      <c r="F39" s="341"/>
      <c r="G39" s="9">
        <f>G40</f>
        <v>0</v>
      </c>
      <c r="H39" s="9">
        <f>H40</f>
        <v>0</v>
      </c>
    </row>
    <row r="40" spans="1:8" ht="31.5" hidden="1" x14ac:dyDescent="0.25">
      <c r="A40" s="345" t="s">
        <v>123</v>
      </c>
      <c r="B40" s="346" t="s">
        <v>605</v>
      </c>
      <c r="C40" s="341" t="s">
        <v>187</v>
      </c>
      <c r="D40" s="341" t="s">
        <v>187</v>
      </c>
      <c r="E40" s="341" t="s">
        <v>124</v>
      </c>
      <c r="F40" s="341"/>
      <c r="G40" s="9">
        <f>G41</f>
        <v>0</v>
      </c>
      <c r="H40" s="9">
        <f>H41</f>
        <v>0</v>
      </c>
    </row>
    <row r="41" spans="1:8" ht="31.5" hidden="1" x14ac:dyDescent="0.25">
      <c r="A41" s="345" t="s">
        <v>125</v>
      </c>
      <c r="B41" s="346" t="s">
        <v>605</v>
      </c>
      <c r="C41" s="341" t="s">
        <v>187</v>
      </c>
      <c r="D41" s="341" t="s">
        <v>187</v>
      </c>
      <c r="E41" s="341" t="s">
        <v>126</v>
      </c>
      <c r="F41" s="341"/>
      <c r="G41" s="9">
        <f>'Пр.3 Рд,пр, ЦС,ВР 22'!F816</f>
        <v>0</v>
      </c>
      <c r="H41" s="9">
        <f>'Пр.3 Рд,пр, ЦС,ВР 22'!G816</f>
        <v>0</v>
      </c>
    </row>
    <row r="42" spans="1:8" ht="47.25" hidden="1" x14ac:dyDescent="0.25">
      <c r="A42" s="29" t="s">
        <v>185</v>
      </c>
      <c r="B42" s="346" t="s">
        <v>605</v>
      </c>
      <c r="C42" s="341" t="s">
        <v>187</v>
      </c>
      <c r="D42" s="341" t="s">
        <v>187</v>
      </c>
      <c r="E42" s="341" t="s">
        <v>126</v>
      </c>
      <c r="F42" s="341" t="s">
        <v>305</v>
      </c>
      <c r="G42" s="295">
        <f>G41</f>
        <v>0</v>
      </c>
      <c r="H42" s="295">
        <f>H41</f>
        <v>0</v>
      </c>
    </row>
    <row r="43" spans="1:8" ht="63" x14ac:dyDescent="0.25">
      <c r="A43" s="298" t="s">
        <v>591</v>
      </c>
      <c r="B43" s="299" t="s">
        <v>465</v>
      </c>
      <c r="C43" s="341"/>
      <c r="D43" s="341"/>
      <c r="E43" s="341"/>
      <c r="F43" s="341"/>
      <c r="G43" s="35">
        <f>G44</f>
        <v>455.1</v>
      </c>
      <c r="H43" s="35">
        <f>H44</f>
        <v>455.1</v>
      </c>
    </row>
    <row r="44" spans="1:8" ht="15.75" x14ac:dyDescent="0.25">
      <c r="A44" s="29" t="s">
        <v>186</v>
      </c>
      <c r="B44" s="341" t="s">
        <v>465</v>
      </c>
      <c r="C44" s="341" t="s">
        <v>187</v>
      </c>
      <c r="D44" s="341"/>
      <c r="E44" s="341"/>
      <c r="F44" s="341"/>
      <c r="G44" s="9">
        <f>G45</f>
        <v>455.1</v>
      </c>
      <c r="H44" s="9">
        <f>H45</f>
        <v>455.1</v>
      </c>
    </row>
    <row r="45" spans="1:8" ht="15.75" x14ac:dyDescent="0.25">
      <c r="A45" s="29" t="s">
        <v>246</v>
      </c>
      <c r="B45" s="341" t="s">
        <v>465</v>
      </c>
      <c r="C45" s="341" t="s">
        <v>187</v>
      </c>
      <c r="D45" s="341" t="s">
        <v>187</v>
      </c>
      <c r="E45" s="341"/>
      <c r="F45" s="341"/>
      <c r="G45" s="9">
        <f>G46+G50</f>
        <v>455.1</v>
      </c>
      <c r="H45" s="9">
        <f>H46+H50</f>
        <v>455.1</v>
      </c>
    </row>
    <row r="46" spans="1:8" ht="15.75" x14ac:dyDescent="0.25">
      <c r="A46" s="345" t="s">
        <v>592</v>
      </c>
      <c r="B46" s="346" t="s">
        <v>470</v>
      </c>
      <c r="C46" s="341" t="s">
        <v>187</v>
      </c>
      <c r="D46" s="341" t="s">
        <v>187</v>
      </c>
      <c r="E46" s="341"/>
      <c r="F46" s="341"/>
      <c r="G46" s="9">
        <f>G47</f>
        <v>40.1</v>
      </c>
      <c r="H46" s="9">
        <f>H47</f>
        <v>40.1</v>
      </c>
    </row>
    <row r="47" spans="1:8" ht="78.75" x14ac:dyDescent="0.25">
      <c r="A47" s="345" t="s">
        <v>119</v>
      </c>
      <c r="B47" s="346" t="s">
        <v>470</v>
      </c>
      <c r="C47" s="341" t="s">
        <v>187</v>
      </c>
      <c r="D47" s="341" t="s">
        <v>187</v>
      </c>
      <c r="E47" s="341" t="s">
        <v>120</v>
      </c>
      <c r="F47" s="341"/>
      <c r="G47" s="9">
        <f t="shared" ref="G47:H47" si="6">G48</f>
        <v>40.1</v>
      </c>
      <c r="H47" s="9">
        <f t="shared" si="6"/>
        <v>40.1</v>
      </c>
    </row>
    <row r="48" spans="1:8" ht="15.75" x14ac:dyDescent="0.25">
      <c r="A48" s="345" t="s">
        <v>212</v>
      </c>
      <c r="B48" s="346" t="s">
        <v>470</v>
      </c>
      <c r="C48" s="341" t="s">
        <v>187</v>
      </c>
      <c r="D48" s="341" t="s">
        <v>187</v>
      </c>
      <c r="E48" s="341" t="s">
        <v>156</v>
      </c>
      <c r="F48" s="341"/>
      <c r="G48" s="9">
        <f>'Пр.4.1 ведом.23-24 '!G360</f>
        <v>40.1</v>
      </c>
      <c r="H48" s="9">
        <f>'Пр.4.1 ведом.23-24 '!H360</f>
        <v>40.1</v>
      </c>
    </row>
    <row r="49" spans="1:8" ht="47.25" x14ac:dyDescent="0.25">
      <c r="A49" s="29" t="s">
        <v>185</v>
      </c>
      <c r="B49" s="346" t="s">
        <v>470</v>
      </c>
      <c r="C49" s="341" t="s">
        <v>187</v>
      </c>
      <c r="D49" s="341" t="s">
        <v>187</v>
      </c>
      <c r="E49" s="341" t="s">
        <v>156</v>
      </c>
      <c r="F49" s="341" t="s">
        <v>305</v>
      </c>
      <c r="G49" s="295">
        <f>G48</f>
        <v>40.1</v>
      </c>
      <c r="H49" s="295">
        <f>H48</f>
        <v>40.1</v>
      </c>
    </row>
    <row r="50" spans="1:8" ht="31.5" x14ac:dyDescent="0.25">
      <c r="A50" s="345" t="s">
        <v>123</v>
      </c>
      <c r="B50" s="346" t="s">
        <v>470</v>
      </c>
      <c r="C50" s="341" t="s">
        <v>187</v>
      </c>
      <c r="D50" s="341" t="s">
        <v>187</v>
      </c>
      <c r="E50" s="341" t="s">
        <v>124</v>
      </c>
      <c r="F50" s="341"/>
      <c r="G50" s="9">
        <f t="shared" ref="G50:H50" si="7">G51</f>
        <v>415</v>
      </c>
      <c r="H50" s="9">
        <f t="shared" si="7"/>
        <v>415</v>
      </c>
    </row>
    <row r="51" spans="1:8" ht="31.5" x14ac:dyDescent="0.25">
      <c r="A51" s="345" t="s">
        <v>125</v>
      </c>
      <c r="B51" s="346" t="s">
        <v>470</v>
      </c>
      <c r="C51" s="341" t="s">
        <v>187</v>
      </c>
      <c r="D51" s="341" t="s">
        <v>187</v>
      </c>
      <c r="E51" s="341" t="s">
        <v>126</v>
      </c>
      <c r="F51" s="341"/>
      <c r="G51" s="295">
        <f>'Пр.4.1 ведом.23-24 '!G362</f>
        <v>415</v>
      </c>
      <c r="H51" s="295">
        <f>'Пр.4.1 ведом.23-24 '!H362</f>
        <v>415</v>
      </c>
    </row>
    <row r="52" spans="1:8" ht="47.25" x14ac:dyDescent="0.25">
      <c r="A52" s="29" t="s">
        <v>185</v>
      </c>
      <c r="B52" s="346" t="s">
        <v>470</v>
      </c>
      <c r="C52" s="341" t="s">
        <v>187</v>
      </c>
      <c r="D52" s="341" t="s">
        <v>187</v>
      </c>
      <c r="E52" s="341" t="s">
        <v>126</v>
      </c>
      <c r="F52" s="341" t="s">
        <v>305</v>
      </c>
      <c r="G52" s="295">
        <f>G51</f>
        <v>415</v>
      </c>
      <c r="H52" s="295">
        <f>H51</f>
        <v>415</v>
      </c>
    </row>
    <row r="53" spans="1:8" ht="33" customHeight="1" x14ac:dyDescent="0.25">
      <c r="A53" s="298" t="s">
        <v>597</v>
      </c>
      <c r="B53" s="299" t="s">
        <v>593</v>
      </c>
      <c r="C53" s="341"/>
      <c r="D53" s="341"/>
      <c r="E53" s="341"/>
      <c r="F53" s="341"/>
      <c r="G53" s="294">
        <f>G56</f>
        <v>25</v>
      </c>
      <c r="H53" s="294">
        <f>H56</f>
        <v>25</v>
      </c>
    </row>
    <row r="54" spans="1:8" ht="16.5" customHeight="1" x14ac:dyDescent="0.25">
      <c r="A54" s="29" t="s">
        <v>186</v>
      </c>
      <c r="B54" s="341" t="s">
        <v>593</v>
      </c>
      <c r="C54" s="341" t="s">
        <v>187</v>
      </c>
      <c r="D54" s="341"/>
      <c r="E54" s="341"/>
      <c r="F54" s="341"/>
      <c r="G54" s="9">
        <f>G55</f>
        <v>25</v>
      </c>
      <c r="H54" s="9">
        <f>H55</f>
        <v>25</v>
      </c>
    </row>
    <row r="55" spans="1:8" ht="18.75" customHeight="1" x14ac:dyDescent="0.25">
      <c r="A55" s="29" t="s">
        <v>246</v>
      </c>
      <c r="B55" s="341" t="s">
        <v>593</v>
      </c>
      <c r="C55" s="341" t="s">
        <v>187</v>
      </c>
      <c r="D55" s="341" t="s">
        <v>187</v>
      </c>
      <c r="E55" s="341"/>
      <c r="F55" s="341"/>
      <c r="G55" s="9">
        <f>G56</f>
        <v>25</v>
      </c>
      <c r="H55" s="9">
        <f>H56</f>
        <v>25</v>
      </c>
    </row>
    <row r="56" spans="1:8" ht="47.25" x14ac:dyDescent="0.25">
      <c r="A56" s="150" t="s">
        <v>594</v>
      </c>
      <c r="B56" s="346" t="s">
        <v>606</v>
      </c>
      <c r="C56" s="341" t="s">
        <v>187</v>
      </c>
      <c r="D56" s="341" t="s">
        <v>187</v>
      </c>
      <c r="E56" s="346"/>
      <c r="F56" s="341"/>
      <c r="G56" s="295">
        <f t="shared" ref="G56:H56" si="8">G57</f>
        <v>25</v>
      </c>
      <c r="H56" s="295">
        <f t="shared" si="8"/>
        <v>25</v>
      </c>
    </row>
    <row r="57" spans="1:8" ht="15.75" x14ac:dyDescent="0.25">
      <c r="A57" s="345" t="s">
        <v>177</v>
      </c>
      <c r="B57" s="346" t="s">
        <v>606</v>
      </c>
      <c r="C57" s="341" t="s">
        <v>187</v>
      </c>
      <c r="D57" s="341" t="s">
        <v>187</v>
      </c>
      <c r="E57" s="346" t="s">
        <v>178</v>
      </c>
      <c r="F57" s="341"/>
      <c r="G57" s="295">
        <f>G58</f>
        <v>25</v>
      </c>
      <c r="H57" s="295">
        <f>H58</f>
        <v>25</v>
      </c>
    </row>
    <row r="58" spans="1:8" ht="32.25" customHeight="1" x14ac:dyDescent="0.25">
      <c r="A58" s="345" t="s">
        <v>734</v>
      </c>
      <c r="B58" s="346" t="s">
        <v>606</v>
      </c>
      <c r="C58" s="341" t="s">
        <v>187</v>
      </c>
      <c r="D58" s="341" t="s">
        <v>187</v>
      </c>
      <c r="E58" s="346" t="s">
        <v>733</v>
      </c>
      <c r="F58" s="341"/>
      <c r="G58" s="9">
        <f>'Пр.4.1 ведом.23-24 '!G366</f>
        <v>25</v>
      </c>
      <c r="H58" s="9">
        <f>'Пр.4.1 ведом.23-24 '!H366</f>
        <v>25</v>
      </c>
    </row>
    <row r="59" spans="1:8" ht="47.25" x14ac:dyDescent="0.25">
      <c r="A59" s="29" t="s">
        <v>185</v>
      </c>
      <c r="B59" s="346" t="s">
        <v>606</v>
      </c>
      <c r="C59" s="341" t="s">
        <v>187</v>
      </c>
      <c r="D59" s="341" t="s">
        <v>187</v>
      </c>
      <c r="E59" s="341" t="s">
        <v>733</v>
      </c>
      <c r="F59" s="341" t="s">
        <v>305</v>
      </c>
      <c r="G59" s="295">
        <f>G58</f>
        <v>25</v>
      </c>
      <c r="H59" s="295">
        <f>H58</f>
        <v>25</v>
      </c>
    </row>
    <row r="60" spans="1:8" ht="31.5" x14ac:dyDescent="0.25">
      <c r="A60" s="34" t="s">
        <v>891</v>
      </c>
      <c r="B60" s="6" t="s">
        <v>219</v>
      </c>
      <c r="C60" s="6"/>
      <c r="D60" s="6"/>
      <c r="E60" s="6"/>
      <c r="F60" s="6"/>
      <c r="G60" s="35">
        <f>G61</f>
        <v>253</v>
      </c>
      <c r="H60" s="35">
        <f>H61</f>
        <v>217.35</v>
      </c>
    </row>
    <row r="61" spans="1:8" ht="31.5" x14ac:dyDescent="0.25">
      <c r="A61" s="298" t="s">
        <v>474</v>
      </c>
      <c r="B61" s="299" t="s">
        <v>473</v>
      </c>
      <c r="C61" s="6"/>
      <c r="D61" s="6"/>
      <c r="E61" s="6"/>
      <c r="F61" s="6"/>
      <c r="G61" s="35">
        <f>G62</f>
        <v>253</v>
      </c>
      <c r="H61" s="35">
        <f>H62</f>
        <v>217.35</v>
      </c>
    </row>
    <row r="62" spans="1:8" ht="15.75" x14ac:dyDescent="0.25">
      <c r="A62" s="29" t="s">
        <v>173</v>
      </c>
      <c r="B62" s="341" t="s">
        <v>473</v>
      </c>
      <c r="C62" s="341" t="s">
        <v>174</v>
      </c>
      <c r="D62" s="341"/>
      <c r="E62" s="341"/>
      <c r="F62" s="341"/>
      <c r="G62" s="9">
        <f t="shared" ref="G62:H65" si="9">G63</f>
        <v>253</v>
      </c>
      <c r="H62" s="9">
        <f t="shared" si="9"/>
        <v>217.35</v>
      </c>
    </row>
    <row r="63" spans="1:8" ht="15.75" x14ac:dyDescent="0.25">
      <c r="A63" s="29" t="s">
        <v>181</v>
      </c>
      <c r="B63" s="341" t="s">
        <v>473</v>
      </c>
      <c r="C63" s="341" t="s">
        <v>174</v>
      </c>
      <c r="D63" s="341" t="s">
        <v>159</v>
      </c>
      <c r="E63" s="341"/>
      <c r="F63" s="341"/>
      <c r="G63" s="9">
        <f>G64</f>
        <v>253</v>
      </c>
      <c r="H63" s="9">
        <f>H64</f>
        <v>217.35</v>
      </c>
    </row>
    <row r="64" spans="1:8" ht="31.5" x14ac:dyDescent="0.25">
      <c r="A64" s="345" t="s">
        <v>399</v>
      </c>
      <c r="B64" s="346" t="s">
        <v>475</v>
      </c>
      <c r="C64" s="341" t="s">
        <v>174</v>
      </c>
      <c r="D64" s="341" t="s">
        <v>159</v>
      </c>
      <c r="E64" s="341"/>
      <c r="F64" s="341"/>
      <c r="G64" s="9">
        <f t="shared" si="9"/>
        <v>253</v>
      </c>
      <c r="H64" s="9">
        <f t="shared" si="9"/>
        <v>217.35</v>
      </c>
    </row>
    <row r="65" spans="1:8" ht="15.75" x14ac:dyDescent="0.25">
      <c r="A65" s="20" t="s">
        <v>177</v>
      </c>
      <c r="B65" s="346" t="s">
        <v>475</v>
      </c>
      <c r="C65" s="341" t="s">
        <v>174</v>
      </c>
      <c r="D65" s="341" t="s">
        <v>159</v>
      </c>
      <c r="E65" s="341" t="s">
        <v>178</v>
      </c>
      <c r="F65" s="341"/>
      <c r="G65" s="9">
        <f t="shared" si="9"/>
        <v>253</v>
      </c>
      <c r="H65" s="9">
        <f t="shared" si="9"/>
        <v>217.35</v>
      </c>
    </row>
    <row r="66" spans="1:8" ht="31.5" x14ac:dyDescent="0.25">
      <c r="A66" s="20" t="s">
        <v>179</v>
      </c>
      <c r="B66" s="346" t="s">
        <v>475</v>
      </c>
      <c r="C66" s="341" t="s">
        <v>174</v>
      </c>
      <c r="D66" s="341" t="s">
        <v>159</v>
      </c>
      <c r="E66" s="341" t="s">
        <v>180</v>
      </c>
      <c r="F66" s="341"/>
      <c r="G66" s="9">
        <f>'Пр.4.1 ведом.23-24 '!G503</f>
        <v>253</v>
      </c>
      <c r="H66" s="9">
        <f>'Пр.4.1 ведом.23-24 '!H503</f>
        <v>217.35</v>
      </c>
    </row>
    <row r="67" spans="1:8" ht="47.25" x14ac:dyDescent="0.25">
      <c r="A67" s="29" t="s">
        <v>185</v>
      </c>
      <c r="B67" s="346" t="s">
        <v>475</v>
      </c>
      <c r="C67" s="341" t="s">
        <v>174</v>
      </c>
      <c r="D67" s="341" t="s">
        <v>159</v>
      </c>
      <c r="E67" s="341" t="s">
        <v>180</v>
      </c>
      <c r="F67" s="341" t="s">
        <v>305</v>
      </c>
      <c r="G67" s="9">
        <f t="shared" ref="G67:H67" si="10">G60</f>
        <v>253</v>
      </c>
      <c r="H67" s="9">
        <f t="shared" si="10"/>
        <v>217.35</v>
      </c>
    </row>
    <row r="68" spans="1:8" ht="54" customHeight="1" x14ac:dyDescent="0.25">
      <c r="A68" s="340" t="s">
        <v>892</v>
      </c>
      <c r="B68" s="6" t="s">
        <v>221</v>
      </c>
      <c r="C68" s="6"/>
      <c r="D68" s="6"/>
      <c r="E68" s="6"/>
      <c r="F68" s="6"/>
      <c r="G68" s="35">
        <f>G69+G76+G83+G90</f>
        <v>215.06</v>
      </c>
      <c r="H68" s="35">
        <f>H69+H76+H83+H90</f>
        <v>215.06</v>
      </c>
    </row>
    <row r="69" spans="1:8" ht="47.25" hidden="1" x14ac:dyDescent="0.25">
      <c r="A69" s="136" t="s">
        <v>602</v>
      </c>
      <c r="B69" s="299" t="s">
        <v>476</v>
      </c>
      <c r="C69" s="6"/>
      <c r="D69" s="6"/>
      <c r="E69" s="6"/>
      <c r="F69" s="6"/>
      <c r="G69" s="35">
        <f t="shared" ref="G69:H73" si="11">G70</f>
        <v>0</v>
      </c>
      <c r="H69" s="35">
        <f t="shared" si="11"/>
        <v>0</v>
      </c>
    </row>
    <row r="70" spans="1:8" ht="15.75" hidden="1" x14ac:dyDescent="0.25">
      <c r="A70" s="29" t="s">
        <v>166</v>
      </c>
      <c r="B70" s="341" t="s">
        <v>476</v>
      </c>
      <c r="C70" s="341" t="s">
        <v>139</v>
      </c>
      <c r="D70" s="341"/>
      <c r="E70" s="341"/>
      <c r="F70" s="341"/>
      <c r="G70" s="9">
        <f t="shared" si="11"/>
        <v>0</v>
      </c>
      <c r="H70" s="9">
        <f t="shared" si="11"/>
        <v>0</v>
      </c>
    </row>
    <row r="71" spans="1:8" ht="15.75" hidden="1" x14ac:dyDescent="0.25">
      <c r="A71" s="29" t="s">
        <v>170</v>
      </c>
      <c r="B71" s="341" t="s">
        <v>476</v>
      </c>
      <c r="C71" s="341" t="s">
        <v>139</v>
      </c>
      <c r="D71" s="341" t="s">
        <v>171</v>
      </c>
      <c r="E71" s="341"/>
      <c r="F71" s="341"/>
      <c r="G71" s="9">
        <f t="shared" si="11"/>
        <v>0</v>
      </c>
      <c r="H71" s="9">
        <f t="shared" si="11"/>
        <v>0</v>
      </c>
    </row>
    <row r="72" spans="1:8" ht="47.25" hidden="1" x14ac:dyDescent="0.25">
      <c r="A72" s="345" t="s">
        <v>227</v>
      </c>
      <c r="B72" s="346" t="s">
        <v>825</v>
      </c>
      <c r="C72" s="341" t="s">
        <v>139</v>
      </c>
      <c r="D72" s="341" t="s">
        <v>171</v>
      </c>
      <c r="E72" s="341"/>
      <c r="F72" s="341"/>
      <c r="G72" s="9">
        <f t="shared" si="11"/>
        <v>0</v>
      </c>
      <c r="H72" s="9">
        <f t="shared" si="11"/>
        <v>0</v>
      </c>
    </row>
    <row r="73" spans="1:8" ht="15.75" hidden="1" x14ac:dyDescent="0.25">
      <c r="A73" s="345" t="s">
        <v>177</v>
      </c>
      <c r="B73" s="346" t="s">
        <v>825</v>
      </c>
      <c r="C73" s="341" t="s">
        <v>139</v>
      </c>
      <c r="D73" s="341" t="s">
        <v>171</v>
      </c>
      <c r="E73" s="341" t="s">
        <v>178</v>
      </c>
      <c r="F73" s="341"/>
      <c r="G73" s="9">
        <f t="shared" si="11"/>
        <v>0</v>
      </c>
      <c r="H73" s="9">
        <f t="shared" si="11"/>
        <v>0</v>
      </c>
    </row>
    <row r="74" spans="1:8" ht="31.5" hidden="1" x14ac:dyDescent="0.25">
      <c r="A74" s="345" t="s">
        <v>179</v>
      </c>
      <c r="B74" s="346" t="s">
        <v>825</v>
      </c>
      <c r="C74" s="341" t="s">
        <v>139</v>
      </c>
      <c r="D74" s="341" t="s">
        <v>171</v>
      </c>
      <c r="E74" s="341" t="s">
        <v>180</v>
      </c>
      <c r="F74" s="341"/>
      <c r="G74" s="9">
        <f>'Пр.4 ведом.22'!G319</f>
        <v>0</v>
      </c>
      <c r="H74" s="9">
        <f>'Пр.4 ведом.22'!H319</f>
        <v>0</v>
      </c>
    </row>
    <row r="75" spans="1:8" ht="47.25" hidden="1" x14ac:dyDescent="0.25">
      <c r="A75" s="29" t="s">
        <v>185</v>
      </c>
      <c r="B75" s="346" t="s">
        <v>825</v>
      </c>
      <c r="C75" s="341" t="s">
        <v>139</v>
      </c>
      <c r="D75" s="341" t="s">
        <v>171</v>
      </c>
      <c r="E75" s="341" t="s">
        <v>180</v>
      </c>
      <c r="F75" s="341" t="s">
        <v>305</v>
      </c>
      <c r="G75" s="9">
        <f>G74</f>
        <v>0</v>
      </c>
      <c r="H75" s="9">
        <f>H74</f>
        <v>0</v>
      </c>
    </row>
    <row r="76" spans="1:8" ht="31.5" x14ac:dyDescent="0.25">
      <c r="A76" s="298" t="s">
        <v>601</v>
      </c>
      <c r="B76" s="6" t="s">
        <v>737</v>
      </c>
      <c r="C76" s="6"/>
      <c r="D76" s="6"/>
      <c r="E76" s="6"/>
      <c r="F76" s="6"/>
      <c r="G76" s="35">
        <f t="shared" ref="G76:H80" si="12">G77</f>
        <v>215.06</v>
      </c>
      <c r="H76" s="35">
        <f t="shared" si="12"/>
        <v>215.06</v>
      </c>
    </row>
    <row r="77" spans="1:8" ht="15.75" x14ac:dyDescent="0.25">
      <c r="A77" s="29" t="s">
        <v>166</v>
      </c>
      <c r="B77" s="341" t="s">
        <v>737</v>
      </c>
      <c r="C77" s="341" t="s">
        <v>139</v>
      </c>
      <c r="D77" s="341"/>
      <c r="E77" s="341"/>
      <c r="F77" s="341"/>
      <c r="G77" s="9">
        <f t="shared" si="12"/>
        <v>215.06</v>
      </c>
      <c r="H77" s="9">
        <f t="shared" si="12"/>
        <v>215.06</v>
      </c>
    </row>
    <row r="78" spans="1:8" ht="15.75" x14ac:dyDescent="0.25">
      <c r="A78" s="29" t="s">
        <v>170</v>
      </c>
      <c r="B78" s="341" t="s">
        <v>737</v>
      </c>
      <c r="C78" s="341" t="s">
        <v>139</v>
      </c>
      <c r="D78" s="341" t="s">
        <v>171</v>
      </c>
      <c r="E78" s="341"/>
      <c r="F78" s="341"/>
      <c r="G78" s="9">
        <f t="shared" si="12"/>
        <v>215.06</v>
      </c>
      <c r="H78" s="9">
        <f t="shared" si="12"/>
        <v>215.06</v>
      </c>
    </row>
    <row r="79" spans="1:8" ht="101.25" customHeight="1" x14ac:dyDescent="0.25">
      <c r="A79" s="345" t="s">
        <v>971</v>
      </c>
      <c r="B79" s="346" t="s">
        <v>738</v>
      </c>
      <c r="C79" s="341" t="s">
        <v>139</v>
      </c>
      <c r="D79" s="341" t="s">
        <v>171</v>
      </c>
      <c r="E79" s="341"/>
      <c r="F79" s="341"/>
      <c r="G79" s="9">
        <f t="shared" si="12"/>
        <v>215.06</v>
      </c>
      <c r="H79" s="9">
        <f t="shared" si="12"/>
        <v>215.06</v>
      </c>
    </row>
    <row r="80" spans="1:8" ht="31.5" x14ac:dyDescent="0.25">
      <c r="A80" s="345" t="s">
        <v>191</v>
      </c>
      <c r="B80" s="346" t="s">
        <v>738</v>
      </c>
      <c r="C80" s="341" t="s">
        <v>139</v>
      </c>
      <c r="D80" s="341" t="s">
        <v>171</v>
      </c>
      <c r="E80" s="341" t="s">
        <v>192</v>
      </c>
      <c r="F80" s="341"/>
      <c r="G80" s="9">
        <f t="shared" si="12"/>
        <v>215.06</v>
      </c>
      <c r="H80" s="9">
        <f t="shared" si="12"/>
        <v>215.06</v>
      </c>
    </row>
    <row r="81" spans="1:8" ht="63" x14ac:dyDescent="0.25">
      <c r="A81" s="345" t="s">
        <v>641</v>
      </c>
      <c r="B81" s="346" t="s">
        <v>738</v>
      </c>
      <c r="C81" s="341" t="s">
        <v>139</v>
      </c>
      <c r="D81" s="341" t="s">
        <v>171</v>
      </c>
      <c r="E81" s="341" t="s">
        <v>225</v>
      </c>
      <c r="F81" s="341"/>
      <c r="G81" s="9">
        <f>'Пр.4.1 ведом.23-24 '!G294</f>
        <v>215.06</v>
      </c>
      <c r="H81" s="9">
        <f>'Пр.4.1 ведом.23-24 '!H294</f>
        <v>215.06</v>
      </c>
    </row>
    <row r="82" spans="1:8" ht="47.25" x14ac:dyDescent="0.25">
      <c r="A82" s="29" t="s">
        <v>185</v>
      </c>
      <c r="B82" s="346" t="s">
        <v>738</v>
      </c>
      <c r="C82" s="341" t="s">
        <v>139</v>
      </c>
      <c r="D82" s="341" t="s">
        <v>171</v>
      </c>
      <c r="E82" s="341" t="s">
        <v>225</v>
      </c>
      <c r="F82" s="341" t="s">
        <v>305</v>
      </c>
      <c r="G82" s="9">
        <f>G81</f>
        <v>215.06</v>
      </c>
      <c r="H82" s="9">
        <f>H81</f>
        <v>215.06</v>
      </c>
    </row>
    <row r="83" spans="1:8" ht="31.5" hidden="1" x14ac:dyDescent="0.25">
      <c r="A83" s="298" t="s">
        <v>556</v>
      </c>
      <c r="B83" s="299" t="s">
        <v>822</v>
      </c>
      <c r="C83" s="6"/>
      <c r="D83" s="6"/>
      <c r="E83" s="6"/>
      <c r="F83" s="6"/>
      <c r="G83" s="35">
        <f t="shared" ref="G83:H87" si="13">G84</f>
        <v>0</v>
      </c>
      <c r="H83" s="35">
        <f t="shared" si="13"/>
        <v>0</v>
      </c>
    </row>
    <row r="84" spans="1:8" ht="15.75" hidden="1" x14ac:dyDescent="0.25">
      <c r="A84" s="29" t="s">
        <v>166</v>
      </c>
      <c r="B84" s="341" t="s">
        <v>822</v>
      </c>
      <c r="C84" s="341" t="s">
        <v>139</v>
      </c>
      <c r="D84" s="341"/>
      <c r="E84" s="341"/>
      <c r="F84" s="341"/>
      <c r="G84" s="9">
        <f t="shared" si="13"/>
        <v>0</v>
      </c>
      <c r="H84" s="9">
        <f t="shared" si="13"/>
        <v>0</v>
      </c>
    </row>
    <row r="85" spans="1:8" ht="15.75" hidden="1" x14ac:dyDescent="0.25">
      <c r="A85" s="29" t="s">
        <v>170</v>
      </c>
      <c r="B85" s="341" t="s">
        <v>822</v>
      </c>
      <c r="C85" s="341" t="s">
        <v>139</v>
      </c>
      <c r="D85" s="341" t="s">
        <v>171</v>
      </c>
      <c r="E85" s="341"/>
      <c r="F85" s="341"/>
      <c r="G85" s="9">
        <f t="shared" si="13"/>
        <v>0</v>
      </c>
      <c r="H85" s="9">
        <f t="shared" si="13"/>
        <v>0</v>
      </c>
    </row>
    <row r="86" spans="1:8" ht="31.5" hidden="1" x14ac:dyDescent="0.25">
      <c r="A86" s="166" t="s">
        <v>603</v>
      </c>
      <c r="B86" s="346" t="s">
        <v>823</v>
      </c>
      <c r="C86" s="341" t="s">
        <v>139</v>
      </c>
      <c r="D86" s="341" t="s">
        <v>171</v>
      </c>
      <c r="E86" s="341"/>
      <c r="F86" s="341"/>
      <c r="G86" s="9">
        <f t="shared" si="13"/>
        <v>0</v>
      </c>
      <c r="H86" s="9">
        <f t="shared" si="13"/>
        <v>0</v>
      </c>
    </row>
    <row r="87" spans="1:8" ht="31.5" hidden="1" x14ac:dyDescent="0.25">
      <c r="A87" s="345" t="s">
        <v>123</v>
      </c>
      <c r="B87" s="346" t="s">
        <v>823</v>
      </c>
      <c r="C87" s="341" t="s">
        <v>139</v>
      </c>
      <c r="D87" s="341" t="s">
        <v>171</v>
      </c>
      <c r="E87" s="341" t="s">
        <v>124</v>
      </c>
      <c r="F87" s="341"/>
      <c r="G87" s="9">
        <f t="shared" si="13"/>
        <v>0</v>
      </c>
      <c r="H87" s="9">
        <f t="shared" si="13"/>
        <v>0</v>
      </c>
    </row>
    <row r="88" spans="1:8" ht="31.5" hidden="1" x14ac:dyDescent="0.25">
      <c r="A88" s="345" t="s">
        <v>125</v>
      </c>
      <c r="B88" s="346" t="s">
        <v>823</v>
      </c>
      <c r="C88" s="341" t="s">
        <v>139</v>
      </c>
      <c r="D88" s="341" t="s">
        <v>171</v>
      </c>
      <c r="E88" s="341" t="s">
        <v>126</v>
      </c>
      <c r="F88" s="341"/>
      <c r="G88" s="9">
        <f>'Пр.4 ведом.22'!G327</f>
        <v>0</v>
      </c>
      <c r="H88" s="9">
        <f>'Пр.4 ведом.22'!H327</f>
        <v>0</v>
      </c>
    </row>
    <row r="89" spans="1:8" ht="47.25" hidden="1" x14ac:dyDescent="0.25">
      <c r="A89" s="29" t="s">
        <v>185</v>
      </c>
      <c r="B89" s="346" t="s">
        <v>823</v>
      </c>
      <c r="C89" s="341" t="s">
        <v>139</v>
      </c>
      <c r="D89" s="341" t="s">
        <v>171</v>
      </c>
      <c r="E89" s="341" t="s">
        <v>126</v>
      </c>
      <c r="F89" s="8" t="s">
        <v>305</v>
      </c>
      <c r="G89" s="9">
        <f>G88</f>
        <v>0</v>
      </c>
      <c r="H89" s="9">
        <f>H88</f>
        <v>0</v>
      </c>
    </row>
    <row r="90" spans="1:8" ht="31.5" hidden="1" x14ac:dyDescent="0.25">
      <c r="A90" s="303" t="s">
        <v>654</v>
      </c>
      <c r="B90" s="299" t="s">
        <v>739</v>
      </c>
      <c r="C90" s="6"/>
      <c r="D90" s="6"/>
      <c r="E90" s="6"/>
      <c r="F90" s="6"/>
      <c r="G90" s="35">
        <f t="shared" ref="G90:H94" si="14">G91</f>
        <v>0</v>
      </c>
      <c r="H90" s="35">
        <f t="shared" si="14"/>
        <v>0</v>
      </c>
    </row>
    <row r="91" spans="1:8" ht="15.75" hidden="1" x14ac:dyDescent="0.25">
      <c r="A91" s="29" t="s">
        <v>166</v>
      </c>
      <c r="B91" s="341" t="s">
        <v>739</v>
      </c>
      <c r="C91" s="341" t="s">
        <v>139</v>
      </c>
      <c r="D91" s="341"/>
      <c r="E91" s="341"/>
      <c r="F91" s="341"/>
      <c r="G91" s="9">
        <f t="shared" si="14"/>
        <v>0</v>
      </c>
      <c r="H91" s="9">
        <f t="shared" si="14"/>
        <v>0</v>
      </c>
    </row>
    <row r="92" spans="1:8" ht="15.75" hidden="1" x14ac:dyDescent="0.25">
      <c r="A92" s="29" t="s">
        <v>170</v>
      </c>
      <c r="B92" s="341" t="s">
        <v>739</v>
      </c>
      <c r="C92" s="341" t="s">
        <v>139</v>
      </c>
      <c r="D92" s="341" t="s">
        <v>171</v>
      </c>
      <c r="E92" s="341"/>
      <c r="F92" s="341"/>
      <c r="G92" s="9">
        <f t="shared" si="14"/>
        <v>0</v>
      </c>
      <c r="H92" s="9">
        <f t="shared" si="14"/>
        <v>0</v>
      </c>
    </row>
    <row r="93" spans="1:8" ht="31.5" hidden="1" x14ac:dyDescent="0.25">
      <c r="A93" s="150" t="s">
        <v>893</v>
      </c>
      <c r="B93" s="346" t="s">
        <v>740</v>
      </c>
      <c r="C93" s="341" t="s">
        <v>139</v>
      </c>
      <c r="D93" s="341" t="s">
        <v>171</v>
      </c>
      <c r="E93" s="341"/>
      <c r="F93" s="341"/>
      <c r="G93" s="9">
        <f t="shared" si="14"/>
        <v>0</v>
      </c>
      <c r="H93" s="9">
        <f t="shared" si="14"/>
        <v>0</v>
      </c>
    </row>
    <row r="94" spans="1:8" ht="31.5" hidden="1" x14ac:dyDescent="0.25">
      <c r="A94" s="345" t="s">
        <v>123</v>
      </c>
      <c r="B94" s="346" t="s">
        <v>740</v>
      </c>
      <c r="C94" s="341" t="s">
        <v>139</v>
      </c>
      <c r="D94" s="341" t="s">
        <v>171</v>
      </c>
      <c r="E94" s="341" t="s">
        <v>124</v>
      </c>
      <c r="F94" s="341"/>
      <c r="G94" s="9">
        <f t="shared" si="14"/>
        <v>0</v>
      </c>
      <c r="H94" s="9">
        <f t="shared" si="14"/>
        <v>0</v>
      </c>
    </row>
    <row r="95" spans="1:8" ht="31.5" hidden="1" x14ac:dyDescent="0.25">
      <c r="A95" s="345" t="s">
        <v>125</v>
      </c>
      <c r="B95" s="346" t="s">
        <v>740</v>
      </c>
      <c r="C95" s="341" t="s">
        <v>139</v>
      </c>
      <c r="D95" s="341" t="s">
        <v>171</v>
      </c>
      <c r="E95" s="341" t="s">
        <v>126</v>
      </c>
      <c r="F95" s="341"/>
      <c r="G95" s="9">
        <f>'Пр.4 ведом.22'!G331</f>
        <v>0</v>
      </c>
      <c r="H95" s="9">
        <f>'Пр.4 ведом.22'!H331</f>
        <v>0</v>
      </c>
    </row>
    <row r="96" spans="1:8" ht="47.25" hidden="1" x14ac:dyDescent="0.25">
      <c r="A96" s="29" t="s">
        <v>185</v>
      </c>
      <c r="B96" s="346" t="s">
        <v>740</v>
      </c>
      <c r="C96" s="341" t="s">
        <v>139</v>
      </c>
      <c r="D96" s="341" t="s">
        <v>171</v>
      </c>
      <c r="E96" s="341" t="s">
        <v>126</v>
      </c>
      <c r="F96" s="8" t="s">
        <v>305</v>
      </c>
      <c r="G96" s="9">
        <f>G95</f>
        <v>0</v>
      </c>
      <c r="H96" s="9">
        <f>H95</f>
        <v>0</v>
      </c>
    </row>
    <row r="97" spans="1:8" ht="78.75" x14ac:dyDescent="0.25">
      <c r="A97" s="340" t="s">
        <v>852</v>
      </c>
      <c r="B97" s="6" t="s">
        <v>222</v>
      </c>
      <c r="C97" s="6"/>
      <c r="D97" s="6"/>
      <c r="E97" s="6"/>
      <c r="F97" s="7"/>
      <c r="G97" s="35">
        <f>G98</f>
        <v>655.9</v>
      </c>
      <c r="H97" s="35">
        <f>H98</f>
        <v>655.9</v>
      </c>
    </row>
    <row r="98" spans="1:8" ht="47.25" x14ac:dyDescent="0.25">
      <c r="A98" s="164" t="s">
        <v>604</v>
      </c>
      <c r="B98" s="6" t="s">
        <v>478</v>
      </c>
      <c r="C98" s="6"/>
      <c r="D98" s="6"/>
      <c r="E98" s="6"/>
      <c r="F98" s="7"/>
      <c r="G98" s="35">
        <f>G99</f>
        <v>655.9</v>
      </c>
      <c r="H98" s="35">
        <f>H99</f>
        <v>655.9</v>
      </c>
    </row>
    <row r="99" spans="1:8" ht="15.75" x14ac:dyDescent="0.25">
      <c r="A99" s="29" t="s">
        <v>115</v>
      </c>
      <c r="B99" s="341" t="s">
        <v>478</v>
      </c>
      <c r="C99" s="341" t="s">
        <v>116</v>
      </c>
      <c r="D99" s="341"/>
      <c r="E99" s="341"/>
      <c r="F99" s="8"/>
      <c r="G99" s="9">
        <f t="shared" ref="G99:H102" si="15">G100</f>
        <v>655.9</v>
      </c>
      <c r="H99" s="9">
        <f t="shared" si="15"/>
        <v>655.9</v>
      </c>
    </row>
    <row r="100" spans="1:8" ht="15.75" x14ac:dyDescent="0.25">
      <c r="A100" s="29" t="s">
        <v>131</v>
      </c>
      <c r="B100" s="341" t="s">
        <v>478</v>
      </c>
      <c r="C100" s="341" t="s">
        <v>116</v>
      </c>
      <c r="D100" s="341" t="s">
        <v>132</v>
      </c>
      <c r="E100" s="341"/>
      <c r="F100" s="8"/>
      <c r="G100" s="9">
        <f>G101+G105+G109</f>
        <v>655.9</v>
      </c>
      <c r="H100" s="9">
        <f>H101+H105</f>
        <v>655.9</v>
      </c>
    </row>
    <row r="101" spans="1:8" ht="31.5" x14ac:dyDescent="0.25">
      <c r="A101" s="67" t="s">
        <v>647</v>
      </c>
      <c r="B101" s="341" t="s">
        <v>736</v>
      </c>
      <c r="C101" s="341" t="s">
        <v>116</v>
      </c>
      <c r="D101" s="341" t="s">
        <v>132</v>
      </c>
      <c r="E101" s="341"/>
      <c r="F101" s="8"/>
      <c r="G101" s="9">
        <f t="shared" si="15"/>
        <v>440.8</v>
      </c>
      <c r="H101" s="9">
        <f t="shared" si="15"/>
        <v>440.8</v>
      </c>
    </row>
    <row r="102" spans="1:8" ht="31.5" x14ac:dyDescent="0.25">
      <c r="A102" s="20" t="s">
        <v>123</v>
      </c>
      <c r="B102" s="341" t="s">
        <v>736</v>
      </c>
      <c r="C102" s="341" t="s">
        <v>116</v>
      </c>
      <c r="D102" s="341" t="s">
        <v>132</v>
      </c>
      <c r="E102" s="341" t="s">
        <v>124</v>
      </c>
      <c r="F102" s="8"/>
      <c r="G102" s="9">
        <f t="shared" si="15"/>
        <v>440.8</v>
      </c>
      <c r="H102" s="9">
        <f t="shared" si="15"/>
        <v>440.8</v>
      </c>
    </row>
    <row r="103" spans="1:8" ht="31.5" x14ac:dyDescent="0.25">
      <c r="A103" s="20" t="s">
        <v>125</v>
      </c>
      <c r="B103" s="341" t="s">
        <v>736</v>
      </c>
      <c r="C103" s="341" t="s">
        <v>116</v>
      </c>
      <c r="D103" s="341" t="s">
        <v>132</v>
      </c>
      <c r="E103" s="341" t="s">
        <v>126</v>
      </c>
      <c r="F103" s="8"/>
      <c r="G103" s="9">
        <f>'Пр.4.1 ведом.23-24 '!G254</f>
        <v>440.8</v>
      </c>
      <c r="H103" s="9">
        <f>'Пр.4.1 ведом.23-24 '!H254</f>
        <v>440.8</v>
      </c>
    </row>
    <row r="104" spans="1:8" ht="47.25" x14ac:dyDescent="0.25">
      <c r="A104" s="29" t="s">
        <v>185</v>
      </c>
      <c r="B104" s="341" t="s">
        <v>736</v>
      </c>
      <c r="C104" s="341" t="s">
        <v>116</v>
      </c>
      <c r="D104" s="341" t="s">
        <v>132</v>
      </c>
      <c r="E104" s="341" t="s">
        <v>126</v>
      </c>
      <c r="F104" s="8" t="s">
        <v>305</v>
      </c>
      <c r="G104" s="9">
        <f>G103</f>
        <v>440.8</v>
      </c>
      <c r="H104" s="9">
        <f>H103</f>
        <v>440.8</v>
      </c>
    </row>
    <row r="105" spans="1:8" ht="31.5" x14ac:dyDescent="0.25">
      <c r="A105" s="29" t="s">
        <v>1025</v>
      </c>
      <c r="B105" s="341" t="s">
        <v>1059</v>
      </c>
      <c r="C105" s="341" t="s">
        <v>116</v>
      </c>
      <c r="D105" s="341" t="s">
        <v>132</v>
      </c>
      <c r="E105" s="341"/>
      <c r="F105" s="8"/>
      <c r="G105" s="9">
        <f>G106</f>
        <v>215.1</v>
      </c>
      <c r="H105" s="9">
        <f>H106</f>
        <v>215.1</v>
      </c>
    </row>
    <row r="106" spans="1:8" ht="31.5" x14ac:dyDescent="0.25">
      <c r="A106" s="20" t="s">
        <v>123</v>
      </c>
      <c r="B106" s="341" t="s">
        <v>1059</v>
      </c>
      <c r="C106" s="341" t="s">
        <v>116</v>
      </c>
      <c r="D106" s="341" t="s">
        <v>132</v>
      </c>
      <c r="E106" s="341" t="s">
        <v>124</v>
      </c>
      <c r="F106" s="8"/>
      <c r="G106" s="9">
        <f>G107</f>
        <v>215.1</v>
      </c>
      <c r="H106" s="9">
        <f>H107</f>
        <v>215.1</v>
      </c>
    </row>
    <row r="107" spans="1:8" ht="31.5" x14ac:dyDescent="0.25">
      <c r="A107" s="20" t="s">
        <v>125</v>
      </c>
      <c r="B107" s="341" t="s">
        <v>1059</v>
      </c>
      <c r="C107" s="341" t="s">
        <v>116</v>
      </c>
      <c r="D107" s="341" t="s">
        <v>132</v>
      </c>
      <c r="E107" s="341" t="s">
        <v>126</v>
      </c>
      <c r="F107" s="8"/>
      <c r="G107" s="9">
        <f>'Пр.4.1 ведом.23-24 '!G257</f>
        <v>215.1</v>
      </c>
      <c r="H107" s="9">
        <f>'Пр.4.1 ведом.23-24 '!H257</f>
        <v>215.1</v>
      </c>
    </row>
    <row r="108" spans="1:8" ht="47.25" x14ac:dyDescent="0.25">
      <c r="A108" s="29" t="s">
        <v>185</v>
      </c>
      <c r="B108" s="341" t="s">
        <v>1059</v>
      </c>
      <c r="C108" s="341" t="s">
        <v>116</v>
      </c>
      <c r="D108" s="341" t="s">
        <v>132</v>
      </c>
      <c r="E108" s="341" t="s">
        <v>126</v>
      </c>
      <c r="F108" s="8" t="s">
        <v>305</v>
      </c>
      <c r="G108" s="9">
        <f>G107</f>
        <v>215.1</v>
      </c>
      <c r="H108" s="9">
        <f>H107</f>
        <v>215.1</v>
      </c>
    </row>
    <row r="109" spans="1:8" ht="31.5" hidden="1" x14ac:dyDescent="0.25">
      <c r="A109" s="20" t="s">
        <v>1149</v>
      </c>
      <c r="B109" s="8" t="s">
        <v>1150</v>
      </c>
      <c r="C109" s="341" t="s">
        <v>116</v>
      </c>
      <c r="D109" s="341" t="s">
        <v>132</v>
      </c>
      <c r="E109" s="341"/>
      <c r="F109" s="8"/>
      <c r="G109" s="9">
        <f>G110</f>
        <v>0</v>
      </c>
      <c r="H109" s="9">
        <f>H110</f>
        <v>0</v>
      </c>
    </row>
    <row r="110" spans="1:8" ht="31.5" hidden="1" x14ac:dyDescent="0.25">
      <c r="A110" s="20" t="s">
        <v>123</v>
      </c>
      <c r="B110" s="8" t="s">
        <v>1150</v>
      </c>
      <c r="C110" s="341" t="s">
        <v>116</v>
      </c>
      <c r="D110" s="341" t="s">
        <v>132</v>
      </c>
      <c r="E110" s="341" t="s">
        <v>124</v>
      </c>
      <c r="F110" s="8"/>
      <c r="G110" s="9">
        <f>G111</f>
        <v>0</v>
      </c>
      <c r="H110" s="9">
        <f>H111</f>
        <v>0</v>
      </c>
    </row>
    <row r="111" spans="1:8" ht="31.5" hidden="1" x14ac:dyDescent="0.25">
      <c r="A111" s="20" t="s">
        <v>125</v>
      </c>
      <c r="B111" s="8" t="s">
        <v>1150</v>
      </c>
      <c r="C111" s="341" t="s">
        <v>116</v>
      </c>
      <c r="D111" s="341" t="s">
        <v>132</v>
      </c>
      <c r="E111" s="341" t="s">
        <v>126</v>
      </c>
      <c r="F111" s="8"/>
      <c r="G111" s="9"/>
      <c r="H111" s="9">
        <f>'Пр.4 ведом.22'!H289</f>
        <v>0</v>
      </c>
    </row>
    <row r="112" spans="1:8" ht="47.25" hidden="1" x14ac:dyDescent="0.25">
      <c r="A112" s="29" t="s">
        <v>185</v>
      </c>
      <c r="B112" s="8" t="s">
        <v>1150</v>
      </c>
      <c r="C112" s="341" t="s">
        <v>116</v>
      </c>
      <c r="D112" s="341" t="s">
        <v>132</v>
      </c>
      <c r="E112" s="341" t="s">
        <v>126</v>
      </c>
      <c r="F112" s="8" t="s">
        <v>305</v>
      </c>
      <c r="G112" s="9">
        <f>G111</f>
        <v>0</v>
      </c>
      <c r="H112" s="9">
        <f>H111</f>
        <v>0</v>
      </c>
    </row>
    <row r="113" spans="1:8" ht="39.200000000000003" customHeight="1" x14ac:dyDescent="0.25">
      <c r="A113" s="34" t="s">
        <v>306</v>
      </c>
      <c r="B113" s="6" t="s">
        <v>223</v>
      </c>
      <c r="C113" s="6"/>
      <c r="D113" s="6"/>
      <c r="E113" s="6"/>
      <c r="F113" s="6"/>
      <c r="G113" s="35">
        <f>G114+G124+G134</f>
        <v>1692.1878900000002</v>
      </c>
      <c r="H113" s="35">
        <f>H114+H124+H134</f>
        <v>1567</v>
      </c>
    </row>
    <row r="114" spans="1:8" ht="31.5" x14ac:dyDescent="0.25">
      <c r="A114" s="298" t="s">
        <v>598</v>
      </c>
      <c r="B114" s="299" t="s">
        <v>482</v>
      </c>
      <c r="C114" s="341"/>
      <c r="D114" s="341"/>
      <c r="E114" s="341"/>
      <c r="F114" s="341"/>
      <c r="G114" s="35">
        <f>G115</f>
        <v>755.18789000000004</v>
      </c>
      <c r="H114" s="35">
        <f>H115</f>
        <v>630</v>
      </c>
    </row>
    <row r="115" spans="1:8" ht="15.75" x14ac:dyDescent="0.25">
      <c r="A115" s="29" t="s">
        <v>173</v>
      </c>
      <c r="B115" s="341" t="s">
        <v>482</v>
      </c>
      <c r="C115" s="341" t="s">
        <v>174</v>
      </c>
      <c r="D115" s="341"/>
      <c r="E115" s="341"/>
      <c r="F115" s="341"/>
      <c r="G115" s="9">
        <f t="shared" ref="G115:H121" si="16">G116</f>
        <v>755.18789000000004</v>
      </c>
      <c r="H115" s="9">
        <f t="shared" si="16"/>
        <v>630</v>
      </c>
    </row>
    <row r="116" spans="1:8" ht="15.75" x14ac:dyDescent="0.25">
      <c r="A116" s="29" t="s">
        <v>181</v>
      </c>
      <c r="B116" s="341" t="s">
        <v>482</v>
      </c>
      <c r="C116" s="341" t="s">
        <v>174</v>
      </c>
      <c r="D116" s="341" t="s">
        <v>159</v>
      </c>
      <c r="E116" s="341"/>
      <c r="F116" s="341"/>
      <c r="G116" s="9">
        <f>G117</f>
        <v>755.18789000000004</v>
      </c>
      <c r="H116" s="9">
        <f>H117</f>
        <v>630</v>
      </c>
    </row>
    <row r="117" spans="1:8" ht="47.25" x14ac:dyDescent="0.25">
      <c r="A117" s="67" t="s">
        <v>599</v>
      </c>
      <c r="B117" s="346" t="s">
        <v>758</v>
      </c>
      <c r="C117" s="341" t="s">
        <v>174</v>
      </c>
      <c r="D117" s="341" t="s">
        <v>159</v>
      </c>
      <c r="E117" s="341"/>
      <c r="F117" s="341"/>
      <c r="G117" s="9">
        <f>G121+G118</f>
        <v>755.18789000000004</v>
      </c>
      <c r="H117" s="9">
        <f>H121+H118</f>
        <v>630</v>
      </c>
    </row>
    <row r="118" spans="1:8" ht="31.5" hidden="1" x14ac:dyDescent="0.25">
      <c r="A118" s="20" t="s">
        <v>123</v>
      </c>
      <c r="B118" s="346" t="s">
        <v>758</v>
      </c>
      <c r="C118" s="341" t="s">
        <v>174</v>
      </c>
      <c r="D118" s="341" t="s">
        <v>159</v>
      </c>
      <c r="E118" s="341" t="s">
        <v>124</v>
      </c>
      <c r="F118" s="341"/>
      <c r="G118" s="9">
        <f>G119</f>
        <v>125.18789000000001</v>
      </c>
      <c r="H118" s="9">
        <f>H119</f>
        <v>0</v>
      </c>
    </row>
    <row r="119" spans="1:8" ht="31.5" hidden="1" x14ac:dyDescent="0.25">
      <c r="A119" s="20" t="s">
        <v>125</v>
      </c>
      <c r="B119" s="346" t="s">
        <v>758</v>
      </c>
      <c r="C119" s="341" t="s">
        <v>174</v>
      </c>
      <c r="D119" s="341" t="s">
        <v>159</v>
      </c>
      <c r="E119" s="341" t="s">
        <v>126</v>
      </c>
      <c r="F119" s="341"/>
      <c r="G119" s="9">
        <f>'Пр.4 ведом.22'!G564</f>
        <v>125.18789000000001</v>
      </c>
      <c r="H119" s="9">
        <f>'Пр.4 ведом.22'!H564</f>
        <v>0</v>
      </c>
    </row>
    <row r="120" spans="1:8" ht="47.25" hidden="1" x14ac:dyDescent="0.25">
      <c r="A120" s="29" t="s">
        <v>185</v>
      </c>
      <c r="B120" s="346" t="s">
        <v>758</v>
      </c>
      <c r="C120" s="341" t="s">
        <v>174</v>
      </c>
      <c r="D120" s="341" t="s">
        <v>159</v>
      </c>
      <c r="E120" s="341" t="s">
        <v>126</v>
      </c>
      <c r="F120" s="341" t="s">
        <v>305</v>
      </c>
      <c r="G120" s="9">
        <f>G119</f>
        <v>125.18789000000001</v>
      </c>
      <c r="H120" s="9">
        <f>H119</f>
        <v>0</v>
      </c>
    </row>
    <row r="121" spans="1:8" ht="15.75" x14ac:dyDescent="0.25">
      <c r="A121" s="345" t="s">
        <v>177</v>
      </c>
      <c r="B121" s="346" t="s">
        <v>758</v>
      </c>
      <c r="C121" s="341" t="s">
        <v>174</v>
      </c>
      <c r="D121" s="341" t="s">
        <v>159</v>
      </c>
      <c r="E121" s="341" t="s">
        <v>178</v>
      </c>
      <c r="F121" s="341"/>
      <c r="G121" s="9">
        <f t="shared" si="16"/>
        <v>630</v>
      </c>
      <c r="H121" s="9">
        <f t="shared" si="16"/>
        <v>630</v>
      </c>
    </row>
    <row r="122" spans="1:8" ht="31.5" x14ac:dyDescent="0.25">
      <c r="A122" s="345" t="s">
        <v>216</v>
      </c>
      <c r="B122" s="346" t="s">
        <v>758</v>
      </c>
      <c r="C122" s="341" t="s">
        <v>174</v>
      </c>
      <c r="D122" s="341" t="s">
        <v>159</v>
      </c>
      <c r="E122" s="341" t="s">
        <v>217</v>
      </c>
      <c r="F122" s="341"/>
      <c r="G122" s="9">
        <f>'Пр.4.1 ведом.23-24 '!G510</f>
        <v>630</v>
      </c>
      <c r="H122" s="9">
        <f>'Пр.4.1 ведом.23-24 '!H510</f>
        <v>630</v>
      </c>
    </row>
    <row r="123" spans="1:8" ht="47.25" x14ac:dyDescent="0.25">
      <c r="A123" s="29" t="s">
        <v>185</v>
      </c>
      <c r="B123" s="346" t="s">
        <v>758</v>
      </c>
      <c r="C123" s="341" t="s">
        <v>174</v>
      </c>
      <c r="D123" s="341" t="s">
        <v>159</v>
      </c>
      <c r="E123" s="341" t="s">
        <v>217</v>
      </c>
      <c r="F123" s="341" t="s">
        <v>305</v>
      </c>
      <c r="G123" s="9">
        <f>G122</f>
        <v>630</v>
      </c>
      <c r="H123" s="9">
        <f>H122</f>
        <v>630</v>
      </c>
    </row>
    <row r="124" spans="1:8" ht="31.5" x14ac:dyDescent="0.25">
      <c r="A124" s="298" t="s">
        <v>894</v>
      </c>
      <c r="B124" s="299" t="s">
        <v>760</v>
      </c>
      <c r="C124" s="6"/>
      <c r="D124" s="6"/>
      <c r="E124" s="6"/>
      <c r="F124" s="6"/>
      <c r="G124" s="35">
        <f>G125</f>
        <v>257</v>
      </c>
      <c r="H124" s="35">
        <f>H125</f>
        <v>257</v>
      </c>
    </row>
    <row r="125" spans="1:8" ht="15.75" x14ac:dyDescent="0.25">
      <c r="A125" s="29" t="s">
        <v>173</v>
      </c>
      <c r="B125" s="341" t="s">
        <v>760</v>
      </c>
      <c r="C125" s="341" t="s">
        <v>174</v>
      </c>
      <c r="D125" s="341"/>
      <c r="E125" s="341"/>
      <c r="F125" s="341"/>
      <c r="G125" s="9">
        <f t="shared" ref="G125:H125" si="17">G126</f>
        <v>257</v>
      </c>
      <c r="H125" s="9">
        <f t="shared" si="17"/>
        <v>257</v>
      </c>
    </row>
    <row r="126" spans="1:8" ht="15.75" x14ac:dyDescent="0.25">
      <c r="A126" s="29" t="s">
        <v>181</v>
      </c>
      <c r="B126" s="341" t="s">
        <v>760</v>
      </c>
      <c r="C126" s="341" t="s">
        <v>174</v>
      </c>
      <c r="D126" s="341" t="s">
        <v>159</v>
      </c>
      <c r="E126" s="341"/>
      <c r="F126" s="341"/>
      <c r="G126" s="9">
        <f>G127</f>
        <v>257</v>
      </c>
      <c r="H126" s="9">
        <f>H127</f>
        <v>257</v>
      </c>
    </row>
    <row r="127" spans="1:8" ht="31.5" x14ac:dyDescent="0.25">
      <c r="A127" s="345" t="s">
        <v>759</v>
      </c>
      <c r="B127" s="346" t="s">
        <v>761</v>
      </c>
      <c r="C127" s="341" t="s">
        <v>174</v>
      </c>
      <c r="D127" s="341" t="s">
        <v>159</v>
      </c>
      <c r="E127" s="341"/>
      <c r="F127" s="341"/>
      <c r="G127" s="9">
        <f>G128+G131</f>
        <v>257</v>
      </c>
      <c r="H127" s="9">
        <f>H128+H131</f>
        <v>257</v>
      </c>
    </row>
    <row r="128" spans="1:8" ht="31.5" hidden="1" x14ac:dyDescent="0.25">
      <c r="A128" s="345" t="s">
        <v>123</v>
      </c>
      <c r="B128" s="346" t="s">
        <v>761</v>
      </c>
      <c r="C128" s="341" t="s">
        <v>174</v>
      </c>
      <c r="D128" s="341" t="s">
        <v>159</v>
      </c>
      <c r="E128" s="341" t="s">
        <v>124</v>
      </c>
      <c r="F128" s="341"/>
      <c r="G128" s="9">
        <f>G129</f>
        <v>0</v>
      </c>
      <c r="H128" s="9">
        <f>H129</f>
        <v>0</v>
      </c>
    </row>
    <row r="129" spans="1:8" ht="31.5" hidden="1" x14ac:dyDescent="0.25">
      <c r="A129" s="345" t="s">
        <v>125</v>
      </c>
      <c r="B129" s="346" t="s">
        <v>761</v>
      </c>
      <c r="C129" s="341" t="s">
        <v>174</v>
      </c>
      <c r="D129" s="341" t="s">
        <v>159</v>
      </c>
      <c r="E129" s="341" t="s">
        <v>126</v>
      </c>
      <c r="F129" s="341"/>
      <c r="G129" s="9">
        <f>'Пр.4 ведом.22'!G570</f>
        <v>0</v>
      </c>
      <c r="H129" s="9">
        <f>'Пр.4 ведом.22'!H570</f>
        <v>0</v>
      </c>
    </row>
    <row r="130" spans="1:8" ht="47.25" hidden="1" x14ac:dyDescent="0.25">
      <c r="A130" s="29" t="s">
        <v>185</v>
      </c>
      <c r="B130" s="346" t="s">
        <v>761</v>
      </c>
      <c r="C130" s="341" t="s">
        <v>174</v>
      </c>
      <c r="D130" s="341" t="s">
        <v>159</v>
      </c>
      <c r="E130" s="341" t="s">
        <v>126</v>
      </c>
      <c r="F130" s="341" t="s">
        <v>305</v>
      </c>
      <c r="G130" s="9">
        <f>G129</f>
        <v>0</v>
      </c>
      <c r="H130" s="9">
        <f>H129</f>
        <v>0</v>
      </c>
    </row>
    <row r="131" spans="1:8" ht="15.75" x14ac:dyDescent="0.25">
      <c r="A131" s="345" t="s">
        <v>177</v>
      </c>
      <c r="B131" s="346" t="s">
        <v>761</v>
      </c>
      <c r="C131" s="341" t="s">
        <v>174</v>
      </c>
      <c r="D131" s="341" t="s">
        <v>159</v>
      </c>
      <c r="E131" s="341" t="s">
        <v>178</v>
      </c>
      <c r="F131" s="341"/>
      <c r="G131" s="9">
        <f>G132</f>
        <v>257</v>
      </c>
      <c r="H131" s="9">
        <f>H132</f>
        <v>257</v>
      </c>
    </row>
    <row r="132" spans="1:8" ht="31.5" x14ac:dyDescent="0.25">
      <c r="A132" s="345" t="s">
        <v>216</v>
      </c>
      <c r="B132" s="346" t="s">
        <v>761</v>
      </c>
      <c r="C132" s="341" t="s">
        <v>174</v>
      </c>
      <c r="D132" s="341" t="s">
        <v>159</v>
      </c>
      <c r="E132" s="341" t="s">
        <v>217</v>
      </c>
      <c r="F132" s="341"/>
      <c r="G132" s="9">
        <f>'Пр.4.1 ведом.23-24 '!G516</f>
        <v>257</v>
      </c>
      <c r="H132" s="9">
        <f>'Пр.4.1 ведом.23-24 '!H516</f>
        <v>257</v>
      </c>
    </row>
    <row r="133" spans="1:8" ht="47.25" x14ac:dyDescent="0.25">
      <c r="A133" s="29" t="s">
        <v>185</v>
      </c>
      <c r="B133" s="346" t="s">
        <v>761</v>
      </c>
      <c r="C133" s="341" t="s">
        <v>174</v>
      </c>
      <c r="D133" s="341" t="s">
        <v>159</v>
      </c>
      <c r="E133" s="341" t="s">
        <v>217</v>
      </c>
      <c r="F133" s="341" t="s">
        <v>305</v>
      </c>
      <c r="G133" s="9">
        <f>G132</f>
        <v>257</v>
      </c>
      <c r="H133" s="9">
        <f>H132</f>
        <v>257</v>
      </c>
    </row>
    <row r="134" spans="1:8" ht="31.5" x14ac:dyDescent="0.25">
      <c r="A134" s="298" t="s">
        <v>558</v>
      </c>
      <c r="B134" s="299" t="s">
        <v>755</v>
      </c>
      <c r="C134" s="6"/>
      <c r="D134" s="6"/>
      <c r="E134" s="6"/>
      <c r="F134" s="6"/>
      <c r="G134" s="35">
        <f>G141+G135</f>
        <v>680</v>
      </c>
      <c r="H134" s="35">
        <f>H141+H135</f>
        <v>680</v>
      </c>
    </row>
    <row r="135" spans="1:8" ht="15.75" x14ac:dyDescent="0.25">
      <c r="A135" s="345" t="s">
        <v>202</v>
      </c>
      <c r="B135" s="346" t="s">
        <v>755</v>
      </c>
      <c r="C135" s="341" t="s">
        <v>203</v>
      </c>
      <c r="D135" s="341"/>
      <c r="E135" s="6"/>
      <c r="F135" s="6"/>
      <c r="G135" s="9">
        <f t="shared" ref="G135:H138" si="18">G136</f>
        <v>260</v>
      </c>
      <c r="H135" s="9">
        <f t="shared" si="18"/>
        <v>260</v>
      </c>
    </row>
    <row r="136" spans="1:8" ht="15.75" x14ac:dyDescent="0.25">
      <c r="A136" s="345" t="s">
        <v>208</v>
      </c>
      <c r="B136" s="346" t="s">
        <v>755</v>
      </c>
      <c r="C136" s="341" t="s">
        <v>203</v>
      </c>
      <c r="D136" s="341" t="s">
        <v>139</v>
      </c>
      <c r="E136" s="6"/>
      <c r="F136" s="6"/>
      <c r="G136" s="9">
        <f t="shared" si="18"/>
        <v>260</v>
      </c>
      <c r="H136" s="9">
        <f t="shared" si="18"/>
        <v>260</v>
      </c>
    </row>
    <row r="137" spans="1:8" ht="31.5" x14ac:dyDescent="0.25">
      <c r="A137" s="345" t="s">
        <v>557</v>
      </c>
      <c r="B137" s="346" t="s">
        <v>756</v>
      </c>
      <c r="C137" s="341" t="s">
        <v>203</v>
      </c>
      <c r="D137" s="341" t="s">
        <v>139</v>
      </c>
      <c r="E137" s="6"/>
      <c r="F137" s="6"/>
      <c r="G137" s="9">
        <f t="shared" si="18"/>
        <v>260</v>
      </c>
      <c r="H137" s="9">
        <f t="shared" si="18"/>
        <v>260</v>
      </c>
    </row>
    <row r="138" spans="1:8" ht="31.5" x14ac:dyDescent="0.25">
      <c r="A138" s="345" t="s">
        <v>123</v>
      </c>
      <c r="B138" s="346" t="s">
        <v>756</v>
      </c>
      <c r="C138" s="341" t="s">
        <v>203</v>
      </c>
      <c r="D138" s="341" t="s">
        <v>139</v>
      </c>
      <c r="E138" s="341" t="s">
        <v>124</v>
      </c>
      <c r="F138" s="341"/>
      <c r="G138" s="9">
        <f t="shared" si="18"/>
        <v>260</v>
      </c>
      <c r="H138" s="9">
        <f t="shared" si="18"/>
        <v>260</v>
      </c>
    </row>
    <row r="139" spans="1:8" ht="31.5" x14ac:dyDescent="0.25">
      <c r="A139" s="345" t="s">
        <v>125</v>
      </c>
      <c r="B139" s="346" t="s">
        <v>756</v>
      </c>
      <c r="C139" s="341" t="s">
        <v>203</v>
      </c>
      <c r="D139" s="341" t="s">
        <v>139</v>
      </c>
      <c r="E139" s="341" t="s">
        <v>126</v>
      </c>
      <c r="F139" s="341"/>
      <c r="G139" s="9">
        <f>'Пр.4.1 ведом.23-24 '!G490</f>
        <v>260</v>
      </c>
      <c r="H139" s="9">
        <f>'Пр.4.1 ведом.23-24 '!H490</f>
        <v>260</v>
      </c>
    </row>
    <row r="140" spans="1:8" ht="47.25" x14ac:dyDescent="0.25">
      <c r="A140" s="29" t="s">
        <v>185</v>
      </c>
      <c r="B140" s="346" t="s">
        <v>756</v>
      </c>
      <c r="C140" s="341" t="s">
        <v>203</v>
      </c>
      <c r="D140" s="341" t="s">
        <v>139</v>
      </c>
      <c r="E140" s="341" t="s">
        <v>126</v>
      </c>
      <c r="F140" s="341" t="s">
        <v>305</v>
      </c>
      <c r="G140" s="9">
        <f>G139</f>
        <v>260</v>
      </c>
      <c r="H140" s="9">
        <f>H139</f>
        <v>260</v>
      </c>
    </row>
    <row r="141" spans="1:8" ht="15.75" x14ac:dyDescent="0.25">
      <c r="A141" s="29" t="s">
        <v>173</v>
      </c>
      <c r="B141" s="346" t="s">
        <v>755</v>
      </c>
      <c r="C141" s="341" t="s">
        <v>174</v>
      </c>
      <c r="D141" s="341"/>
      <c r="E141" s="341"/>
      <c r="F141" s="341"/>
      <c r="G141" s="9">
        <f t="shared" ref="G141:H144" si="19">G142</f>
        <v>420</v>
      </c>
      <c r="H141" s="9">
        <f t="shared" si="19"/>
        <v>420</v>
      </c>
    </row>
    <row r="142" spans="1:8" ht="15.75" x14ac:dyDescent="0.25">
      <c r="A142" s="29" t="s">
        <v>181</v>
      </c>
      <c r="B142" s="346" t="s">
        <v>755</v>
      </c>
      <c r="C142" s="341" t="s">
        <v>174</v>
      </c>
      <c r="D142" s="341" t="s">
        <v>159</v>
      </c>
      <c r="E142" s="341"/>
      <c r="F142" s="341"/>
      <c r="G142" s="9">
        <f t="shared" si="19"/>
        <v>420</v>
      </c>
      <c r="H142" s="9">
        <f t="shared" si="19"/>
        <v>420</v>
      </c>
    </row>
    <row r="143" spans="1:8" ht="15.75" x14ac:dyDescent="0.25">
      <c r="A143" s="345" t="s">
        <v>596</v>
      </c>
      <c r="B143" s="346" t="s">
        <v>757</v>
      </c>
      <c r="C143" s="341" t="s">
        <v>174</v>
      </c>
      <c r="D143" s="341" t="s">
        <v>159</v>
      </c>
      <c r="E143" s="341"/>
      <c r="F143" s="341"/>
      <c r="G143" s="9">
        <f t="shared" si="19"/>
        <v>420</v>
      </c>
      <c r="H143" s="9">
        <f t="shared" si="19"/>
        <v>420</v>
      </c>
    </row>
    <row r="144" spans="1:8" ht="15.75" x14ac:dyDescent="0.25">
      <c r="A144" s="345" t="s">
        <v>177</v>
      </c>
      <c r="B144" s="346" t="s">
        <v>757</v>
      </c>
      <c r="C144" s="341" t="s">
        <v>174</v>
      </c>
      <c r="D144" s="341" t="s">
        <v>159</v>
      </c>
      <c r="E144" s="341" t="s">
        <v>178</v>
      </c>
      <c r="F144" s="341"/>
      <c r="G144" s="9">
        <f t="shared" si="19"/>
        <v>420</v>
      </c>
      <c r="H144" s="9">
        <f t="shared" si="19"/>
        <v>420</v>
      </c>
    </row>
    <row r="145" spans="1:11" ht="31.5" x14ac:dyDescent="0.25">
      <c r="A145" s="345" t="s">
        <v>216</v>
      </c>
      <c r="B145" s="346" t="s">
        <v>757</v>
      </c>
      <c r="C145" s="341" t="s">
        <v>174</v>
      </c>
      <c r="D145" s="341" t="s">
        <v>159</v>
      </c>
      <c r="E145" s="341" t="s">
        <v>217</v>
      </c>
      <c r="F145" s="341"/>
      <c r="G145" s="9">
        <f>'Пр.4.1 ведом.23-24 '!G520</f>
        <v>420</v>
      </c>
      <c r="H145" s="9">
        <f>'Пр.4.1 ведом.23-24 '!H520</f>
        <v>420</v>
      </c>
    </row>
    <row r="146" spans="1:11" ht="47.25" x14ac:dyDescent="0.25">
      <c r="A146" s="29" t="s">
        <v>185</v>
      </c>
      <c r="B146" s="346" t="s">
        <v>757</v>
      </c>
      <c r="C146" s="341" t="s">
        <v>174</v>
      </c>
      <c r="D146" s="341" t="s">
        <v>159</v>
      </c>
      <c r="E146" s="341" t="s">
        <v>217</v>
      </c>
      <c r="F146" s="341" t="s">
        <v>305</v>
      </c>
      <c r="G146" s="9">
        <f>G145</f>
        <v>420</v>
      </c>
      <c r="H146" s="9">
        <f>H145</f>
        <v>420</v>
      </c>
    </row>
    <row r="147" spans="1:11" ht="31.5" x14ac:dyDescent="0.25">
      <c r="A147" s="34" t="s">
        <v>861</v>
      </c>
      <c r="B147" s="6" t="s">
        <v>237</v>
      </c>
      <c r="C147" s="6"/>
      <c r="D147" s="6"/>
      <c r="E147" s="6"/>
      <c r="F147" s="6"/>
      <c r="G147" s="35">
        <f>G148+G169+G206+G239+G246+G275+G287+G294+G348+G301+G308+G315+G327+G334+G341</f>
        <v>340514.31</v>
      </c>
      <c r="H147" s="35">
        <f>H148+H169+H206+H239+H246+H275+H287+H294+H348+H301+H308+H315+H327+H334+H341</f>
        <v>296462.00999999995</v>
      </c>
      <c r="I147" s="15">
        <f>H147-G147</f>
        <v>-44052.300000000047</v>
      </c>
      <c r="K147" s="151"/>
    </row>
    <row r="148" spans="1:11" ht="31.5" x14ac:dyDescent="0.25">
      <c r="A148" s="298" t="s">
        <v>505</v>
      </c>
      <c r="B148" s="299" t="s">
        <v>764</v>
      </c>
      <c r="C148" s="6"/>
      <c r="D148" s="6"/>
      <c r="E148" s="6"/>
      <c r="F148" s="6"/>
      <c r="G148" s="35">
        <f>G149+G156+G161+G165</f>
        <v>85885.6</v>
      </c>
      <c r="H148" s="35">
        <f>H149+H156+H161+H165</f>
        <v>85885.6</v>
      </c>
    </row>
    <row r="149" spans="1:11" ht="15.75" x14ac:dyDescent="0.25">
      <c r="A149" s="20" t="s">
        <v>186</v>
      </c>
      <c r="B149" s="341" t="s">
        <v>764</v>
      </c>
      <c r="C149" s="341" t="s">
        <v>187</v>
      </c>
      <c r="D149" s="341"/>
      <c r="E149" s="341"/>
      <c r="F149" s="341"/>
      <c r="G149" s="9">
        <f>G150</f>
        <v>16777.2</v>
      </c>
      <c r="H149" s="9">
        <f>H150</f>
        <v>16777.2</v>
      </c>
    </row>
    <row r="150" spans="1:11" ht="15.75" x14ac:dyDescent="0.25">
      <c r="A150" s="29" t="s">
        <v>236</v>
      </c>
      <c r="B150" s="341" t="s">
        <v>764</v>
      </c>
      <c r="C150" s="341" t="s">
        <v>187</v>
      </c>
      <c r="D150" s="341" t="s">
        <v>116</v>
      </c>
      <c r="E150" s="341"/>
      <c r="F150" s="341"/>
      <c r="G150" s="9">
        <f>G151</f>
        <v>16777.2</v>
      </c>
      <c r="H150" s="9">
        <f>H151</f>
        <v>16777.2</v>
      </c>
    </row>
    <row r="151" spans="1:11" ht="31.5" x14ac:dyDescent="0.25">
      <c r="A151" s="345" t="s">
        <v>763</v>
      </c>
      <c r="B151" s="346" t="s">
        <v>765</v>
      </c>
      <c r="C151" s="341" t="s">
        <v>187</v>
      </c>
      <c r="D151" s="341" t="s">
        <v>116</v>
      </c>
      <c r="E151" s="341"/>
      <c r="F151" s="341"/>
      <c r="G151" s="9">
        <f t="shared" ref="G151:H152" si="20">G152</f>
        <v>16777.2</v>
      </c>
      <c r="H151" s="9">
        <f t="shared" si="20"/>
        <v>16777.2</v>
      </c>
    </row>
    <row r="152" spans="1:11" ht="31.5" x14ac:dyDescent="0.25">
      <c r="A152" s="345" t="s">
        <v>191</v>
      </c>
      <c r="B152" s="346" t="s">
        <v>765</v>
      </c>
      <c r="C152" s="341" t="s">
        <v>187</v>
      </c>
      <c r="D152" s="341" t="s">
        <v>116</v>
      </c>
      <c r="E152" s="341" t="s">
        <v>192</v>
      </c>
      <c r="F152" s="341"/>
      <c r="G152" s="9">
        <f t="shared" si="20"/>
        <v>16777.2</v>
      </c>
      <c r="H152" s="9">
        <f t="shared" si="20"/>
        <v>16777.2</v>
      </c>
    </row>
    <row r="153" spans="1:11" ht="15.75" x14ac:dyDescent="0.25">
      <c r="A153" s="345" t="s">
        <v>193</v>
      </c>
      <c r="B153" s="346" t="s">
        <v>765</v>
      </c>
      <c r="C153" s="341" t="s">
        <v>187</v>
      </c>
      <c r="D153" s="341" t="s">
        <v>116</v>
      </c>
      <c r="E153" s="341" t="s">
        <v>194</v>
      </c>
      <c r="F153" s="341"/>
      <c r="G153" s="295">
        <f>'Пр.4.1 ведом.23-24 '!G622</f>
        <v>16777.2</v>
      </c>
      <c r="H153" s="295">
        <f>'Пр.4.1 ведом.23-24 '!H622</f>
        <v>16777.2</v>
      </c>
    </row>
    <row r="154" spans="1:11" ht="31.5" x14ac:dyDescent="0.25">
      <c r="A154" s="20" t="s">
        <v>235</v>
      </c>
      <c r="B154" s="346" t="s">
        <v>765</v>
      </c>
      <c r="C154" s="341" t="s">
        <v>187</v>
      </c>
      <c r="D154" s="341" t="s">
        <v>116</v>
      </c>
      <c r="E154" s="341" t="s">
        <v>194</v>
      </c>
      <c r="F154" s="341" t="s">
        <v>307</v>
      </c>
      <c r="G154" s="9">
        <f>G153</f>
        <v>16777.2</v>
      </c>
      <c r="H154" s="9">
        <f>H153</f>
        <v>16777.2</v>
      </c>
    </row>
    <row r="155" spans="1:11" ht="15.75" x14ac:dyDescent="0.25">
      <c r="A155" s="20" t="s">
        <v>239</v>
      </c>
      <c r="B155" s="341" t="s">
        <v>764</v>
      </c>
      <c r="C155" s="341" t="s">
        <v>187</v>
      </c>
      <c r="D155" s="341" t="s">
        <v>158</v>
      </c>
      <c r="E155" s="341"/>
      <c r="F155" s="341"/>
      <c r="G155" s="9">
        <f t="shared" ref="G155:H157" si="21">G156</f>
        <v>30618.400000000001</v>
      </c>
      <c r="H155" s="9">
        <f t="shared" si="21"/>
        <v>30618.400000000001</v>
      </c>
    </row>
    <row r="156" spans="1:11" ht="31.5" x14ac:dyDescent="0.25">
      <c r="A156" s="345" t="s">
        <v>240</v>
      </c>
      <c r="B156" s="346" t="s">
        <v>778</v>
      </c>
      <c r="C156" s="341" t="s">
        <v>187</v>
      </c>
      <c r="D156" s="341" t="s">
        <v>158</v>
      </c>
      <c r="E156" s="341"/>
      <c r="F156" s="341"/>
      <c r="G156" s="295">
        <f t="shared" si="21"/>
        <v>30618.400000000001</v>
      </c>
      <c r="H156" s="295">
        <f t="shared" si="21"/>
        <v>30618.400000000001</v>
      </c>
    </row>
    <row r="157" spans="1:11" ht="31.5" x14ac:dyDescent="0.25">
      <c r="A157" s="345" t="s">
        <v>191</v>
      </c>
      <c r="B157" s="346" t="s">
        <v>778</v>
      </c>
      <c r="C157" s="341" t="s">
        <v>187</v>
      </c>
      <c r="D157" s="341" t="s">
        <v>158</v>
      </c>
      <c r="E157" s="341" t="s">
        <v>192</v>
      </c>
      <c r="F157" s="341"/>
      <c r="G157" s="295">
        <f t="shared" si="21"/>
        <v>30618.400000000001</v>
      </c>
      <c r="H157" s="295">
        <f t="shared" si="21"/>
        <v>30618.400000000001</v>
      </c>
    </row>
    <row r="158" spans="1:11" ht="15.75" x14ac:dyDescent="0.25">
      <c r="A158" s="345" t="s">
        <v>193</v>
      </c>
      <c r="B158" s="346" t="s">
        <v>778</v>
      </c>
      <c r="C158" s="341" t="s">
        <v>187</v>
      </c>
      <c r="D158" s="341" t="s">
        <v>158</v>
      </c>
      <c r="E158" s="341" t="s">
        <v>194</v>
      </c>
      <c r="F158" s="341"/>
      <c r="G158" s="295">
        <f>'Пр.4.1 ведом.23-24 '!G684</f>
        <v>30618.400000000001</v>
      </c>
      <c r="H158" s="295">
        <f>'Пр.4.1 ведом.23-24 '!H684</f>
        <v>30618.400000000001</v>
      </c>
    </row>
    <row r="159" spans="1:11" ht="31.5" x14ac:dyDescent="0.25">
      <c r="A159" s="20" t="s">
        <v>235</v>
      </c>
      <c r="B159" s="346" t="s">
        <v>778</v>
      </c>
      <c r="C159" s="341" t="s">
        <v>187</v>
      </c>
      <c r="D159" s="341" t="s">
        <v>158</v>
      </c>
      <c r="E159" s="341" t="s">
        <v>194</v>
      </c>
      <c r="F159" s="341" t="s">
        <v>307</v>
      </c>
      <c r="G159" s="9">
        <f>G158</f>
        <v>30618.400000000001</v>
      </c>
      <c r="H159" s="9">
        <f>H158</f>
        <v>30618.400000000001</v>
      </c>
    </row>
    <row r="160" spans="1:11" ht="15.75" x14ac:dyDescent="0.25">
      <c r="A160" s="20" t="s">
        <v>188</v>
      </c>
      <c r="B160" s="341" t="s">
        <v>764</v>
      </c>
      <c r="C160" s="341" t="s">
        <v>187</v>
      </c>
      <c r="D160" s="341" t="s">
        <v>159</v>
      </c>
      <c r="E160" s="341"/>
      <c r="F160" s="341"/>
      <c r="G160" s="295">
        <f>G161+G165</f>
        <v>38490</v>
      </c>
      <c r="H160" s="295">
        <f>H161+H165</f>
        <v>38490</v>
      </c>
    </row>
    <row r="161" spans="1:10" ht="47.25" x14ac:dyDescent="0.25">
      <c r="A161" s="20" t="s">
        <v>190</v>
      </c>
      <c r="B161" s="346" t="s">
        <v>786</v>
      </c>
      <c r="C161" s="341" t="s">
        <v>187</v>
      </c>
      <c r="D161" s="341" t="s">
        <v>159</v>
      </c>
      <c r="E161" s="6"/>
      <c r="F161" s="6"/>
      <c r="G161" s="9">
        <f t="shared" ref="G161:H162" si="22">G162</f>
        <v>38490</v>
      </c>
      <c r="H161" s="9">
        <f t="shared" si="22"/>
        <v>38490</v>
      </c>
    </row>
    <row r="162" spans="1:10" ht="31.5" x14ac:dyDescent="0.25">
      <c r="A162" s="20" t="s">
        <v>191</v>
      </c>
      <c r="B162" s="346" t="s">
        <v>786</v>
      </c>
      <c r="C162" s="341" t="s">
        <v>187</v>
      </c>
      <c r="D162" s="341" t="s">
        <v>159</v>
      </c>
      <c r="E162" s="341" t="s">
        <v>192</v>
      </c>
      <c r="F162" s="341"/>
      <c r="G162" s="9">
        <f t="shared" si="22"/>
        <v>38490</v>
      </c>
      <c r="H162" s="9">
        <f t="shared" si="22"/>
        <v>38490</v>
      </c>
    </row>
    <row r="163" spans="1:10" ht="15.75" x14ac:dyDescent="0.25">
      <c r="A163" s="20" t="s">
        <v>193</v>
      </c>
      <c r="B163" s="346" t="s">
        <v>786</v>
      </c>
      <c r="C163" s="341" t="s">
        <v>187</v>
      </c>
      <c r="D163" s="341" t="s">
        <v>159</v>
      </c>
      <c r="E163" s="341" t="s">
        <v>194</v>
      </c>
      <c r="F163" s="341"/>
      <c r="G163" s="295">
        <f>'Пр.4.1 ведом.23-24 '!G773</f>
        <v>38490</v>
      </c>
      <c r="H163" s="295">
        <f>'Пр.4.1 ведом.23-24 '!H773</f>
        <v>38490</v>
      </c>
    </row>
    <row r="164" spans="1:10" ht="31.5" x14ac:dyDescent="0.25">
      <c r="A164" s="20" t="s">
        <v>235</v>
      </c>
      <c r="B164" s="346" t="s">
        <v>786</v>
      </c>
      <c r="C164" s="341" t="s">
        <v>187</v>
      </c>
      <c r="D164" s="341" t="s">
        <v>159</v>
      </c>
      <c r="E164" s="341" t="s">
        <v>194</v>
      </c>
      <c r="F164" s="341" t="s">
        <v>307</v>
      </c>
      <c r="G164" s="9">
        <f>G163</f>
        <v>38490</v>
      </c>
      <c r="H164" s="9">
        <f>H163</f>
        <v>38490</v>
      </c>
    </row>
    <row r="165" spans="1:10" ht="31.5" hidden="1" x14ac:dyDescent="0.25">
      <c r="A165" s="22" t="s">
        <v>974</v>
      </c>
      <c r="B165" s="346" t="s">
        <v>973</v>
      </c>
      <c r="C165" s="346" t="s">
        <v>187</v>
      </c>
      <c r="D165" s="346" t="s">
        <v>159</v>
      </c>
      <c r="E165" s="346"/>
      <c r="F165" s="341"/>
      <c r="G165" s="9">
        <f>G166</f>
        <v>0</v>
      </c>
      <c r="H165" s="9">
        <f>H166</f>
        <v>0</v>
      </c>
    </row>
    <row r="166" spans="1:10" ht="31.5" hidden="1" x14ac:dyDescent="0.25">
      <c r="A166" s="345" t="s">
        <v>191</v>
      </c>
      <c r="B166" s="346" t="s">
        <v>973</v>
      </c>
      <c r="C166" s="346" t="s">
        <v>187</v>
      </c>
      <c r="D166" s="346" t="s">
        <v>159</v>
      </c>
      <c r="E166" s="346" t="s">
        <v>192</v>
      </c>
      <c r="F166" s="341"/>
      <c r="G166" s="9">
        <f>G167</f>
        <v>0</v>
      </c>
      <c r="H166" s="9">
        <f>H167</f>
        <v>0</v>
      </c>
    </row>
    <row r="167" spans="1:10" ht="15.75" hidden="1" x14ac:dyDescent="0.25">
      <c r="A167" s="22" t="s">
        <v>193</v>
      </c>
      <c r="B167" s="346" t="s">
        <v>973</v>
      </c>
      <c r="C167" s="346" t="s">
        <v>187</v>
      </c>
      <c r="D167" s="346" t="s">
        <v>159</v>
      </c>
      <c r="E167" s="346" t="s">
        <v>194</v>
      </c>
      <c r="F167" s="341"/>
      <c r="G167" s="9">
        <f>'Пр.4 ведом.22'!G853</f>
        <v>0</v>
      </c>
      <c r="H167" s="9">
        <f>'Пр.4 ведом.22'!H853</f>
        <v>0</v>
      </c>
    </row>
    <row r="168" spans="1:10" ht="31.5" hidden="1" x14ac:dyDescent="0.25">
      <c r="A168" s="108" t="s">
        <v>235</v>
      </c>
      <c r="B168" s="346" t="s">
        <v>973</v>
      </c>
      <c r="C168" s="346" t="s">
        <v>187</v>
      </c>
      <c r="D168" s="346" t="s">
        <v>159</v>
      </c>
      <c r="E168" s="346" t="s">
        <v>194</v>
      </c>
      <c r="F168" s="341" t="s">
        <v>307</v>
      </c>
      <c r="G168" s="9">
        <f>G165</f>
        <v>0</v>
      </c>
      <c r="H168" s="9">
        <f>H165</f>
        <v>0</v>
      </c>
    </row>
    <row r="169" spans="1:10" ht="47.25" x14ac:dyDescent="0.25">
      <c r="A169" s="298" t="s">
        <v>469</v>
      </c>
      <c r="B169" s="299" t="s">
        <v>766</v>
      </c>
      <c r="C169" s="6"/>
      <c r="D169" s="6"/>
      <c r="E169" s="6"/>
      <c r="F169" s="6"/>
      <c r="G169" s="294">
        <f>G170</f>
        <v>220650.92</v>
      </c>
      <c r="H169" s="294">
        <f>H170</f>
        <v>178608.92</v>
      </c>
    </row>
    <row r="170" spans="1:10" ht="15.75" x14ac:dyDescent="0.25">
      <c r="A170" s="20" t="s">
        <v>186</v>
      </c>
      <c r="B170" s="341" t="s">
        <v>766</v>
      </c>
      <c r="C170" s="341" t="s">
        <v>187</v>
      </c>
      <c r="D170" s="341"/>
      <c r="E170" s="341"/>
      <c r="F170" s="341"/>
      <c r="G170" s="9">
        <f>G171+G180+G197</f>
        <v>220650.92</v>
      </c>
      <c r="H170" s="9">
        <f>H171+H180+H197</f>
        <v>178608.92</v>
      </c>
    </row>
    <row r="171" spans="1:10" ht="15.75" x14ac:dyDescent="0.25">
      <c r="A171" s="29" t="s">
        <v>236</v>
      </c>
      <c r="B171" s="341" t="s">
        <v>766</v>
      </c>
      <c r="C171" s="341" t="s">
        <v>187</v>
      </c>
      <c r="D171" s="341" t="s">
        <v>116</v>
      </c>
      <c r="E171" s="341"/>
      <c r="F171" s="341"/>
      <c r="G171" s="9">
        <f>G172+G176</f>
        <v>63608.810000000005</v>
      </c>
      <c r="H171" s="9">
        <f>H172+H176</f>
        <v>57657.810000000005</v>
      </c>
    </row>
    <row r="172" spans="1:10" ht="94.5" x14ac:dyDescent="0.25">
      <c r="A172" s="22" t="s">
        <v>200</v>
      </c>
      <c r="B172" s="346" t="s">
        <v>885</v>
      </c>
      <c r="C172" s="341" t="s">
        <v>187</v>
      </c>
      <c r="D172" s="341" t="s">
        <v>116</v>
      </c>
      <c r="E172" s="341"/>
      <c r="F172" s="341"/>
      <c r="G172" s="295">
        <f>G173</f>
        <v>3430</v>
      </c>
      <c r="H172" s="295">
        <f>H173</f>
        <v>3430</v>
      </c>
      <c r="J172" s="151"/>
    </row>
    <row r="173" spans="1:10" ht="31.5" x14ac:dyDescent="0.25">
      <c r="A173" s="345" t="s">
        <v>191</v>
      </c>
      <c r="B173" s="346" t="s">
        <v>885</v>
      </c>
      <c r="C173" s="341" t="s">
        <v>187</v>
      </c>
      <c r="D173" s="341" t="s">
        <v>116</v>
      </c>
      <c r="E173" s="341" t="s">
        <v>192</v>
      </c>
      <c r="F173" s="341"/>
      <c r="G173" s="295">
        <f>G174</f>
        <v>3430</v>
      </c>
      <c r="H173" s="295">
        <f>H174</f>
        <v>3430</v>
      </c>
    </row>
    <row r="174" spans="1:10" ht="15.75" x14ac:dyDescent="0.25">
      <c r="A174" s="345" t="s">
        <v>193</v>
      </c>
      <c r="B174" s="346" t="s">
        <v>885</v>
      </c>
      <c r="C174" s="341" t="s">
        <v>187</v>
      </c>
      <c r="D174" s="341" t="s">
        <v>116</v>
      </c>
      <c r="E174" s="341" t="s">
        <v>194</v>
      </c>
      <c r="F174" s="341"/>
      <c r="G174" s="295">
        <f>'Пр.4.1 ведом.23-24 '!G626</f>
        <v>3430</v>
      </c>
      <c r="H174" s="295">
        <f>'Пр.4.1 ведом.23-24 '!H626</f>
        <v>3430</v>
      </c>
    </row>
    <row r="175" spans="1:10" ht="31.5" x14ac:dyDescent="0.25">
      <c r="A175" s="20" t="s">
        <v>235</v>
      </c>
      <c r="B175" s="346" t="s">
        <v>885</v>
      </c>
      <c r="C175" s="341" t="s">
        <v>187</v>
      </c>
      <c r="D175" s="341" t="s">
        <v>116</v>
      </c>
      <c r="E175" s="341" t="s">
        <v>194</v>
      </c>
      <c r="F175" s="341" t="s">
        <v>307</v>
      </c>
      <c r="G175" s="9">
        <f>G174</f>
        <v>3430</v>
      </c>
      <c r="H175" s="9">
        <f>H174</f>
        <v>3430</v>
      </c>
    </row>
    <row r="176" spans="1:10" ht="47.25" x14ac:dyDescent="0.25">
      <c r="A176" s="391" t="s">
        <v>1165</v>
      </c>
      <c r="B176" s="346" t="s">
        <v>1166</v>
      </c>
      <c r="C176" s="341" t="s">
        <v>187</v>
      </c>
      <c r="D176" s="341" t="s">
        <v>116</v>
      </c>
      <c r="E176" s="341"/>
      <c r="F176" s="341"/>
      <c r="G176" s="295">
        <f>G177</f>
        <v>60178.810000000005</v>
      </c>
      <c r="H176" s="295">
        <f>H177</f>
        <v>54227.810000000005</v>
      </c>
      <c r="J176" s="151"/>
    </row>
    <row r="177" spans="1:10" ht="31.5" x14ac:dyDescent="0.25">
      <c r="A177" s="345" t="s">
        <v>191</v>
      </c>
      <c r="B177" s="346" t="s">
        <v>1166</v>
      </c>
      <c r="C177" s="341" t="s">
        <v>187</v>
      </c>
      <c r="D177" s="341" t="s">
        <v>116</v>
      </c>
      <c r="E177" s="341" t="s">
        <v>192</v>
      </c>
      <c r="F177" s="341"/>
      <c r="G177" s="295">
        <f>G178</f>
        <v>60178.810000000005</v>
      </c>
      <c r="H177" s="295">
        <f>H178</f>
        <v>54227.810000000005</v>
      </c>
      <c r="J177" s="151"/>
    </row>
    <row r="178" spans="1:10" ht="15.75" x14ac:dyDescent="0.25">
      <c r="A178" s="345" t="s">
        <v>193</v>
      </c>
      <c r="B178" s="346" t="s">
        <v>1166</v>
      </c>
      <c r="C178" s="341" t="s">
        <v>187</v>
      </c>
      <c r="D178" s="341" t="s">
        <v>116</v>
      </c>
      <c r="E178" s="341" t="s">
        <v>194</v>
      </c>
      <c r="F178" s="341"/>
      <c r="G178" s="295">
        <f>'Пр.4.1 ведом.23-24 '!G629</f>
        <v>60178.810000000005</v>
      </c>
      <c r="H178" s="295">
        <f>'Пр.4.1 ведом.23-24 '!H629</f>
        <v>54227.810000000005</v>
      </c>
    </row>
    <row r="179" spans="1:10" ht="31.5" x14ac:dyDescent="0.25">
      <c r="A179" s="20" t="s">
        <v>235</v>
      </c>
      <c r="B179" s="346" t="s">
        <v>1166</v>
      </c>
      <c r="C179" s="341" t="s">
        <v>187</v>
      </c>
      <c r="D179" s="341" t="s">
        <v>116</v>
      </c>
      <c r="E179" s="341" t="s">
        <v>194</v>
      </c>
      <c r="F179" s="341" t="s">
        <v>307</v>
      </c>
      <c r="G179" s="9">
        <f>G178</f>
        <v>60178.810000000005</v>
      </c>
      <c r="H179" s="9">
        <f>H178</f>
        <v>54227.810000000005</v>
      </c>
    </row>
    <row r="180" spans="1:10" ht="15.75" x14ac:dyDescent="0.25">
      <c r="A180" s="20" t="s">
        <v>239</v>
      </c>
      <c r="B180" s="341" t="s">
        <v>766</v>
      </c>
      <c r="C180" s="341" t="s">
        <v>187</v>
      </c>
      <c r="D180" s="341" t="s">
        <v>158</v>
      </c>
      <c r="E180" s="341"/>
      <c r="F180" s="341"/>
      <c r="G180" s="9">
        <f>G181+G185+G189+G193</f>
        <v>154802.51</v>
      </c>
      <c r="H180" s="9">
        <f>H181+H185+H189+H193</f>
        <v>118711.51</v>
      </c>
    </row>
    <row r="181" spans="1:10" ht="63" x14ac:dyDescent="0.25">
      <c r="A181" s="345" t="s">
        <v>887</v>
      </c>
      <c r="B181" s="346" t="s">
        <v>888</v>
      </c>
      <c r="C181" s="341" t="s">
        <v>187</v>
      </c>
      <c r="D181" s="341" t="s">
        <v>158</v>
      </c>
      <c r="E181" s="341"/>
      <c r="F181" s="341"/>
      <c r="G181" s="9">
        <f>G182</f>
        <v>7421.4</v>
      </c>
      <c r="H181" s="9">
        <f>H182</f>
        <v>7421.4</v>
      </c>
    </row>
    <row r="182" spans="1:10" ht="31.5" x14ac:dyDescent="0.25">
      <c r="A182" s="345" t="s">
        <v>191</v>
      </c>
      <c r="B182" s="346" t="s">
        <v>888</v>
      </c>
      <c r="C182" s="341" t="s">
        <v>187</v>
      </c>
      <c r="D182" s="341" t="s">
        <v>158</v>
      </c>
      <c r="E182" s="341" t="s">
        <v>192</v>
      </c>
      <c r="F182" s="341"/>
      <c r="G182" s="9">
        <f>G183</f>
        <v>7421.4</v>
      </c>
      <c r="H182" s="9">
        <f>H183</f>
        <v>7421.4</v>
      </c>
    </row>
    <row r="183" spans="1:10" ht="15.75" x14ac:dyDescent="0.25">
      <c r="A183" s="345" t="s">
        <v>193</v>
      </c>
      <c r="B183" s="346" t="s">
        <v>888</v>
      </c>
      <c r="C183" s="341" t="s">
        <v>187</v>
      </c>
      <c r="D183" s="341" t="s">
        <v>158</v>
      </c>
      <c r="E183" s="341" t="s">
        <v>194</v>
      </c>
      <c r="F183" s="341"/>
      <c r="G183" s="9">
        <f>'Пр.4.1 ведом.23-24 '!G688</f>
        <v>7421.4</v>
      </c>
      <c r="H183" s="9">
        <f>'Пр.4.1 ведом.23-24 '!H688</f>
        <v>7421.4</v>
      </c>
    </row>
    <row r="184" spans="1:10" ht="31.5" x14ac:dyDescent="0.25">
      <c r="A184" s="29" t="s">
        <v>235</v>
      </c>
      <c r="B184" s="346" t="s">
        <v>888</v>
      </c>
      <c r="C184" s="341" t="s">
        <v>187</v>
      </c>
      <c r="D184" s="341" t="s">
        <v>158</v>
      </c>
      <c r="E184" s="341" t="s">
        <v>194</v>
      </c>
      <c r="F184" s="341" t="s">
        <v>307</v>
      </c>
      <c r="G184" s="9">
        <f>G181</f>
        <v>7421.4</v>
      </c>
      <c r="H184" s="9">
        <f>H181</f>
        <v>7421.4</v>
      </c>
    </row>
    <row r="185" spans="1:10" ht="94.5" x14ac:dyDescent="0.25">
      <c r="A185" s="22" t="s">
        <v>245</v>
      </c>
      <c r="B185" s="346" t="s">
        <v>885</v>
      </c>
      <c r="C185" s="341" t="s">
        <v>187</v>
      </c>
      <c r="D185" s="341" t="s">
        <v>158</v>
      </c>
      <c r="E185" s="341"/>
      <c r="F185" s="341"/>
      <c r="G185" s="295">
        <f>G186</f>
        <v>5001</v>
      </c>
      <c r="H185" s="295">
        <f>H186</f>
        <v>5001</v>
      </c>
    </row>
    <row r="186" spans="1:10" ht="31.5" x14ac:dyDescent="0.25">
      <c r="A186" s="345" t="s">
        <v>191</v>
      </c>
      <c r="B186" s="346" t="s">
        <v>885</v>
      </c>
      <c r="C186" s="341" t="s">
        <v>187</v>
      </c>
      <c r="D186" s="341" t="s">
        <v>158</v>
      </c>
      <c r="E186" s="341" t="s">
        <v>192</v>
      </c>
      <c r="F186" s="341"/>
      <c r="G186" s="295">
        <f>G187</f>
        <v>5001</v>
      </c>
      <c r="H186" s="295">
        <f>H187</f>
        <v>5001</v>
      </c>
    </row>
    <row r="187" spans="1:10" ht="15.75" x14ac:dyDescent="0.25">
      <c r="A187" s="345" t="s">
        <v>193</v>
      </c>
      <c r="B187" s="346" t="s">
        <v>885</v>
      </c>
      <c r="C187" s="341" t="s">
        <v>187</v>
      </c>
      <c r="D187" s="341" t="s">
        <v>158</v>
      </c>
      <c r="E187" s="341" t="s">
        <v>194</v>
      </c>
      <c r="F187" s="341"/>
      <c r="G187" s="295">
        <f>'Пр.4.1 ведом.23-24 '!G691</f>
        <v>5001</v>
      </c>
      <c r="H187" s="295">
        <f>'Пр.4.1 ведом.23-24 '!H691</f>
        <v>5001</v>
      </c>
    </row>
    <row r="188" spans="1:10" ht="31.5" x14ac:dyDescent="0.25">
      <c r="A188" s="20" t="s">
        <v>235</v>
      </c>
      <c r="B188" s="346" t="s">
        <v>885</v>
      </c>
      <c r="C188" s="341" t="s">
        <v>187</v>
      </c>
      <c r="D188" s="341" t="s">
        <v>158</v>
      </c>
      <c r="E188" s="341" t="s">
        <v>194</v>
      </c>
      <c r="F188" s="341" t="s">
        <v>307</v>
      </c>
      <c r="G188" s="9">
        <f>G187</f>
        <v>5001</v>
      </c>
      <c r="H188" s="9">
        <f>H187</f>
        <v>5001</v>
      </c>
    </row>
    <row r="189" spans="1:10" ht="47.25" x14ac:dyDescent="0.25">
      <c r="A189" s="22" t="s">
        <v>244</v>
      </c>
      <c r="B189" s="346" t="s">
        <v>779</v>
      </c>
      <c r="C189" s="341" t="s">
        <v>187</v>
      </c>
      <c r="D189" s="341" t="s">
        <v>158</v>
      </c>
      <c r="E189" s="341"/>
      <c r="F189" s="341"/>
      <c r="G189" s="295">
        <f>G190</f>
        <v>909.3</v>
      </c>
      <c r="H189" s="295">
        <f>H190</f>
        <v>909.3</v>
      </c>
    </row>
    <row r="190" spans="1:10" ht="31.5" x14ac:dyDescent="0.25">
      <c r="A190" s="345" t="s">
        <v>191</v>
      </c>
      <c r="B190" s="346" t="s">
        <v>779</v>
      </c>
      <c r="C190" s="341" t="s">
        <v>187</v>
      </c>
      <c r="D190" s="341" t="s">
        <v>158</v>
      </c>
      <c r="E190" s="341" t="s">
        <v>192</v>
      </c>
      <c r="F190" s="341"/>
      <c r="G190" s="295">
        <f>G191</f>
        <v>909.3</v>
      </c>
      <c r="H190" s="295">
        <f>H191</f>
        <v>909.3</v>
      </c>
    </row>
    <row r="191" spans="1:10" ht="15.75" x14ac:dyDescent="0.25">
      <c r="A191" s="345" t="s">
        <v>193</v>
      </c>
      <c r="B191" s="346" t="s">
        <v>779</v>
      </c>
      <c r="C191" s="341" t="s">
        <v>187</v>
      </c>
      <c r="D191" s="341" t="s">
        <v>158</v>
      </c>
      <c r="E191" s="341" t="s">
        <v>194</v>
      </c>
      <c r="F191" s="341"/>
      <c r="G191" s="295">
        <f>'Пр.4.1 ведом.23-24 '!G694</f>
        <v>909.3</v>
      </c>
      <c r="H191" s="295">
        <f>'Пр.4.1 ведом.23-24 '!H694</f>
        <v>909.3</v>
      </c>
    </row>
    <row r="192" spans="1:10" ht="31.5" x14ac:dyDescent="0.25">
      <c r="A192" s="20" t="s">
        <v>235</v>
      </c>
      <c r="B192" s="346" t="s">
        <v>779</v>
      </c>
      <c r="C192" s="341" t="s">
        <v>187</v>
      </c>
      <c r="D192" s="341" t="s">
        <v>158</v>
      </c>
      <c r="E192" s="341" t="s">
        <v>194</v>
      </c>
      <c r="F192" s="341" t="s">
        <v>307</v>
      </c>
      <c r="G192" s="9">
        <f>G191</f>
        <v>909.3</v>
      </c>
      <c r="H192" s="9">
        <f>H191</f>
        <v>909.3</v>
      </c>
    </row>
    <row r="193" spans="1:8" ht="47.25" x14ac:dyDescent="0.25">
      <c r="A193" s="391" t="s">
        <v>1165</v>
      </c>
      <c r="B193" s="346" t="s">
        <v>1166</v>
      </c>
      <c r="C193" s="341" t="s">
        <v>187</v>
      </c>
      <c r="D193" s="341" t="s">
        <v>158</v>
      </c>
      <c r="E193" s="341"/>
      <c r="F193" s="341"/>
      <c r="G193" s="295">
        <f>G194</f>
        <v>141470.81</v>
      </c>
      <c r="H193" s="295">
        <f>H194</f>
        <v>105379.81</v>
      </c>
    </row>
    <row r="194" spans="1:8" ht="31.5" x14ac:dyDescent="0.25">
      <c r="A194" s="345" t="s">
        <v>191</v>
      </c>
      <c r="B194" s="346" t="s">
        <v>1166</v>
      </c>
      <c r="C194" s="341" t="s">
        <v>187</v>
      </c>
      <c r="D194" s="341" t="s">
        <v>158</v>
      </c>
      <c r="E194" s="341" t="s">
        <v>192</v>
      </c>
      <c r="F194" s="341"/>
      <c r="G194" s="295">
        <f>G195</f>
        <v>141470.81</v>
      </c>
      <c r="H194" s="295">
        <f>H195</f>
        <v>105379.81</v>
      </c>
    </row>
    <row r="195" spans="1:8" ht="15.75" x14ac:dyDescent="0.25">
      <c r="A195" s="345" t="s">
        <v>193</v>
      </c>
      <c r="B195" s="346" t="s">
        <v>1166</v>
      </c>
      <c r="C195" s="341" t="s">
        <v>187</v>
      </c>
      <c r="D195" s="341" t="s">
        <v>158</v>
      </c>
      <c r="E195" s="341" t="s">
        <v>194</v>
      </c>
      <c r="F195" s="341"/>
      <c r="G195" s="295">
        <f>'Пр.4.1 ведом.23-24 '!G697</f>
        <v>141470.81</v>
      </c>
      <c r="H195" s="295">
        <f>'Пр.4.1 ведом.23-24 '!H697</f>
        <v>105379.81</v>
      </c>
    </row>
    <row r="196" spans="1:8" ht="31.5" x14ac:dyDescent="0.25">
      <c r="A196" s="20" t="s">
        <v>235</v>
      </c>
      <c r="B196" s="346" t="s">
        <v>1166</v>
      </c>
      <c r="C196" s="341" t="s">
        <v>187</v>
      </c>
      <c r="D196" s="341" t="s">
        <v>158</v>
      </c>
      <c r="E196" s="341" t="s">
        <v>194</v>
      </c>
      <c r="F196" s="341" t="s">
        <v>307</v>
      </c>
      <c r="G196" s="9">
        <f>G195</f>
        <v>141470.81</v>
      </c>
      <c r="H196" s="9">
        <f>H195</f>
        <v>105379.81</v>
      </c>
    </row>
    <row r="197" spans="1:8" ht="15.75" x14ac:dyDescent="0.25">
      <c r="A197" s="20" t="s">
        <v>188</v>
      </c>
      <c r="B197" s="341" t="s">
        <v>766</v>
      </c>
      <c r="C197" s="341" t="s">
        <v>187</v>
      </c>
      <c r="D197" s="341" t="s">
        <v>159</v>
      </c>
      <c r="E197" s="341"/>
      <c r="F197" s="341"/>
      <c r="G197" s="295">
        <f>G198+G202</f>
        <v>2239.6</v>
      </c>
      <c r="H197" s="295">
        <f>H198+H202</f>
        <v>2239.6</v>
      </c>
    </row>
    <row r="198" spans="1:8" ht="94.5" x14ac:dyDescent="0.25">
      <c r="A198" s="22" t="s">
        <v>200</v>
      </c>
      <c r="B198" s="346" t="s">
        <v>885</v>
      </c>
      <c r="C198" s="341" t="s">
        <v>187</v>
      </c>
      <c r="D198" s="341" t="s">
        <v>159</v>
      </c>
      <c r="E198" s="341"/>
      <c r="F198" s="341"/>
      <c r="G198" s="295">
        <f>G199</f>
        <v>1480</v>
      </c>
      <c r="H198" s="295">
        <f>H199</f>
        <v>1480</v>
      </c>
    </row>
    <row r="199" spans="1:8" ht="31.5" x14ac:dyDescent="0.25">
      <c r="A199" s="345" t="s">
        <v>191</v>
      </c>
      <c r="B199" s="346" t="s">
        <v>885</v>
      </c>
      <c r="C199" s="341" t="s">
        <v>187</v>
      </c>
      <c r="D199" s="341" t="s">
        <v>159</v>
      </c>
      <c r="E199" s="341" t="s">
        <v>192</v>
      </c>
      <c r="F199" s="341"/>
      <c r="G199" s="295">
        <f>G200</f>
        <v>1480</v>
      </c>
      <c r="H199" s="295">
        <f>H200</f>
        <v>1480</v>
      </c>
    </row>
    <row r="200" spans="1:8" ht="15.75" x14ac:dyDescent="0.25">
      <c r="A200" s="345" t="s">
        <v>193</v>
      </c>
      <c r="B200" s="346" t="s">
        <v>885</v>
      </c>
      <c r="C200" s="341" t="s">
        <v>187</v>
      </c>
      <c r="D200" s="341" t="s">
        <v>159</v>
      </c>
      <c r="E200" s="341" t="s">
        <v>194</v>
      </c>
      <c r="F200" s="341"/>
      <c r="G200" s="295">
        <f>'Пр.4.1 ведом.23-24 '!G780</f>
        <v>1480</v>
      </c>
      <c r="H200" s="295">
        <f>'Пр.4.1 ведом.23-24 '!H780</f>
        <v>1480</v>
      </c>
    </row>
    <row r="201" spans="1:8" ht="31.5" x14ac:dyDescent="0.25">
      <c r="A201" s="20" t="s">
        <v>235</v>
      </c>
      <c r="B201" s="346" t="s">
        <v>885</v>
      </c>
      <c r="C201" s="341" t="s">
        <v>187</v>
      </c>
      <c r="D201" s="341" t="s">
        <v>159</v>
      </c>
      <c r="E201" s="341" t="s">
        <v>194</v>
      </c>
      <c r="F201" s="341" t="s">
        <v>307</v>
      </c>
      <c r="G201" s="9">
        <f>G200</f>
        <v>1480</v>
      </c>
      <c r="H201" s="9">
        <f>H200</f>
        <v>1480</v>
      </c>
    </row>
    <row r="202" spans="1:8" ht="47.25" x14ac:dyDescent="0.25">
      <c r="A202" s="391" t="s">
        <v>1165</v>
      </c>
      <c r="B202" s="346" t="s">
        <v>1166</v>
      </c>
      <c r="C202" s="341" t="s">
        <v>187</v>
      </c>
      <c r="D202" s="341" t="s">
        <v>159</v>
      </c>
      <c r="E202" s="341"/>
      <c r="F202" s="341"/>
      <c r="G202" s="295">
        <f>G203</f>
        <v>759.59999999999991</v>
      </c>
      <c r="H202" s="295">
        <f>H203</f>
        <v>759.59999999999991</v>
      </c>
    </row>
    <row r="203" spans="1:8" ht="31.5" x14ac:dyDescent="0.25">
      <c r="A203" s="345" t="s">
        <v>191</v>
      </c>
      <c r="B203" s="346" t="s">
        <v>1166</v>
      </c>
      <c r="C203" s="341" t="s">
        <v>187</v>
      </c>
      <c r="D203" s="341" t="s">
        <v>159</v>
      </c>
      <c r="E203" s="341" t="s">
        <v>192</v>
      </c>
      <c r="F203" s="341"/>
      <c r="G203" s="295">
        <f>G204</f>
        <v>759.59999999999991</v>
      </c>
      <c r="H203" s="295">
        <f>H204</f>
        <v>759.59999999999991</v>
      </c>
    </row>
    <row r="204" spans="1:8" ht="15.75" x14ac:dyDescent="0.25">
      <c r="A204" s="345" t="s">
        <v>193</v>
      </c>
      <c r="B204" s="346" t="s">
        <v>1166</v>
      </c>
      <c r="C204" s="341" t="s">
        <v>187</v>
      </c>
      <c r="D204" s="341" t="s">
        <v>159</v>
      </c>
      <c r="E204" s="341" t="s">
        <v>194</v>
      </c>
      <c r="F204" s="341"/>
      <c r="G204" s="295">
        <f>'Пр.4.1 ведом.23-24 '!G783</f>
        <v>759.59999999999991</v>
      </c>
      <c r="H204" s="295">
        <f>'Пр.4.1 ведом.23-24 '!H783</f>
        <v>759.59999999999991</v>
      </c>
    </row>
    <row r="205" spans="1:8" ht="31.5" x14ac:dyDescent="0.25">
      <c r="A205" s="20" t="s">
        <v>235</v>
      </c>
      <c r="B205" s="346" t="s">
        <v>1166</v>
      </c>
      <c r="C205" s="341" t="s">
        <v>187</v>
      </c>
      <c r="D205" s="341" t="s">
        <v>159</v>
      </c>
      <c r="E205" s="341" t="s">
        <v>194</v>
      </c>
      <c r="F205" s="341" t="s">
        <v>307</v>
      </c>
      <c r="G205" s="9">
        <f>G204</f>
        <v>759.59999999999991</v>
      </c>
      <c r="H205" s="9">
        <f>H204</f>
        <v>759.59999999999991</v>
      </c>
    </row>
    <row r="206" spans="1:8" ht="31.5" x14ac:dyDescent="0.25">
      <c r="A206" s="298" t="s">
        <v>810</v>
      </c>
      <c r="B206" s="299" t="s">
        <v>768</v>
      </c>
      <c r="C206" s="6"/>
      <c r="D206" s="6"/>
      <c r="E206" s="6"/>
      <c r="F206" s="6"/>
      <c r="G206" s="35">
        <f>G207+G221</f>
        <v>4958</v>
      </c>
      <c r="H206" s="35">
        <f>H207+H221</f>
        <v>4958</v>
      </c>
    </row>
    <row r="207" spans="1:8" ht="15.75" x14ac:dyDescent="0.25">
      <c r="A207" s="20" t="s">
        <v>186</v>
      </c>
      <c r="B207" s="346" t="s">
        <v>768</v>
      </c>
      <c r="C207" s="341" t="s">
        <v>187</v>
      </c>
      <c r="D207" s="341"/>
      <c r="E207" s="341"/>
      <c r="F207" s="341"/>
      <c r="G207" s="9">
        <f t="shared" ref="G207:H207" si="23">G208</f>
        <v>4749.3999999999996</v>
      </c>
      <c r="H207" s="9">
        <f t="shared" si="23"/>
        <v>4749.3999999999996</v>
      </c>
    </row>
    <row r="208" spans="1:8" ht="15.75" x14ac:dyDescent="0.25">
      <c r="A208" s="29" t="s">
        <v>236</v>
      </c>
      <c r="B208" s="346" t="s">
        <v>768</v>
      </c>
      <c r="C208" s="341" t="s">
        <v>187</v>
      </c>
      <c r="D208" s="341" t="s">
        <v>116</v>
      </c>
      <c r="E208" s="341"/>
      <c r="F208" s="341"/>
      <c r="G208" s="9">
        <f>G209+G213+G217</f>
        <v>4749.3999999999996</v>
      </c>
      <c r="H208" s="9">
        <f>H209+H213+H217</f>
        <v>4749.3999999999996</v>
      </c>
    </row>
    <row r="209" spans="1:8" ht="31.5" hidden="1" x14ac:dyDescent="0.25">
      <c r="A209" s="20" t="s">
        <v>195</v>
      </c>
      <c r="B209" s="346" t="s">
        <v>827</v>
      </c>
      <c r="C209" s="341" t="s">
        <v>187</v>
      </c>
      <c r="D209" s="341" t="s">
        <v>116</v>
      </c>
      <c r="E209" s="341"/>
      <c r="F209" s="341"/>
      <c r="G209" s="9">
        <f t="shared" ref="G209:H210" si="24">G210</f>
        <v>0</v>
      </c>
      <c r="H209" s="9">
        <f t="shared" si="24"/>
        <v>0</v>
      </c>
    </row>
    <row r="210" spans="1:8" ht="31.5" hidden="1" x14ac:dyDescent="0.25">
      <c r="A210" s="20" t="s">
        <v>191</v>
      </c>
      <c r="B210" s="346" t="s">
        <v>827</v>
      </c>
      <c r="C210" s="341" t="s">
        <v>187</v>
      </c>
      <c r="D210" s="341" t="s">
        <v>116</v>
      </c>
      <c r="E210" s="341" t="s">
        <v>192</v>
      </c>
      <c r="F210" s="341"/>
      <c r="G210" s="9">
        <f t="shared" si="24"/>
        <v>0</v>
      </c>
      <c r="H210" s="9">
        <f t="shared" si="24"/>
        <v>0</v>
      </c>
    </row>
    <row r="211" spans="1:8" ht="15.75" hidden="1" x14ac:dyDescent="0.25">
      <c r="A211" s="20" t="s">
        <v>193</v>
      </c>
      <c r="B211" s="346" t="s">
        <v>827</v>
      </c>
      <c r="C211" s="341" t="s">
        <v>187</v>
      </c>
      <c r="D211" s="341" t="s">
        <v>116</v>
      </c>
      <c r="E211" s="341" t="s">
        <v>194</v>
      </c>
      <c r="F211" s="341"/>
      <c r="G211" s="9">
        <f>'Пр.4 ведом.22'!G704</f>
        <v>0</v>
      </c>
      <c r="H211" s="9">
        <f>'Пр.4 ведом.22'!H704</f>
        <v>0</v>
      </c>
    </row>
    <row r="212" spans="1:8" ht="31.5" hidden="1" x14ac:dyDescent="0.25">
      <c r="A212" s="20" t="s">
        <v>235</v>
      </c>
      <c r="B212" s="346" t="s">
        <v>827</v>
      </c>
      <c r="C212" s="341" t="s">
        <v>187</v>
      </c>
      <c r="D212" s="341" t="s">
        <v>116</v>
      </c>
      <c r="E212" s="341" t="s">
        <v>194</v>
      </c>
      <c r="F212" s="341" t="s">
        <v>307</v>
      </c>
      <c r="G212" s="9">
        <f>G211</f>
        <v>0</v>
      </c>
      <c r="H212" s="9">
        <f>H211</f>
        <v>0</v>
      </c>
    </row>
    <row r="213" spans="1:8" ht="31.7" hidden="1" customHeight="1" x14ac:dyDescent="0.25">
      <c r="A213" s="20" t="s">
        <v>196</v>
      </c>
      <c r="B213" s="346" t="s">
        <v>828</v>
      </c>
      <c r="C213" s="341" t="s">
        <v>187</v>
      </c>
      <c r="D213" s="341" t="s">
        <v>116</v>
      </c>
      <c r="E213" s="341"/>
      <c r="F213" s="341"/>
      <c r="G213" s="9">
        <f t="shared" ref="G213:H214" si="25">G214</f>
        <v>0</v>
      </c>
      <c r="H213" s="9">
        <f t="shared" si="25"/>
        <v>0</v>
      </c>
    </row>
    <row r="214" spans="1:8" ht="31.7" hidden="1" customHeight="1" x14ac:dyDescent="0.25">
      <c r="A214" s="20" t="s">
        <v>191</v>
      </c>
      <c r="B214" s="346" t="s">
        <v>828</v>
      </c>
      <c r="C214" s="341" t="s">
        <v>187</v>
      </c>
      <c r="D214" s="341" t="s">
        <v>116</v>
      </c>
      <c r="E214" s="341" t="s">
        <v>192</v>
      </c>
      <c r="F214" s="341"/>
      <c r="G214" s="9">
        <f t="shared" si="25"/>
        <v>0</v>
      </c>
      <c r="H214" s="9">
        <f t="shared" si="25"/>
        <v>0</v>
      </c>
    </row>
    <row r="215" spans="1:8" ht="15.75" hidden="1" customHeight="1" x14ac:dyDescent="0.25">
      <c r="A215" s="20" t="s">
        <v>193</v>
      </c>
      <c r="B215" s="346" t="s">
        <v>828</v>
      </c>
      <c r="C215" s="341" t="s">
        <v>187</v>
      </c>
      <c r="D215" s="341" t="s">
        <v>116</v>
      </c>
      <c r="E215" s="341" t="s">
        <v>194</v>
      </c>
      <c r="F215" s="341"/>
      <c r="G215" s="9">
        <f>'Пр.4 ведом.22'!G707</f>
        <v>0</v>
      </c>
      <c r="H215" s="9">
        <f>'Пр.4 ведом.22'!H707</f>
        <v>0</v>
      </c>
    </row>
    <row r="216" spans="1:8" ht="35.450000000000003" hidden="1" customHeight="1" x14ac:dyDescent="0.25">
      <c r="A216" s="20" t="s">
        <v>235</v>
      </c>
      <c r="B216" s="346" t="s">
        <v>828</v>
      </c>
      <c r="C216" s="341" t="s">
        <v>187</v>
      </c>
      <c r="D216" s="341" t="s">
        <v>116</v>
      </c>
      <c r="E216" s="341" t="s">
        <v>194</v>
      </c>
      <c r="F216" s="341" t="s">
        <v>307</v>
      </c>
      <c r="G216" s="9">
        <f>G215</f>
        <v>0</v>
      </c>
      <c r="H216" s="9">
        <f>H215</f>
        <v>0</v>
      </c>
    </row>
    <row r="217" spans="1:8" ht="31.5" x14ac:dyDescent="0.25">
      <c r="A217" s="20" t="s">
        <v>238</v>
      </c>
      <c r="B217" s="346" t="s">
        <v>769</v>
      </c>
      <c r="C217" s="341" t="s">
        <v>187</v>
      </c>
      <c r="D217" s="341" t="s">
        <v>116</v>
      </c>
      <c r="E217" s="341"/>
      <c r="F217" s="341"/>
      <c r="G217" s="9">
        <f t="shared" ref="G217:H218" si="26">G218</f>
        <v>4749.3999999999996</v>
      </c>
      <c r="H217" s="9">
        <f t="shared" si="26"/>
        <v>4749.3999999999996</v>
      </c>
    </row>
    <row r="218" spans="1:8" ht="33.75" customHeight="1" x14ac:dyDescent="0.25">
      <c r="A218" s="20" t="s">
        <v>191</v>
      </c>
      <c r="B218" s="346" t="s">
        <v>769</v>
      </c>
      <c r="C218" s="341" t="s">
        <v>187</v>
      </c>
      <c r="D218" s="341" t="s">
        <v>116</v>
      </c>
      <c r="E218" s="341" t="s">
        <v>192</v>
      </c>
      <c r="F218" s="341"/>
      <c r="G218" s="9">
        <f t="shared" si="26"/>
        <v>4749.3999999999996</v>
      </c>
      <c r="H218" s="9">
        <f t="shared" si="26"/>
        <v>4749.3999999999996</v>
      </c>
    </row>
    <row r="219" spans="1:8" ht="15.75" x14ac:dyDescent="0.25">
      <c r="A219" s="20" t="s">
        <v>193</v>
      </c>
      <c r="B219" s="346" t="s">
        <v>769</v>
      </c>
      <c r="C219" s="341" t="s">
        <v>187</v>
      </c>
      <c r="D219" s="341" t="s">
        <v>116</v>
      </c>
      <c r="E219" s="341" t="s">
        <v>194</v>
      </c>
      <c r="F219" s="341"/>
      <c r="G219" s="295">
        <f>'Пр.4.1 ведом.23-24 '!G639</f>
        <v>4749.3999999999996</v>
      </c>
      <c r="H219" s="295">
        <f>'Пр.4.1 ведом.23-24 '!H639</f>
        <v>4749.3999999999996</v>
      </c>
    </row>
    <row r="220" spans="1:8" ht="31.5" x14ac:dyDescent="0.25">
      <c r="A220" s="20" t="s">
        <v>235</v>
      </c>
      <c r="B220" s="346" t="s">
        <v>769</v>
      </c>
      <c r="C220" s="341" t="s">
        <v>187</v>
      </c>
      <c r="D220" s="341" t="s">
        <v>116</v>
      </c>
      <c r="E220" s="341" t="s">
        <v>194</v>
      </c>
      <c r="F220" s="341" t="s">
        <v>307</v>
      </c>
      <c r="G220" s="9">
        <f>G219</f>
        <v>4749.3999999999996</v>
      </c>
      <c r="H220" s="9">
        <f>H219</f>
        <v>4749.3999999999996</v>
      </c>
    </row>
    <row r="221" spans="1:8" ht="15.75" x14ac:dyDescent="0.25">
      <c r="A221" s="20" t="s">
        <v>186</v>
      </c>
      <c r="B221" s="341" t="s">
        <v>768</v>
      </c>
      <c r="C221" s="341" t="s">
        <v>187</v>
      </c>
      <c r="D221" s="341"/>
      <c r="E221" s="341"/>
      <c r="F221" s="341"/>
      <c r="G221" s="9">
        <f t="shared" ref="G221:H221" si="27">G222</f>
        <v>208.6</v>
      </c>
      <c r="H221" s="9">
        <f t="shared" si="27"/>
        <v>208.6</v>
      </c>
    </row>
    <row r="222" spans="1:8" ht="15.75" x14ac:dyDescent="0.25">
      <c r="A222" s="20" t="s">
        <v>239</v>
      </c>
      <c r="B222" s="341" t="s">
        <v>768</v>
      </c>
      <c r="C222" s="341" t="s">
        <v>187</v>
      </c>
      <c r="D222" s="341" t="s">
        <v>158</v>
      </c>
      <c r="E222" s="341"/>
      <c r="F222" s="341"/>
      <c r="G222" s="9">
        <f>G223+G227+G231+G235</f>
        <v>208.6</v>
      </c>
      <c r="H222" s="9">
        <f>H235</f>
        <v>208.6</v>
      </c>
    </row>
    <row r="223" spans="1:8" ht="47.25" hidden="1" x14ac:dyDescent="0.25">
      <c r="A223" s="345" t="s">
        <v>365</v>
      </c>
      <c r="B223" s="346" t="s">
        <v>826</v>
      </c>
      <c r="C223" s="341" t="s">
        <v>187</v>
      </c>
      <c r="D223" s="341" t="s">
        <v>158</v>
      </c>
      <c r="E223" s="341"/>
      <c r="F223" s="341"/>
      <c r="G223" s="295">
        <f>G224</f>
        <v>0</v>
      </c>
      <c r="H223" s="295">
        <f>H224</f>
        <v>0</v>
      </c>
    </row>
    <row r="224" spans="1:8" ht="31.5" hidden="1" x14ac:dyDescent="0.25">
      <c r="A224" s="345" t="s">
        <v>191</v>
      </c>
      <c r="B224" s="346" t="s">
        <v>826</v>
      </c>
      <c r="C224" s="341" t="s">
        <v>187</v>
      </c>
      <c r="D224" s="341" t="s">
        <v>158</v>
      </c>
      <c r="E224" s="341" t="s">
        <v>192</v>
      </c>
      <c r="F224" s="341"/>
      <c r="G224" s="295">
        <f>G225</f>
        <v>0</v>
      </c>
      <c r="H224" s="295">
        <f>H225</f>
        <v>0</v>
      </c>
    </row>
    <row r="225" spans="1:8" ht="15.75" hidden="1" x14ac:dyDescent="0.25">
      <c r="A225" s="345" t="s">
        <v>193</v>
      </c>
      <c r="B225" s="346" t="s">
        <v>826</v>
      </c>
      <c r="C225" s="341" t="s">
        <v>187</v>
      </c>
      <c r="D225" s="341" t="s">
        <v>158</v>
      </c>
      <c r="E225" s="341" t="s">
        <v>194</v>
      </c>
      <c r="F225" s="341"/>
      <c r="G225" s="295">
        <f>'Пр.4 ведом.22'!G775</f>
        <v>0</v>
      </c>
      <c r="H225" s="295">
        <v>0</v>
      </c>
    </row>
    <row r="226" spans="1:8" ht="31.5" hidden="1" x14ac:dyDescent="0.25">
      <c r="A226" s="20" t="s">
        <v>235</v>
      </c>
      <c r="B226" s="346" t="s">
        <v>826</v>
      </c>
      <c r="C226" s="341" t="s">
        <v>187</v>
      </c>
      <c r="D226" s="341" t="s">
        <v>158</v>
      </c>
      <c r="E226" s="341" t="s">
        <v>194</v>
      </c>
      <c r="F226" s="341" t="s">
        <v>307</v>
      </c>
      <c r="G226" s="9">
        <f>G225</f>
        <v>0</v>
      </c>
      <c r="H226" s="9">
        <f>H225</f>
        <v>0</v>
      </c>
    </row>
    <row r="227" spans="1:8" ht="31.5" hidden="1" x14ac:dyDescent="0.25">
      <c r="A227" s="345" t="s">
        <v>195</v>
      </c>
      <c r="B227" s="346" t="s">
        <v>827</v>
      </c>
      <c r="C227" s="341" t="s">
        <v>187</v>
      </c>
      <c r="D227" s="341" t="s">
        <v>158</v>
      </c>
      <c r="E227" s="341"/>
      <c r="F227" s="341"/>
      <c r="G227" s="295">
        <f t="shared" ref="G227:H228" si="28">G228</f>
        <v>0</v>
      </c>
      <c r="H227" s="295">
        <f t="shared" si="28"/>
        <v>0</v>
      </c>
    </row>
    <row r="228" spans="1:8" ht="31.5" hidden="1" x14ac:dyDescent="0.25">
      <c r="A228" s="345" t="s">
        <v>191</v>
      </c>
      <c r="B228" s="346" t="s">
        <v>827</v>
      </c>
      <c r="C228" s="341" t="s">
        <v>187</v>
      </c>
      <c r="D228" s="341" t="s">
        <v>158</v>
      </c>
      <c r="E228" s="341" t="s">
        <v>192</v>
      </c>
      <c r="F228" s="341"/>
      <c r="G228" s="295">
        <f t="shared" si="28"/>
        <v>0</v>
      </c>
      <c r="H228" s="295">
        <f t="shared" si="28"/>
        <v>0</v>
      </c>
    </row>
    <row r="229" spans="1:8" ht="15.75" hidden="1" x14ac:dyDescent="0.25">
      <c r="A229" s="345" t="s">
        <v>193</v>
      </c>
      <c r="B229" s="346" t="s">
        <v>827</v>
      </c>
      <c r="C229" s="341" t="s">
        <v>187</v>
      </c>
      <c r="D229" s="341" t="s">
        <v>158</v>
      </c>
      <c r="E229" s="341" t="s">
        <v>194</v>
      </c>
      <c r="F229" s="341"/>
      <c r="G229" s="295"/>
      <c r="H229" s="295"/>
    </row>
    <row r="230" spans="1:8" ht="31.5" hidden="1" x14ac:dyDescent="0.25">
      <c r="A230" s="20" t="s">
        <v>235</v>
      </c>
      <c r="B230" s="346" t="s">
        <v>827</v>
      </c>
      <c r="C230" s="341" t="s">
        <v>187</v>
      </c>
      <c r="D230" s="341" t="s">
        <v>158</v>
      </c>
      <c r="E230" s="341" t="s">
        <v>194</v>
      </c>
      <c r="F230" s="341" t="s">
        <v>307</v>
      </c>
      <c r="G230" s="9">
        <f>G229</f>
        <v>0</v>
      </c>
      <c r="H230" s="9">
        <f>H229</f>
        <v>0</v>
      </c>
    </row>
    <row r="231" spans="1:8" ht="31.5" hidden="1" x14ac:dyDescent="0.25">
      <c r="A231" s="345" t="s">
        <v>196</v>
      </c>
      <c r="B231" s="346" t="s">
        <v>828</v>
      </c>
      <c r="C231" s="341" t="s">
        <v>187</v>
      </c>
      <c r="D231" s="341" t="s">
        <v>158</v>
      </c>
      <c r="E231" s="341"/>
      <c r="F231" s="341"/>
      <c r="G231" s="295">
        <f t="shared" ref="G231:H232" si="29">G232</f>
        <v>0</v>
      </c>
      <c r="H231" s="295">
        <f t="shared" si="29"/>
        <v>0</v>
      </c>
    </row>
    <row r="232" spans="1:8" ht="31.5" hidden="1" x14ac:dyDescent="0.25">
      <c r="A232" s="345" t="s">
        <v>191</v>
      </c>
      <c r="B232" s="346" t="s">
        <v>828</v>
      </c>
      <c r="C232" s="341" t="s">
        <v>187</v>
      </c>
      <c r="D232" s="341" t="s">
        <v>158</v>
      </c>
      <c r="E232" s="341" t="s">
        <v>192</v>
      </c>
      <c r="F232" s="341"/>
      <c r="G232" s="295">
        <f t="shared" si="29"/>
        <v>0</v>
      </c>
      <c r="H232" s="295">
        <f t="shared" si="29"/>
        <v>0</v>
      </c>
    </row>
    <row r="233" spans="1:8" ht="15.75" hidden="1" x14ac:dyDescent="0.25">
      <c r="A233" s="345" t="s">
        <v>193</v>
      </c>
      <c r="B233" s="346" t="s">
        <v>828</v>
      </c>
      <c r="C233" s="341" t="s">
        <v>187</v>
      </c>
      <c r="D233" s="341" t="s">
        <v>158</v>
      </c>
      <c r="E233" s="341" t="s">
        <v>194</v>
      </c>
      <c r="F233" s="341"/>
      <c r="G233" s="295">
        <f>'Пр.4 ведом.22'!G781</f>
        <v>0</v>
      </c>
      <c r="H233" s="295">
        <f>'Пр.4 ведом.22'!H781</f>
        <v>0</v>
      </c>
    </row>
    <row r="234" spans="1:8" ht="31.5" hidden="1" x14ac:dyDescent="0.25">
      <c r="A234" s="20" t="s">
        <v>235</v>
      </c>
      <c r="B234" s="346" t="s">
        <v>828</v>
      </c>
      <c r="C234" s="341" t="s">
        <v>187</v>
      </c>
      <c r="D234" s="341" t="s">
        <v>158</v>
      </c>
      <c r="E234" s="341" t="s">
        <v>194</v>
      </c>
      <c r="F234" s="341" t="s">
        <v>307</v>
      </c>
      <c r="G234" s="9">
        <f>G233</f>
        <v>0</v>
      </c>
      <c r="H234" s="9">
        <f>H233</f>
        <v>0</v>
      </c>
    </row>
    <row r="235" spans="1:8" ht="31.5" x14ac:dyDescent="0.25">
      <c r="A235" s="20" t="s">
        <v>197</v>
      </c>
      <c r="B235" s="346" t="s">
        <v>781</v>
      </c>
      <c r="C235" s="341" t="s">
        <v>187</v>
      </c>
      <c r="D235" s="341" t="s">
        <v>158</v>
      </c>
      <c r="E235" s="341"/>
      <c r="F235" s="341"/>
      <c r="G235" s="9">
        <f t="shared" ref="G235:H236" si="30">G236</f>
        <v>208.6</v>
      </c>
      <c r="H235" s="9">
        <f t="shared" si="30"/>
        <v>208.6</v>
      </c>
    </row>
    <row r="236" spans="1:8" ht="31.5" x14ac:dyDescent="0.25">
      <c r="A236" s="20" t="s">
        <v>191</v>
      </c>
      <c r="B236" s="346" t="s">
        <v>781</v>
      </c>
      <c r="C236" s="341" t="s">
        <v>187</v>
      </c>
      <c r="D236" s="341" t="s">
        <v>158</v>
      </c>
      <c r="E236" s="341" t="s">
        <v>192</v>
      </c>
      <c r="F236" s="341"/>
      <c r="G236" s="9">
        <f t="shared" si="30"/>
        <v>208.6</v>
      </c>
      <c r="H236" s="9">
        <f t="shared" si="30"/>
        <v>208.6</v>
      </c>
    </row>
    <row r="237" spans="1:8" ht="15.75" x14ac:dyDescent="0.25">
      <c r="A237" s="20" t="s">
        <v>193</v>
      </c>
      <c r="B237" s="346" t="s">
        <v>781</v>
      </c>
      <c r="C237" s="341" t="s">
        <v>187</v>
      </c>
      <c r="D237" s="341" t="s">
        <v>158</v>
      </c>
      <c r="E237" s="341" t="s">
        <v>194</v>
      </c>
      <c r="F237" s="341"/>
      <c r="G237" s="9">
        <f>'Пр.4.1 ведом.23-24 '!G710</f>
        <v>208.6</v>
      </c>
      <c r="H237" s="9">
        <f>'Пр.4.1 ведом.23-24 '!H710</f>
        <v>208.6</v>
      </c>
    </row>
    <row r="238" spans="1:8" ht="31.5" x14ac:dyDescent="0.25">
      <c r="A238" s="20" t="s">
        <v>235</v>
      </c>
      <c r="B238" s="346" t="s">
        <v>781</v>
      </c>
      <c r="C238" s="341" t="s">
        <v>187</v>
      </c>
      <c r="D238" s="341" t="s">
        <v>158</v>
      </c>
      <c r="E238" s="341" t="s">
        <v>194</v>
      </c>
      <c r="F238" s="341" t="s">
        <v>307</v>
      </c>
      <c r="G238" s="9">
        <f>G237</f>
        <v>208.6</v>
      </c>
      <c r="H238" s="9">
        <f>H237</f>
        <v>208.6</v>
      </c>
    </row>
    <row r="239" spans="1:8" ht="31.5" x14ac:dyDescent="0.25">
      <c r="A239" s="298" t="s">
        <v>509</v>
      </c>
      <c r="B239" s="299" t="s">
        <v>770</v>
      </c>
      <c r="C239" s="6"/>
      <c r="D239" s="6"/>
      <c r="E239" s="6"/>
      <c r="F239" s="6"/>
      <c r="G239" s="35">
        <f>G240</f>
        <v>7678.5</v>
      </c>
      <c r="H239" s="35">
        <f>H240</f>
        <v>7849.6</v>
      </c>
    </row>
    <row r="240" spans="1:8" ht="15.75" x14ac:dyDescent="0.25">
      <c r="A240" s="20" t="s">
        <v>186</v>
      </c>
      <c r="B240" s="346" t="s">
        <v>770</v>
      </c>
      <c r="C240" s="341" t="s">
        <v>187</v>
      </c>
      <c r="D240" s="341"/>
      <c r="E240" s="341"/>
      <c r="F240" s="341"/>
      <c r="G240" s="9">
        <f t="shared" ref="G240:H243" si="31">G241</f>
        <v>7678.5</v>
      </c>
      <c r="H240" s="9">
        <f t="shared" si="31"/>
        <v>7849.6</v>
      </c>
    </row>
    <row r="241" spans="1:8" ht="15.75" x14ac:dyDescent="0.25">
      <c r="A241" s="20" t="s">
        <v>246</v>
      </c>
      <c r="B241" s="346" t="s">
        <v>770</v>
      </c>
      <c r="C241" s="341" t="s">
        <v>187</v>
      </c>
      <c r="D241" s="341" t="s">
        <v>187</v>
      </c>
      <c r="E241" s="341"/>
      <c r="F241" s="341"/>
      <c r="G241" s="9">
        <f>G242</f>
        <v>7678.5</v>
      </c>
      <c r="H241" s="9">
        <f>H242</f>
        <v>7849.6</v>
      </c>
    </row>
    <row r="242" spans="1:8" ht="31.5" x14ac:dyDescent="0.25">
      <c r="A242" s="22" t="s">
        <v>615</v>
      </c>
      <c r="B242" s="346" t="s">
        <v>787</v>
      </c>
      <c r="C242" s="341" t="s">
        <v>187</v>
      </c>
      <c r="D242" s="341" t="s">
        <v>187</v>
      </c>
      <c r="E242" s="341"/>
      <c r="F242" s="341"/>
      <c r="G242" s="9">
        <f t="shared" si="31"/>
        <v>7678.5</v>
      </c>
      <c r="H242" s="9">
        <f t="shared" si="31"/>
        <v>7849.6</v>
      </c>
    </row>
    <row r="243" spans="1:8" ht="31.5" x14ac:dyDescent="0.25">
      <c r="A243" s="345" t="s">
        <v>191</v>
      </c>
      <c r="B243" s="346" t="s">
        <v>787</v>
      </c>
      <c r="C243" s="341" t="s">
        <v>187</v>
      </c>
      <c r="D243" s="341" t="s">
        <v>187</v>
      </c>
      <c r="E243" s="341" t="s">
        <v>192</v>
      </c>
      <c r="F243" s="341"/>
      <c r="G243" s="9">
        <f t="shared" si="31"/>
        <v>7678.5</v>
      </c>
      <c r="H243" s="9">
        <f t="shared" si="31"/>
        <v>7849.6</v>
      </c>
    </row>
    <row r="244" spans="1:8" ht="15.75" x14ac:dyDescent="0.25">
      <c r="A244" s="345" t="s">
        <v>193</v>
      </c>
      <c r="B244" s="346" t="s">
        <v>787</v>
      </c>
      <c r="C244" s="341" t="s">
        <v>187</v>
      </c>
      <c r="D244" s="341" t="s">
        <v>187</v>
      </c>
      <c r="E244" s="341" t="s">
        <v>194</v>
      </c>
      <c r="F244" s="341"/>
      <c r="G244" s="9">
        <f>'Пр.4.1 ведом.23-24 '!G806</f>
        <v>7678.5</v>
      </c>
      <c r="H244" s="9">
        <f>'Пр.4.1 ведом.23-24 '!H806</f>
        <v>7849.6</v>
      </c>
    </row>
    <row r="245" spans="1:8" ht="31.5" x14ac:dyDescent="0.25">
      <c r="A245" s="20" t="s">
        <v>235</v>
      </c>
      <c r="B245" s="346" t="s">
        <v>787</v>
      </c>
      <c r="C245" s="341" t="s">
        <v>187</v>
      </c>
      <c r="D245" s="341" t="s">
        <v>187</v>
      </c>
      <c r="E245" s="341" t="s">
        <v>194</v>
      </c>
      <c r="F245" s="341" t="s">
        <v>307</v>
      </c>
      <c r="G245" s="392">
        <f>G244</f>
        <v>7678.5</v>
      </c>
      <c r="H245" s="392">
        <f>H244</f>
        <v>7849.6</v>
      </c>
    </row>
    <row r="246" spans="1:8" ht="31.5" x14ac:dyDescent="0.25">
      <c r="A246" s="140" t="s">
        <v>513</v>
      </c>
      <c r="B246" s="299" t="s">
        <v>771</v>
      </c>
      <c r="C246" s="6"/>
      <c r="D246" s="6"/>
      <c r="E246" s="6"/>
      <c r="F246" s="6"/>
      <c r="G246" s="294">
        <f>G247</f>
        <v>7312.1</v>
      </c>
      <c r="H246" s="294">
        <f>H247</f>
        <v>7312.1</v>
      </c>
    </row>
    <row r="247" spans="1:8" ht="15.75" x14ac:dyDescent="0.25">
      <c r="A247" s="20" t="s">
        <v>186</v>
      </c>
      <c r="B247" s="346" t="s">
        <v>771</v>
      </c>
      <c r="C247" s="341" t="s">
        <v>187</v>
      </c>
      <c r="D247" s="341"/>
      <c r="E247" s="341"/>
      <c r="F247" s="341"/>
      <c r="G247" s="9">
        <f>G248+G261+G270</f>
        <v>7312.1</v>
      </c>
      <c r="H247" s="9">
        <f>H248+H261+H270</f>
        <v>7312.1</v>
      </c>
    </row>
    <row r="248" spans="1:8" ht="15.75" x14ac:dyDescent="0.25">
      <c r="A248" s="29" t="s">
        <v>236</v>
      </c>
      <c r="B248" s="346" t="s">
        <v>771</v>
      </c>
      <c r="C248" s="341" t="s">
        <v>187</v>
      </c>
      <c r="D248" s="341" t="s">
        <v>116</v>
      </c>
      <c r="E248" s="341"/>
      <c r="F248" s="341"/>
      <c r="G248" s="9">
        <f>G249+G253+G257</f>
        <v>4142</v>
      </c>
      <c r="H248" s="9">
        <f>H249+H253+H257</f>
        <v>4142</v>
      </c>
    </row>
    <row r="249" spans="1:8" ht="31.7" hidden="1" customHeight="1" x14ac:dyDescent="0.25">
      <c r="A249" s="20" t="s">
        <v>198</v>
      </c>
      <c r="B249" s="346" t="s">
        <v>784</v>
      </c>
      <c r="C249" s="341" t="s">
        <v>187</v>
      </c>
      <c r="D249" s="341" t="s">
        <v>116</v>
      </c>
      <c r="E249" s="341"/>
      <c r="F249" s="341"/>
      <c r="G249" s="9">
        <f t="shared" ref="G249:H250" si="32">G250</f>
        <v>0</v>
      </c>
      <c r="H249" s="9">
        <f t="shared" si="32"/>
        <v>0</v>
      </c>
    </row>
    <row r="250" spans="1:8" ht="31.7" hidden="1" customHeight="1" x14ac:dyDescent="0.25">
      <c r="A250" s="20" t="s">
        <v>191</v>
      </c>
      <c r="B250" s="346" t="s">
        <v>784</v>
      </c>
      <c r="C250" s="341" t="s">
        <v>187</v>
      </c>
      <c r="D250" s="341" t="s">
        <v>116</v>
      </c>
      <c r="E250" s="341" t="s">
        <v>192</v>
      </c>
      <c r="F250" s="341"/>
      <c r="G250" s="9">
        <f t="shared" si="32"/>
        <v>0</v>
      </c>
      <c r="H250" s="9">
        <f t="shared" si="32"/>
        <v>0</v>
      </c>
    </row>
    <row r="251" spans="1:8" ht="15.75" hidden="1" customHeight="1" x14ac:dyDescent="0.25">
      <c r="A251" s="20" t="s">
        <v>193</v>
      </c>
      <c r="B251" s="346" t="s">
        <v>784</v>
      </c>
      <c r="C251" s="341" t="s">
        <v>187</v>
      </c>
      <c r="D251" s="341" t="s">
        <v>116</v>
      </c>
      <c r="E251" s="341" t="s">
        <v>194</v>
      </c>
      <c r="F251" s="341"/>
      <c r="G251" s="9">
        <f>'Пр.4 ведом.22'!G714</f>
        <v>0</v>
      </c>
      <c r="H251" s="9">
        <f>'Пр.4 ведом.22'!H714</f>
        <v>0</v>
      </c>
    </row>
    <row r="252" spans="1:8" ht="30.6" hidden="1" customHeight="1" x14ac:dyDescent="0.25">
      <c r="A252" s="20" t="s">
        <v>235</v>
      </c>
      <c r="B252" s="346" t="s">
        <v>784</v>
      </c>
      <c r="C252" s="341" t="s">
        <v>187</v>
      </c>
      <c r="D252" s="341" t="s">
        <v>116</v>
      </c>
      <c r="E252" s="341" t="s">
        <v>194</v>
      </c>
      <c r="F252" s="341" t="s">
        <v>307</v>
      </c>
      <c r="G252" s="9">
        <f>G251</f>
        <v>0</v>
      </c>
      <c r="H252" s="9">
        <f>H251</f>
        <v>0</v>
      </c>
    </row>
    <row r="253" spans="1:8" ht="31.5" x14ac:dyDescent="0.25">
      <c r="A253" s="36" t="s">
        <v>342</v>
      </c>
      <c r="B253" s="346" t="s">
        <v>772</v>
      </c>
      <c r="C253" s="346" t="s">
        <v>187</v>
      </c>
      <c r="D253" s="346" t="s">
        <v>116</v>
      </c>
      <c r="E253" s="346"/>
      <c r="F253" s="346"/>
      <c r="G253" s="9">
        <f t="shared" ref="G253:H254" si="33">G254</f>
        <v>2882</v>
      </c>
      <c r="H253" s="9">
        <f t="shared" si="33"/>
        <v>2882</v>
      </c>
    </row>
    <row r="254" spans="1:8" ht="31.5" x14ac:dyDescent="0.25">
      <c r="A254" s="20" t="s">
        <v>191</v>
      </c>
      <c r="B254" s="346" t="s">
        <v>772</v>
      </c>
      <c r="C254" s="346" t="s">
        <v>187</v>
      </c>
      <c r="D254" s="346" t="s">
        <v>116</v>
      </c>
      <c r="E254" s="346" t="s">
        <v>192</v>
      </c>
      <c r="F254" s="346"/>
      <c r="G254" s="9">
        <f t="shared" si="33"/>
        <v>2882</v>
      </c>
      <c r="H254" s="9">
        <f t="shared" si="33"/>
        <v>2882</v>
      </c>
    </row>
    <row r="255" spans="1:8" ht="15.75" x14ac:dyDescent="0.25">
      <c r="A255" s="108" t="s">
        <v>193</v>
      </c>
      <c r="B255" s="346" t="s">
        <v>772</v>
      </c>
      <c r="C255" s="346" t="s">
        <v>187</v>
      </c>
      <c r="D255" s="346" t="s">
        <v>116</v>
      </c>
      <c r="E255" s="346" t="s">
        <v>194</v>
      </c>
      <c r="F255" s="346"/>
      <c r="G255" s="9">
        <f>'Пр.4.1 ведом.23-24 '!G646</f>
        <v>2882</v>
      </c>
      <c r="H255" s="9">
        <f>'Пр.4.1 ведом.23-24 '!H646</f>
        <v>2882</v>
      </c>
    </row>
    <row r="256" spans="1:8" ht="31.5" x14ac:dyDescent="0.25">
      <c r="A256" s="20" t="s">
        <v>235</v>
      </c>
      <c r="B256" s="346" t="s">
        <v>772</v>
      </c>
      <c r="C256" s="341" t="s">
        <v>187</v>
      </c>
      <c r="D256" s="341" t="s">
        <v>116</v>
      </c>
      <c r="E256" s="341" t="s">
        <v>194</v>
      </c>
      <c r="F256" s="341" t="s">
        <v>307</v>
      </c>
      <c r="G256" s="9">
        <f>G255</f>
        <v>2882</v>
      </c>
      <c r="H256" s="9">
        <f>H255</f>
        <v>2882</v>
      </c>
    </row>
    <row r="257" spans="1:8" ht="47.25" x14ac:dyDescent="0.25">
      <c r="A257" s="36" t="s">
        <v>343</v>
      </c>
      <c r="B257" s="346" t="s">
        <v>773</v>
      </c>
      <c r="C257" s="346" t="s">
        <v>187</v>
      </c>
      <c r="D257" s="346" t="s">
        <v>116</v>
      </c>
      <c r="E257" s="346"/>
      <c r="F257" s="346"/>
      <c r="G257" s="9">
        <f t="shared" ref="G257:H258" si="34">G258</f>
        <v>1260</v>
      </c>
      <c r="H257" s="9">
        <f t="shared" si="34"/>
        <v>1260</v>
      </c>
    </row>
    <row r="258" spans="1:8" ht="31.5" x14ac:dyDescent="0.25">
      <c r="A258" s="20" t="s">
        <v>191</v>
      </c>
      <c r="B258" s="346" t="s">
        <v>773</v>
      </c>
      <c r="C258" s="346" t="s">
        <v>187</v>
      </c>
      <c r="D258" s="346" t="s">
        <v>116</v>
      </c>
      <c r="E258" s="346" t="s">
        <v>192</v>
      </c>
      <c r="F258" s="346"/>
      <c r="G258" s="9">
        <f t="shared" si="34"/>
        <v>1260</v>
      </c>
      <c r="H258" s="9">
        <f t="shared" si="34"/>
        <v>1260</v>
      </c>
    </row>
    <row r="259" spans="1:8" ht="15.75" x14ac:dyDescent="0.25">
      <c r="A259" s="108" t="s">
        <v>193</v>
      </c>
      <c r="B259" s="346" t="s">
        <v>773</v>
      </c>
      <c r="C259" s="346" t="s">
        <v>187</v>
      </c>
      <c r="D259" s="346" t="s">
        <v>116</v>
      </c>
      <c r="E259" s="346" t="s">
        <v>194</v>
      </c>
      <c r="F259" s="346"/>
      <c r="G259" s="9">
        <f>'Пр.4.1 ведом.23-24 '!G649</f>
        <v>1260</v>
      </c>
      <c r="H259" s="9">
        <f>'Пр.4.1 ведом.23-24 '!H649</f>
        <v>1260</v>
      </c>
    </row>
    <row r="260" spans="1:8" ht="31.5" x14ac:dyDescent="0.25">
      <c r="A260" s="20" t="s">
        <v>235</v>
      </c>
      <c r="B260" s="346" t="s">
        <v>773</v>
      </c>
      <c r="C260" s="341" t="s">
        <v>187</v>
      </c>
      <c r="D260" s="341" t="s">
        <v>116</v>
      </c>
      <c r="E260" s="341" t="s">
        <v>194</v>
      </c>
      <c r="F260" s="341" t="s">
        <v>307</v>
      </c>
      <c r="G260" s="9">
        <f>G259</f>
        <v>1260</v>
      </c>
      <c r="H260" s="9">
        <f>H259</f>
        <v>1260</v>
      </c>
    </row>
    <row r="261" spans="1:8" ht="15.75" x14ac:dyDescent="0.25">
      <c r="A261" s="20" t="s">
        <v>239</v>
      </c>
      <c r="B261" s="341" t="s">
        <v>771</v>
      </c>
      <c r="C261" s="341" t="s">
        <v>187</v>
      </c>
      <c r="D261" s="341" t="s">
        <v>158</v>
      </c>
      <c r="E261" s="341"/>
      <c r="F261" s="341"/>
      <c r="G261" s="9">
        <f>G262+G266</f>
        <v>2967</v>
      </c>
      <c r="H261" s="9">
        <f>H262+H266</f>
        <v>2967</v>
      </c>
    </row>
    <row r="262" spans="1:8" ht="31.5" hidden="1" x14ac:dyDescent="0.25">
      <c r="A262" s="20" t="s">
        <v>198</v>
      </c>
      <c r="B262" s="346" t="s">
        <v>784</v>
      </c>
      <c r="C262" s="341" t="s">
        <v>187</v>
      </c>
      <c r="D262" s="341" t="s">
        <v>158</v>
      </c>
      <c r="E262" s="341"/>
      <c r="F262" s="341"/>
      <c r="G262" s="9">
        <f t="shared" ref="G262:H263" si="35">G263</f>
        <v>0</v>
      </c>
      <c r="H262" s="9">
        <f t="shared" si="35"/>
        <v>0</v>
      </c>
    </row>
    <row r="263" spans="1:8" ht="31.5" hidden="1" x14ac:dyDescent="0.25">
      <c r="A263" s="20" t="s">
        <v>191</v>
      </c>
      <c r="B263" s="346" t="s">
        <v>784</v>
      </c>
      <c r="C263" s="341" t="s">
        <v>187</v>
      </c>
      <c r="D263" s="341" t="s">
        <v>158</v>
      </c>
      <c r="E263" s="341" t="s">
        <v>192</v>
      </c>
      <c r="F263" s="341"/>
      <c r="G263" s="9">
        <f t="shared" si="35"/>
        <v>0</v>
      </c>
      <c r="H263" s="9">
        <f t="shared" si="35"/>
        <v>0</v>
      </c>
    </row>
    <row r="264" spans="1:8" ht="15.75" hidden="1" x14ac:dyDescent="0.25">
      <c r="A264" s="20" t="s">
        <v>193</v>
      </c>
      <c r="B264" s="346" t="s">
        <v>784</v>
      </c>
      <c r="C264" s="341" t="s">
        <v>187</v>
      </c>
      <c r="D264" s="341" t="s">
        <v>158</v>
      </c>
      <c r="E264" s="341" t="s">
        <v>194</v>
      </c>
      <c r="F264" s="341"/>
      <c r="G264" s="9">
        <f>'Пр.4 ведом.22'!G791</f>
        <v>0</v>
      </c>
      <c r="H264" s="9">
        <f>'Пр.4 ведом.22'!H791</f>
        <v>0</v>
      </c>
    </row>
    <row r="265" spans="1:8" ht="31.5" hidden="1" x14ac:dyDescent="0.25">
      <c r="A265" s="20" t="s">
        <v>235</v>
      </c>
      <c r="B265" s="346" t="s">
        <v>784</v>
      </c>
      <c r="C265" s="341" t="s">
        <v>187</v>
      </c>
      <c r="D265" s="341" t="s">
        <v>158</v>
      </c>
      <c r="E265" s="341" t="s">
        <v>194</v>
      </c>
      <c r="F265" s="341" t="s">
        <v>307</v>
      </c>
      <c r="G265" s="9">
        <f>G264</f>
        <v>0</v>
      </c>
      <c r="H265" s="9">
        <f>H264</f>
        <v>0</v>
      </c>
    </row>
    <row r="266" spans="1:8" ht="31.5" x14ac:dyDescent="0.25">
      <c r="A266" s="36" t="s">
        <v>342</v>
      </c>
      <c r="B266" s="346" t="s">
        <v>772</v>
      </c>
      <c r="C266" s="341" t="s">
        <v>187</v>
      </c>
      <c r="D266" s="341" t="s">
        <v>158</v>
      </c>
      <c r="E266" s="341"/>
      <c r="F266" s="341"/>
      <c r="G266" s="9">
        <f t="shared" ref="G266:H267" si="36">G267</f>
        <v>2967</v>
      </c>
      <c r="H266" s="9">
        <f t="shared" si="36"/>
        <v>2967</v>
      </c>
    </row>
    <row r="267" spans="1:8" ht="31.5" x14ac:dyDescent="0.25">
      <c r="A267" s="20" t="s">
        <v>191</v>
      </c>
      <c r="B267" s="346" t="s">
        <v>772</v>
      </c>
      <c r="C267" s="341" t="s">
        <v>187</v>
      </c>
      <c r="D267" s="341" t="s">
        <v>158</v>
      </c>
      <c r="E267" s="341" t="s">
        <v>192</v>
      </c>
      <c r="F267" s="341"/>
      <c r="G267" s="9">
        <f t="shared" si="36"/>
        <v>2967</v>
      </c>
      <c r="H267" s="9">
        <f t="shared" si="36"/>
        <v>2967</v>
      </c>
    </row>
    <row r="268" spans="1:8" ht="15.75" x14ac:dyDescent="0.25">
      <c r="A268" s="108" t="s">
        <v>193</v>
      </c>
      <c r="B268" s="346" t="s">
        <v>772</v>
      </c>
      <c r="C268" s="341" t="s">
        <v>187</v>
      </c>
      <c r="D268" s="341" t="s">
        <v>158</v>
      </c>
      <c r="E268" s="341" t="s">
        <v>194</v>
      </c>
      <c r="F268" s="341"/>
      <c r="G268" s="9">
        <f>'Пр.4.1 ведом.23-24 '!G717</f>
        <v>2967</v>
      </c>
      <c r="H268" s="9">
        <f>'Пр.4.1 ведом.23-24 '!H717</f>
        <v>2967</v>
      </c>
    </row>
    <row r="269" spans="1:8" ht="31.5" x14ac:dyDescent="0.25">
      <c r="A269" s="20" t="s">
        <v>235</v>
      </c>
      <c r="B269" s="346" t="s">
        <v>772</v>
      </c>
      <c r="C269" s="341" t="s">
        <v>187</v>
      </c>
      <c r="D269" s="341" t="s">
        <v>158</v>
      </c>
      <c r="E269" s="341" t="s">
        <v>194</v>
      </c>
      <c r="F269" s="341" t="s">
        <v>307</v>
      </c>
      <c r="G269" s="9">
        <f>G268</f>
        <v>2967</v>
      </c>
      <c r="H269" s="9">
        <f>H268</f>
        <v>2967</v>
      </c>
    </row>
    <row r="270" spans="1:8" ht="15.75" x14ac:dyDescent="0.25">
      <c r="A270" s="20" t="s">
        <v>188</v>
      </c>
      <c r="B270" s="341" t="s">
        <v>771</v>
      </c>
      <c r="C270" s="341" t="s">
        <v>187</v>
      </c>
      <c r="D270" s="341" t="s">
        <v>159</v>
      </c>
      <c r="E270" s="341"/>
      <c r="F270" s="341"/>
      <c r="G270" s="9">
        <f>G271</f>
        <v>203.10000000000002</v>
      </c>
      <c r="H270" s="9">
        <f>H271</f>
        <v>203.10000000000002</v>
      </c>
    </row>
    <row r="271" spans="1:8" ht="31.5" x14ac:dyDescent="0.25">
      <c r="A271" s="29" t="s">
        <v>342</v>
      </c>
      <c r="B271" s="346" t="s">
        <v>772</v>
      </c>
      <c r="C271" s="346" t="s">
        <v>187</v>
      </c>
      <c r="D271" s="346" t="s">
        <v>159</v>
      </c>
      <c r="E271" s="346"/>
      <c r="F271" s="346"/>
      <c r="G271" s="9">
        <f t="shared" ref="G271:H272" si="37">G272</f>
        <v>203.10000000000002</v>
      </c>
      <c r="H271" s="9">
        <f t="shared" si="37"/>
        <v>203.10000000000002</v>
      </c>
    </row>
    <row r="272" spans="1:8" ht="31.5" x14ac:dyDescent="0.25">
      <c r="A272" s="20" t="s">
        <v>191</v>
      </c>
      <c r="B272" s="346" t="s">
        <v>772</v>
      </c>
      <c r="C272" s="346" t="s">
        <v>187</v>
      </c>
      <c r="D272" s="346" t="s">
        <v>159</v>
      </c>
      <c r="E272" s="346" t="s">
        <v>192</v>
      </c>
      <c r="F272" s="346"/>
      <c r="G272" s="9">
        <f t="shared" si="37"/>
        <v>203.10000000000002</v>
      </c>
      <c r="H272" s="9">
        <f t="shared" si="37"/>
        <v>203.10000000000002</v>
      </c>
    </row>
    <row r="273" spans="1:8" ht="15.75" x14ac:dyDescent="0.25">
      <c r="A273" s="22" t="s">
        <v>193</v>
      </c>
      <c r="B273" s="346" t="s">
        <v>772</v>
      </c>
      <c r="C273" s="346" t="s">
        <v>187</v>
      </c>
      <c r="D273" s="346" t="s">
        <v>159</v>
      </c>
      <c r="E273" s="346" t="s">
        <v>194</v>
      </c>
      <c r="F273" s="346"/>
      <c r="G273" s="9">
        <f>'Пр.4.1 ведом.23-24 '!G791</f>
        <v>203.10000000000002</v>
      </c>
      <c r="H273" s="9">
        <f>'Пр.4.1 ведом.23-24 '!H791</f>
        <v>203.10000000000002</v>
      </c>
    </row>
    <row r="274" spans="1:8" ht="31.5" x14ac:dyDescent="0.25">
      <c r="A274" s="20" t="s">
        <v>235</v>
      </c>
      <c r="B274" s="346" t="s">
        <v>772</v>
      </c>
      <c r="C274" s="341" t="s">
        <v>187</v>
      </c>
      <c r="D274" s="341" t="s">
        <v>159</v>
      </c>
      <c r="E274" s="341" t="s">
        <v>194</v>
      </c>
      <c r="F274" s="341" t="s">
        <v>307</v>
      </c>
      <c r="G274" s="9">
        <f>G273</f>
        <v>203.10000000000002</v>
      </c>
      <c r="H274" s="9">
        <f>H273</f>
        <v>203.10000000000002</v>
      </c>
    </row>
    <row r="275" spans="1:8" ht="31.5" x14ac:dyDescent="0.25">
      <c r="A275" s="298" t="s">
        <v>1117</v>
      </c>
      <c r="B275" s="299" t="s">
        <v>774</v>
      </c>
      <c r="C275" s="299"/>
      <c r="D275" s="299"/>
      <c r="E275" s="299"/>
      <c r="F275" s="299"/>
      <c r="G275" s="35">
        <f>G276+G282</f>
        <v>5611.3099999999995</v>
      </c>
      <c r="H275" s="35">
        <f>H276+H282</f>
        <v>5683.61</v>
      </c>
    </row>
    <row r="276" spans="1:8" ht="15.75" x14ac:dyDescent="0.25">
      <c r="A276" s="20" t="s">
        <v>186</v>
      </c>
      <c r="B276" s="346" t="s">
        <v>774</v>
      </c>
      <c r="C276" s="341" t="s">
        <v>187</v>
      </c>
      <c r="D276" s="341"/>
      <c r="E276" s="341"/>
      <c r="F276" s="341"/>
      <c r="G276" s="9">
        <f t="shared" ref="G276:H276" si="38">G277</f>
        <v>189.9</v>
      </c>
      <c r="H276" s="9">
        <f t="shared" si="38"/>
        <v>196.79999999999998</v>
      </c>
    </row>
    <row r="277" spans="1:8" ht="15.75" x14ac:dyDescent="0.25">
      <c r="A277" s="29" t="s">
        <v>236</v>
      </c>
      <c r="B277" s="346" t="s">
        <v>774</v>
      </c>
      <c r="C277" s="341" t="s">
        <v>187</v>
      </c>
      <c r="D277" s="341" t="s">
        <v>116</v>
      </c>
      <c r="E277" s="341"/>
      <c r="F277" s="341"/>
      <c r="G277" s="9">
        <f t="shared" ref="G277:H279" si="39">G278</f>
        <v>189.9</v>
      </c>
      <c r="H277" s="9">
        <f t="shared" si="39"/>
        <v>196.79999999999998</v>
      </c>
    </row>
    <row r="278" spans="1:8" ht="31.5" x14ac:dyDescent="0.25">
      <c r="A278" s="345" t="s">
        <v>1118</v>
      </c>
      <c r="B278" s="346" t="s">
        <v>1119</v>
      </c>
      <c r="C278" s="346" t="s">
        <v>187</v>
      </c>
      <c r="D278" s="346" t="s">
        <v>116</v>
      </c>
      <c r="E278" s="346"/>
      <c r="F278" s="346"/>
      <c r="G278" s="9">
        <f t="shared" si="39"/>
        <v>189.9</v>
      </c>
      <c r="H278" s="9">
        <f t="shared" si="39"/>
        <v>196.79999999999998</v>
      </c>
    </row>
    <row r="279" spans="1:8" ht="31.5" x14ac:dyDescent="0.25">
      <c r="A279" s="345" t="s">
        <v>191</v>
      </c>
      <c r="B279" s="346" t="s">
        <v>1119</v>
      </c>
      <c r="C279" s="346" t="s">
        <v>187</v>
      </c>
      <c r="D279" s="346" t="s">
        <v>116</v>
      </c>
      <c r="E279" s="346" t="s">
        <v>192</v>
      </c>
      <c r="F279" s="346"/>
      <c r="G279" s="9">
        <f t="shared" si="39"/>
        <v>189.9</v>
      </c>
      <c r="H279" s="9">
        <f t="shared" si="39"/>
        <v>196.79999999999998</v>
      </c>
    </row>
    <row r="280" spans="1:8" ht="15.75" x14ac:dyDescent="0.25">
      <c r="A280" s="345" t="s">
        <v>193</v>
      </c>
      <c r="B280" s="346" t="s">
        <v>1119</v>
      </c>
      <c r="C280" s="346" t="s">
        <v>187</v>
      </c>
      <c r="D280" s="346" t="s">
        <v>116</v>
      </c>
      <c r="E280" s="346" t="s">
        <v>194</v>
      </c>
      <c r="F280" s="346"/>
      <c r="G280" s="9">
        <f>'Пр.4.1 ведом.23-24 '!G653</f>
        <v>189.9</v>
      </c>
      <c r="H280" s="9">
        <f>'Пр.4.1 ведом.23-24 '!H653</f>
        <v>196.79999999999998</v>
      </c>
    </row>
    <row r="281" spans="1:8" ht="31.5" x14ac:dyDescent="0.25">
      <c r="A281" s="20" t="s">
        <v>235</v>
      </c>
      <c r="B281" s="346" t="s">
        <v>1119</v>
      </c>
      <c r="C281" s="341" t="s">
        <v>187</v>
      </c>
      <c r="D281" s="341" t="s">
        <v>116</v>
      </c>
      <c r="E281" s="341" t="s">
        <v>194</v>
      </c>
      <c r="F281" s="341" t="s">
        <v>307</v>
      </c>
      <c r="G281" s="9">
        <f>G280</f>
        <v>189.9</v>
      </c>
      <c r="H281" s="9">
        <f>H280</f>
        <v>196.79999999999998</v>
      </c>
    </row>
    <row r="282" spans="1:8" ht="15.75" x14ac:dyDescent="0.25">
      <c r="A282" s="20" t="s">
        <v>239</v>
      </c>
      <c r="B282" s="346" t="s">
        <v>774</v>
      </c>
      <c r="C282" s="341" t="s">
        <v>187</v>
      </c>
      <c r="D282" s="341" t="s">
        <v>158</v>
      </c>
      <c r="E282" s="341"/>
      <c r="F282" s="341"/>
      <c r="G282" s="9">
        <f>G283</f>
        <v>5421.41</v>
      </c>
      <c r="H282" s="9">
        <f>H283</f>
        <v>5486.8099999999995</v>
      </c>
    </row>
    <row r="283" spans="1:8" ht="31.5" x14ac:dyDescent="0.25">
      <c r="A283" s="345" t="s">
        <v>1118</v>
      </c>
      <c r="B283" s="346" t="s">
        <v>1119</v>
      </c>
      <c r="C283" s="341" t="s">
        <v>187</v>
      </c>
      <c r="D283" s="341" t="s">
        <v>158</v>
      </c>
      <c r="E283" s="341"/>
      <c r="F283" s="341"/>
      <c r="G283" s="9">
        <f t="shared" ref="G283:H284" si="40">G284</f>
        <v>5421.41</v>
      </c>
      <c r="H283" s="9">
        <f t="shared" si="40"/>
        <v>5486.8099999999995</v>
      </c>
    </row>
    <row r="284" spans="1:8" ht="31.5" x14ac:dyDescent="0.25">
      <c r="A284" s="20" t="s">
        <v>191</v>
      </c>
      <c r="B284" s="346" t="s">
        <v>1119</v>
      </c>
      <c r="C284" s="341" t="s">
        <v>187</v>
      </c>
      <c r="D284" s="341" t="s">
        <v>158</v>
      </c>
      <c r="E284" s="341" t="s">
        <v>192</v>
      </c>
      <c r="F284" s="341"/>
      <c r="G284" s="9">
        <f t="shared" si="40"/>
        <v>5421.41</v>
      </c>
      <c r="H284" s="9">
        <f t="shared" si="40"/>
        <v>5486.8099999999995</v>
      </c>
    </row>
    <row r="285" spans="1:8" ht="15.75" x14ac:dyDescent="0.25">
      <c r="A285" s="20" t="s">
        <v>193</v>
      </c>
      <c r="B285" s="346" t="s">
        <v>1119</v>
      </c>
      <c r="C285" s="341" t="s">
        <v>187</v>
      </c>
      <c r="D285" s="341" t="s">
        <v>158</v>
      </c>
      <c r="E285" s="341" t="s">
        <v>194</v>
      </c>
      <c r="F285" s="341"/>
      <c r="G285" s="295">
        <f>'Пр.4.1 ведом.23-24 '!G721</f>
        <v>5421.41</v>
      </c>
      <c r="H285" s="295">
        <f>'Пр.4.1 ведом.23-24 '!H721</f>
        <v>5486.8099999999995</v>
      </c>
    </row>
    <row r="286" spans="1:8" ht="31.5" x14ac:dyDescent="0.25">
      <c r="A286" s="20" t="s">
        <v>235</v>
      </c>
      <c r="B286" s="346" t="s">
        <v>1119</v>
      </c>
      <c r="C286" s="341" t="s">
        <v>187</v>
      </c>
      <c r="D286" s="341" t="s">
        <v>158</v>
      </c>
      <c r="E286" s="341" t="s">
        <v>194</v>
      </c>
      <c r="F286" s="341" t="s">
        <v>307</v>
      </c>
      <c r="G286" s="9">
        <f>G285</f>
        <v>5421.41</v>
      </c>
      <c r="H286" s="9">
        <f>H285</f>
        <v>5486.8099999999995</v>
      </c>
    </row>
    <row r="287" spans="1:8" ht="94.5" x14ac:dyDescent="0.25">
      <c r="A287" s="298" t="s">
        <v>904</v>
      </c>
      <c r="B287" s="299" t="s">
        <v>775</v>
      </c>
      <c r="C287" s="299"/>
      <c r="D287" s="299"/>
      <c r="E287" s="341"/>
      <c r="F287" s="341"/>
      <c r="G287" s="35">
        <f t="shared" ref="G287:H291" si="41">G288</f>
        <v>701.07999999999993</v>
      </c>
      <c r="H287" s="35">
        <f t="shared" si="41"/>
        <v>701.07999999999993</v>
      </c>
    </row>
    <row r="288" spans="1:8" ht="15.75" x14ac:dyDescent="0.25">
      <c r="A288" s="20" t="s">
        <v>186</v>
      </c>
      <c r="B288" s="346" t="s">
        <v>775</v>
      </c>
      <c r="C288" s="346" t="s">
        <v>187</v>
      </c>
      <c r="D288" s="346"/>
      <c r="E288" s="341"/>
      <c r="F288" s="341"/>
      <c r="G288" s="9">
        <f t="shared" si="41"/>
        <v>701.07999999999993</v>
      </c>
      <c r="H288" s="9">
        <f t="shared" si="41"/>
        <v>701.07999999999993</v>
      </c>
    </row>
    <row r="289" spans="1:8" ht="15.75" x14ac:dyDescent="0.25">
      <c r="A289" s="29" t="s">
        <v>236</v>
      </c>
      <c r="B289" s="346" t="s">
        <v>775</v>
      </c>
      <c r="C289" s="346" t="s">
        <v>187</v>
      </c>
      <c r="D289" s="346" t="s">
        <v>116</v>
      </c>
      <c r="E289" s="341"/>
      <c r="F289" s="341"/>
      <c r="G289" s="9">
        <f t="shared" si="41"/>
        <v>701.07999999999993</v>
      </c>
      <c r="H289" s="9">
        <f t="shared" si="41"/>
        <v>701.07999999999993</v>
      </c>
    </row>
    <row r="290" spans="1:8" ht="102.2" customHeight="1" x14ac:dyDescent="0.25">
      <c r="A290" s="96" t="s">
        <v>969</v>
      </c>
      <c r="B290" s="346" t="s">
        <v>776</v>
      </c>
      <c r="C290" s="346" t="s">
        <v>187</v>
      </c>
      <c r="D290" s="346" t="s">
        <v>116</v>
      </c>
      <c r="E290" s="341"/>
      <c r="F290" s="341"/>
      <c r="G290" s="9">
        <f t="shared" si="41"/>
        <v>701.07999999999993</v>
      </c>
      <c r="H290" s="9">
        <f t="shared" si="41"/>
        <v>701.07999999999993</v>
      </c>
    </row>
    <row r="291" spans="1:8" ht="31.5" x14ac:dyDescent="0.25">
      <c r="A291" s="345" t="s">
        <v>191</v>
      </c>
      <c r="B291" s="346" t="s">
        <v>776</v>
      </c>
      <c r="C291" s="346" t="s">
        <v>187</v>
      </c>
      <c r="D291" s="346" t="s">
        <v>116</v>
      </c>
      <c r="E291" s="346" t="s">
        <v>192</v>
      </c>
      <c r="F291" s="341"/>
      <c r="G291" s="9">
        <f t="shared" si="41"/>
        <v>701.07999999999993</v>
      </c>
      <c r="H291" s="9">
        <f t="shared" si="41"/>
        <v>701.07999999999993</v>
      </c>
    </row>
    <row r="292" spans="1:8" ht="15.75" x14ac:dyDescent="0.25">
      <c r="A292" s="345" t="s">
        <v>193</v>
      </c>
      <c r="B292" s="346" t="s">
        <v>776</v>
      </c>
      <c r="C292" s="346" t="s">
        <v>187</v>
      </c>
      <c r="D292" s="346" t="s">
        <v>116</v>
      </c>
      <c r="E292" s="346" t="s">
        <v>194</v>
      </c>
      <c r="F292" s="341"/>
      <c r="G292" s="9">
        <f>'Пр.4.1 ведом.23-24 '!G657</f>
        <v>701.07999999999993</v>
      </c>
      <c r="H292" s="9">
        <f>'Пр.4.1 ведом.23-24 '!H657</f>
        <v>701.07999999999993</v>
      </c>
    </row>
    <row r="293" spans="1:8" ht="31.5" x14ac:dyDescent="0.25">
      <c r="A293" s="20" t="s">
        <v>235</v>
      </c>
      <c r="B293" s="346" t="s">
        <v>776</v>
      </c>
      <c r="C293" s="346" t="s">
        <v>187</v>
      </c>
      <c r="D293" s="346" t="s">
        <v>116</v>
      </c>
      <c r="E293" s="346" t="s">
        <v>194</v>
      </c>
      <c r="F293" s="341" t="s">
        <v>307</v>
      </c>
      <c r="G293" s="9">
        <f>G288</f>
        <v>701.07999999999993</v>
      </c>
      <c r="H293" s="9">
        <f>H288</f>
        <v>701.07999999999993</v>
      </c>
    </row>
    <row r="294" spans="1:8" ht="31.5" x14ac:dyDescent="0.25">
      <c r="A294" s="195" t="s">
        <v>900</v>
      </c>
      <c r="B294" s="299" t="s">
        <v>899</v>
      </c>
      <c r="C294" s="299"/>
      <c r="D294" s="299"/>
      <c r="E294" s="299"/>
      <c r="F294" s="6"/>
      <c r="G294" s="35">
        <f t="shared" ref="G294:H298" si="42">G295</f>
        <v>5302.8</v>
      </c>
      <c r="H294" s="35">
        <f t="shared" si="42"/>
        <v>5463.1</v>
      </c>
    </row>
    <row r="295" spans="1:8" ht="15.75" x14ac:dyDescent="0.25">
      <c r="A295" s="108" t="s">
        <v>186</v>
      </c>
      <c r="B295" s="346" t="s">
        <v>899</v>
      </c>
      <c r="C295" s="346" t="s">
        <v>187</v>
      </c>
      <c r="D295" s="346"/>
      <c r="E295" s="346"/>
      <c r="F295" s="341"/>
      <c r="G295" s="9">
        <f t="shared" si="42"/>
        <v>5302.8</v>
      </c>
      <c r="H295" s="9">
        <f t="shared" si="42"/>
        <v>5463.1</v>
      </c>
    </row>
    <row r="296" spans="1:8" ht="15.75" x14ac:dyDescent="0.25">
      <c r="A296" s="108" t="s">
        <v>239</v>
      </c>
      <c r="B296" s="346" t="s">
        <v>899</v>
      </c>
      <c r="C296" s="346" t="s">
        <v>187</v>
      </c>
      <c r="D296" s="346" t="s">
        <v>158</v>
      </c>
      <c r="E296" s="346"/>
      <c r="F296" s="341"/>
      <c r="G296" s="9">
        <f t="shared" si="42"/>
        <v>5302.8</v>
      </c>
      <c r="H296" s="9">
        <f t="shared" si="42"/>
        <v>5463.1</v>
      </c>
    </row>
    <row r="297" spans="1:8" ht="63" x14ac:dyDescent="0.25">
      <c r="A297" s="194" t="s">
        <v>886</v>
      </c>
      <c r="B297" s="346" t="s">
        <v>938</v>
      </c>
      <c r="C297" s="346" t="s">
        <v>187</v>
      </c>
      <c r="D297" s="346" t="s">
        <v>158</v>
      </c>
      <c r="E297" s="346"/>
      <c r="F297" s="341"/>
      <c r="G297" s="9">
        <f t="shared" si="42"/>
        <v>5302.8</v>
      </c>
      <c r="H297" s="9">
        <f t="shared" si="42"/>
        <v>5463.1</v>
      </c>
    </row>
    <row r="298" spans="1:8" ht="31.5" x14ac:dyDescent="0.25">
      <c r="A298" s="22" t="s">
        <v>191</v>
      </c>
      <c r="B298" s="346" t="s">
        <v>938</v>
      </c>
      <c r="C298" s="346" t="s">
        <v>187</v>
      </c>
      <c r="D298" s="346" t="s">
        <v>158</v>
      </c>
      <c r="E298" s="346" t="s">
        <v>192</v>
      </c>
      <c r="F298" s="341"/>
      <c r="G298" s="9">
        <f t="shared" si="42"/>
        <v>5302.8</v>
      </c>
      <c r="H298" s="9">
        <f t="shared" si="42"/>
        <v>5463.1</v>
      </c>
    </row>
    <row r="299" spans="1:8" ht="15.75" x14ac:dyDescent="0.25">
      <c r="A299" s="22" t="s">
        <v>193</v>
      </c>
      <c r="B299" s="346" t="s">
        <v>938</v>
      </c>
      <c r="C299" s="346" t="s">
        <v>187</v>
      </c>
      <c r="D299" s="346" t="s">
        <v>158</v>
      </c>
      <c r="E299" s="346" t="s">
        <v>194</v>
      </c>
      <c r="F299" s="341"/>
      <c r="G299" s="9">
        <f>'Пр.4.1 ведом.23-24 '!G733</f>
        <v>5302.8</v>
      </c>
      <c r="H299" s="9">
        <f>'Пр.4.1 ведом.23-24 '!H733</f>
        <v>5463.1</v>
      </c>
    </row>
    <row r="300" spans="1:8" ht="31.5" x14ac:dyDescent="0.25">
      <c r="A300" s="108" t="s">
        <v>235</v>
      </c>
      <c r="B300" s="346" t="s">
        <v>938</v>
      </c>
      <c r="C300" s="346" t="s">
        <v>187</v>
      </c>
      <c r="D300" s="346" t="s">
        <v>158</v>
      </c>
      <c r="E300" s="346" t="s">
        <v>194</v>
      </c>
      <c r="F300" s="341" t="s">
        <v>307</v>
      </c>
      <c r="G300" s="9">
        <f>G294</f>
        <v>5302.8</v>
      </c>
      <c r="H300" s="9">
        <f>H294</f>
        <v>5463.1</v>
      </c>
    </row>
    <row r="301" spans="1:8" ht="31.5" hidden="1" x14ac:dyDescent="0.25">
      <c r="A301" s="195" t="s">
        <v>918</v>
      </c>
      <c r="B301" s="299" t="s">
        <v>906</v>
      </c>
      <c r="C301" s="346"/>
      <c r="D301" s="346"/>
      <c r="E301" s="346"/>
      <c r="F301" s="341"/>
      <c r="G301" s="35">
        <f t="shared" ref="G301:H305" si="43">G302</f>
        <v>0</v>
      </c>
      <c r="H301" s="35">
        <f t="shared" si="43"/>
        <v>0</v>
      </c>
    </row>
    <row r="302" spans="1:8" ht="15.75" hidden="1" x14ac:dyDescent="0.25">
      <c r="A302" s="108" t="s">
        <v>186</v>
      </c>
      <c r="B302" s="346" t="s">
        <v>906</v>
      </c>
      <c r="C302" s="346" t="s">
        <v>187</v>
      </c>
      <c r="D302" s="346"/>
      <c r="E302" s="346"/>
      <c r="F302" s="341"/>
      <c r="G302" s="9">
        <f t="shared" si="43"/>
        <v>0</v>
      </c>
      <c r="H302" s="9">
        <f t="shared" si="43"/>
        <v>0</v>
      </c>
    </row>
    <row r="303" spans="1:8" ht="15.75" hidden="1" x14ac:dyDescent="0.25">
      <c r="A303" s="108" t="s">
        <v>239</v>
      </c>
      <c r="B303" s="346" t="s">
        <v>906</v>
      </c>
      <c r="C303" s="346" t="s">
        <v>187</v>
      </c>
      <c r="D303" s="346" t="s">
        <v>158</v>
      </c>
      <c r="E303" s="346"/>
      <c r="F303" s="341"/>
      <c r="G303" s="9">
        <f t="shared" si="43"/>
        <v>0</v>
      </c>
      <c r="H303" s="9">
        <f t="shared" si="43"/>
        <v>0</v>
      </c>
    </row>
    <row r="304" spans="1:8" ht="21.2" hidden="1" customHeight="1" x14ac:dyDescent="0.25">
      <c r="A304" s="194" t="s">
        <v>907</v>
      </c>
      <c r="B304" s="346" t="s">
        <v>909</v>
      </c>
      <c r="C304" s="346" t="s">
        <v>187</v>
      </c>
      <c r="D304" s="346" t="s">
        <v>158</v>
      </c>
      <c r="E304" s="346"/>
      <c r="F304" s="341"/>
      <c r="G304" s="9">
        <f t="shared" si="43"/>
        <v>0</v>
      </c>
      <c r="H304" s="9">
        <f t="shared" si="43"/>
        <v>0</v>
      </c>
    </row>
    <row r="305" spans="1:8" ht="31.5" hidden="1" x14ac:dyDescent="0.25">
      <c r="A305" s="22" t="s">
        <v>191</v>
      </c>
      <c r="B305" s="346" t="s">
        <v>909</v>
      </c>
      <c r="C305" s="346" t="s">
        <v>187</v>
      </c>
      <c r="D305" s="346" t="s">
        <v>158</v>
      </c>
      <c r="E305" s="346" t="s">
        <v>192</v>
      </c>
      <c r="F305" s="341"/>
      <c r="G305" s="9">
        <f t="shared" si="43"/>
        <v>0</v>
      </c>
      <c r="H305" s="9">
        <f t="shared" si="43"/>
        <v>0</v>
      </c>
    </row>
    <row r="306" spans="1:8" ht="15.75" hidden="1" x14ac:dyDescent="0.25">
      <c r="A306" s="22" t="s">
        <v>193</v>
      </c>
      <c r="B306" s="346" t="s">
        <v>909</v>
      </c>
      <c r="C306" s="346" t="s">
        <v>187</v>
      </c>
      <c r="D306" s="346" t="s">
        <v>158</v>
      </c>
      <c r="E306" s="346" t="s">
        <v>194</v>
      </c>
      <c r="F306" s="341"/>
      <c r="G306" s="9">
        <f>'Пр.4 ведом.22'!G814</f>
        <v>0</v>
      </c>
      <c r="H306" s="9">
        <f>'Пр.4 ведом.22'!H814</f>
        <v>0</v>
      </c>
    </row>
    <row r="307" spans="1:8" ht="31.5" hidden="1" x14ac:dyDescent="0.25">
      <c r="A307" s="108" t="s">
        <v>235</v>
      </c>
      <c r="B307" s="346" t="s">
        <v>909</v>
      </c>
      <c r="C307" s="346" t="s">
        <v>187</v>
      </c>
      <c r="D307" s="346" t="s">
        <v>158</v>
      </c>
      <c r="E307" s="346" t="s">
        <v>194</v>
      </c>
      <c r="F307" s="341" t="s">
        <v>307</v>
      </c>
      <c r="G307" s="9">
        <f>G304</f>
        <v>0</v>
      </c>
      <c r="H307" s="9">
        <f>H304</f>
        <v>0</v>
      </c>
    </row>
    <row r="308" spans="1:8" ht="47.25" hidden="1" x14ac:dyDescent="0.25">
      <c r="A308" s="195" t="s">
        <v>1022</v>
      </c>
      <c r="B308" s="299" t="s">
        <v>1023</v>
      </c>
      <c r="C308" s="346"/>
      <c r="D308" s="346"/>
      <c r="E308" s="346"/>
      <c r="F308" s="341"/>
      <c r="G308" s="35">
        <f t="shared" ref="G308:H312" si="44">G309</f>
        <v>0</v>
      </c>
      <c r="H308" s="35">
        <f t="shared" si="44"/>
        <v>0</v>
      </c>
    </row>
    <row r="309" spans="1:8" ht="15.75" hidden="1" x14ac:dyDescent="0.25">
      <c r="A309" s="108" t="s">
        <v>186</v>
      </c>
      <c r="B309" s="346" t="s">
        <v>1023</v>
      </c>
      <c r="C309" s="346" t="s">
        <v>187</v>
      </c>
      <c r="D309" s="346"/>
      <c r="E309" s="346"/>
      <c r="F309" s="341"/>
      <c r="G309" s="9">
        <f t="shared" si="44"/>
        <v>0</v>
      </c>
      <c r="H309" s="9">
        <f t="shared" si="44"/>
        <v>0</v>
      </c>
    </row>
    <row r="310" spans="1:8" ht="15.75" hidden="1" x14ac:dyDescent="0.25">
      <c r="A310" s="108" t="s">
        <v>239</v>
      </c>
      <c r="B310" s="346" t="s">
        <v>1023</v>
      </c>
      <c r="C310" s="346" t="s">
        <v>187</v>
      </c>
      <c r="D310" s="346" t="s">
        <v>158</v>
      </c>
      <c r="E310" s="346"/>
      <c r="F310" s="341"/>
      <c r="G310" s="9">
        <f t="shared" si="44"/>
        <v>0</v>
      </c>
      <c r="H310" s="9">
        <f t="shared" si="44"/>
        <v>0</v>
      </c>
    </row>
    <row r="311" spans="1:8" ht="47.25" hidden="1" x14ac:dyDescent="0.25">
      <c r="A311" s="194" t="s">
        <v>243</v>
      </c>
      <c r="B311" s="346" t="s">
        <v>1024</v>
      </c>
      <c r="C311" s="346" t="s">
        <v>187</v>
      </c>
      <c r="D311" s="346" t="s">
        <v>158</v>
      </c>
      <c r="E311" s="346"/>
      <c r="F311" s="341"/>
      <c r="G311" s="9">
        <f t="shared" si="44"/>
        <v>0</v>
      </c>
      <c r="H311" s="9">
        <f t="shared" si="44"/>
        <v>0</v>
      </c>
    </row>
    <row r="312" spans="1:8" ht="31.5" hidden="1" x14ac:dyDescent="0.25">
      <c r="A312" s="22" t="s">
        <v>191</v>
      </c>
      <c r="B312" s="346" t="s">
        <v>1024</v>
      </c>
      <c r="C312" s="346" t="s">
        <v>187</v>
      </c>
      <c r="D312" s="346" t="s">
        <v>158</v>
      </c>
      <c r="E312" s="346"/>
      <c r="F312" s="341"/>
      <c r="G312" s="9">
        <f t="shared" si="44"/>
        <v>0</v>
      </c>
      <c r="H312" s="9">
        <f t="shared" si="44"/>
        <v>0</v>
      </c>
    </row>
    <row r="313" spans="1:8" ht="15.75" hidden="1" x14ac:dyDescent="0.25">
      <c r="A313" s="22" t="s">
        <v>193</v>
      </c>
      <c r="B313" s="346" t="s">
        <v>1024</v>
      </c>
      <c r="C313" s="346" t="s">
        <v>187</v>
      </c>
      <c r="D313" s="346" t="s">
        <v>158</v>
      </c>
      <c r="E313" s="346" t="s">
        <v>192</v>
      </c>
      <c r="F313" s="341"/>
      <c r="G313" s="9">
        <f>'Пр.4 ведом.22'!G818</f>
        <v>0</v>
      </c>
      <c r="H313" s="9">
        <f>'Пр.4 ведом.22'!H818</f>
        <v>0</v>
      </c>
    </row>
    <row r="314" spans="1:8" ht="31.5" hidden="1" x14ac:dyDescent="0.25">
      <c r="A314" s="20" t="s">
        <v>235</v>
      </c>
      <c r="B314" s="346" t="s">
        <v>1024</v>
      </c>
      <c r="C314" s="346" t="s">
        <v>187</v>
      </c>
      <c r="D314" s="346" t="s">
        <v>158</v>
      </c>
      <c r="E314" s="346" t="s">
        <v>194</v>
      </c>
      <c r="F314" s="341" t="s">
        <v>307</v>
      </c>
      <c r="G314" s="9">
        <f>G308</f>
        <v>0</v>
      </c>
      <c r="H314" s="9">
        <f>H308</f>
        <v>0</v>
      </c>
    </row>
    <row r="315" spans="1:8" ht="31.5" hidden="1" x14ac:dyDescent="0.25">
      <c r="A315" s="195" t="s">
        <v>1034</v>
      </c>
      <c r="B315" s="299" t="s">
        <v>1036</v>
      </c>
      <c r="C315" s="299"/>
      <c r="D315" s="299"/>
      <c r="E315" s="299"/>
      <c r="F315" s="6"/>
      <c r="G315" s="35">
        <f>G316</f>
        <v>0</v>
      </c>
      <c r="H315" s="35">
        <f>H316</f>
        <v>0</v>
      </c>
    </row>
    <row r="316" spans="1:8" ht="15.75" hidden="1" x14ac:dyDescent="0.25">
      <c r="A316" s="108" t="s">
        <v>186</v>
      </c>
      <c r="B316" s="346" t="s">
        <v>1036</v>
      </c>
      <c r="C316" s="346" t="s">
        <v>187</v>
      </c>
      <c r="D316" s="346"/>
      <c r="E316" s="346"/>
      <c r="F316" s="341"/>
      <c r="G316" s="9">
        <f>G317+G322</f>
        <v>0</v>
      </c>
      <c r="H316" s="9">
        <f>H317+H322</f>
        <v>0</v>
      </c>
    </row>
    <row r="317" spans="1:8" ht="15.75" hidden="1" x14ac:dyDescent="0.25">
      <c r="A317" s="29" t="s">
        <v>236</v>
      </c>
      <c r="B317" s="346" t="s">
        <v>1036</v>
      </c>
      <c r="C317" s="346" t="s">
        <v>187</v>
      </c>
      <c r="D317" s="346" t="s">
        <v>116</v>
      </c>
      <c r="E317" s="346"/>
      <c r="F317" s="341"/>
      <c r="G317" s="9">
        <f t="shared" ref="G317:H319" si="45">G318</f>
        <v>0</v>
      </c>
      <c r="H317" s="9">
        <f t="shared" si="45"/>
        <v>0</v>
      </c>
    </row>
    <row r="318" spans="1:8" ht="31.5" hidden="1" x14ac:dyDescent="0.25">
      <c r="A318" s="194" t="s">
        <v>1035</v>
      </c>
      <c r="B318" s="346" t="s">
        <v>1037</v>
      </c>
      <c r="C318" s="346" t="s">
        <v>187</v>
      </c>
      <c r="D318" s="346" t="s">
        <v>116</v>
      </c>
      <c r="E318" s="346"/>
      <c r="F318" s="341"/>
      <c r="G318" s="9">
        <f t="shared" si="45"/>
        <v>0</v>
      </c>
      <c r="H318" s="9">
        <f t="shared" si="45"/>
        <v>0</v>
      </c>
    </row>
    <row r="319" spans="1:8" ht="31.5" hidden="1" x14ac:dyDescent="0.25">
      <c r="A319" s="22" t="s">
        <v>191</v>
      </c>
      <c r="B319" s="346" t="s">
        <v>1037</v>
      </c>
      <c r="C319" s="346" t="s">
        <v>187</v>
      </c>
      <c r="D319" s="346" t="s">
        <v>116</v>
      </c>
      <c r="E319" s="346" t="s">
        <v>192</v>
      </c>
      <c r="F319" s="341"/>
      <c r="G319" s="9">
        <f t="shared" si="45"/>
        <v>0</v>
      </c>
      <c r="H319" s="9">
        <f t="shared" si="45"/>
        <v>0</v>
      </c>
    </row>
    <row r="320" spans="1:8" ht="15.75" hidden="1" x14ac:dyDescent="0.25">
      <c r="A320" s="22" t="s">
        <v>193</v>
      </c>
      <c r="B320" s="346" t="s">
        <v>1037</v>
      </c>
      <c r="C320" s="346" t="s">
        <v>187</v>
      </c>
      <c r="D320" s="346" t="s">
        <v>116</v>
      </c>
      <c r="E320" s="346" t="s">
        <v>194</v>
      </c>
      <c r="F320" s="341"/>
      <c r="G320" s="9">
        <f>'Пр.4 ведом.22'!G738</f>
        <v>0</v>
      </c>
      <c r="H320" s="9">
        <f>'Пр.4 ведом.22'!H738</f>
        <v>0</v>
      </c>
    </row>
    <row r="321" spans="1:8" ht="31.5" hidden="1" x14ac:dyDescent="0.25">
      <c r="A321" s="20" t="s">
        <v>235</v>
      </c>
      <c r="B321" s="346" t="s">
        <v>1037</v>
      </c>
      <c r="C321" s="346" t="s">
        <v>187</v>
      </c>
      <c r="D321" s="346" t="s">
        <v>116</v>
      </c>
      <c r="E321" s="346" t="s">
        <v>194</v>
      </c>
      <c r="F321" s="341" t="s">
        <v>307</v>
      </c>
      <c r="G321" s="9">
        <f>G320</f>
        <v>0</v>
      </c>
      <c r="H321" s="9">
        <f>H320</f>
        <v>0</v>
      </c>
    </row>
    <row r="322" spans="1:8" ht="15.75" hidden="1" x14ac:dyDescent="0.25">
      <c r="A322" s="108" t="s">
        <v>239</v>
      </c>
      <c r="B322" s="346" t="s">
        <v>1037</v>
      </c>
      <c r="C322" s="346" t="s">
        <v>187</v>
      </c>
      <c r="D322" s="346" t="s">
        <v>158</v>
      </c>
      <c r="E322" s="346"/>
      <c r="F322" s="341"/>
      <c r="G322" s="9">
        <f t="shared" ref="G322:H324" si="46">G323</f>
        <v>0</v>
      </c>
      <c r="H322" s="9">
        <f t="shared" si="46"/>
        <v>0</v>
      </c>
    </row>
    <row r="323" spans="1:8" ht="31.5" hidden="1" x14ac:dyDescent="0.25">
      <c r="A323" s="194" t="s">
        <v>1035</v>
      </c>
      <c r="B323" s="346" t="s">
        <v>1037</v>
      </c>
      <c r="C323" s="346" t="s">
        <v>187</v>
      </c>
      <c r="D323" s="346" t="s">
        <v>158</v>
      </c>
      <c r="E323" s="346"/>
      <c r="F323" s="341"/>
      <c r="G323" s="9">
        <f t="shared" si="46"/>
        <v>0</v>
      </c>
      <c r="H323" s="9">
        <f t="shared" si="46"/>
        <v>0</v>
      </c>
    </row>
    <row r="324" spans="1:8" ht="31.5" hidden="1" x14ac:dyDescent="0.25">
      <c r="A324" s="22" t="s">
        <v>191</v>
      </c>
      <c r="B324" s="346" t="s">
        <v>1037</v>
      </c>
      <c r="C324" s="346" t="s">
        <v>187</v>
      </c>
      <c r="D324" s="346" t="s">
        <v>158</v>
      </c>
      <c r="E324" s="346" t="s">
        <v>192</v>
      </c>
      <c r="F324" s="341"/>
      <c r="G324" s="9">
        <f t="shared" si="46"/>
        <v>0</v>
      </c>
      <c r="H324" s="9">
        <f t="shared" si="46"/>
        <v>0</v>
      </c>
    </row>
    <row r="325" spans="1:8" ht="15.75" hidden="1" x14ac:dyDescent="0.25">
      <c r="A325" s="22" t="s">
        <v>193</v>
      </c>
      <c r="B325" s="346" t="s">
        <v>1037</v>
      </c>
      <c r="C325" s="346" t="s">
        <v>187</v>
      </c>
      <c r="D325" s="346" t="s">
        <v>158</v>
      </c>
      <c r="E325" s="346" t="s">
        <v>194</v>
      </c>
      <c r="F325" s="341"/>
      <c r="G325" s="9">
        <f>'Пр.4 ведом.22'!G822</f>
        <v>0</v>
      </c>
      <c r="H325" s="9">
        <f>'Пр.4 ведом.22'!H822</f>
        <v>0</v>
      </c>
    </row>
    <row r="326" spans="1:8" ht="31.5" hidden="1" x14ac:dyDescent="0.25">
      <c r="A326" s="20" t="s">
        <v>235</v>
      </c>
      <c r="B326" s="346" t="s">
        <v>1037</v>
      </c>
      <c r="C326" s="346" t="s">
        <v>187</v>
      </c>
      <c r="D326" s="346" t="s">
        <v>158</v>
      </c>
      <c r="E326" s="346" t="s">
        <v>194</v>
      </c>
      <c r="F326" s="341" t="s">
        <v>307</v>
      </c>
      <c r="G326" s="9">
        <f>G325</f>
        <v>0</v>
      </c>
      <c r="H326" s="9">
        <f>H325</f>
        <v>0</v>
      </c>
    </row>
    <row r="327" spans="1:8" ht="47.25" hidden="1" x14ac:dyDescent="0.25">
      <c r="A327" s="195" t="s">
        <v>1038</v>
      </c>
      <c r="B327" s="299" t="s">
        <v>1041</v>
      </c>
      <c r="C327" s="299"/>
      <c r="D327" s="299"/>
      <c r="E327" s="299"/>
      <c r="F327" s="6"/>
      <c r="G327" s="35">
        <f t="shared" ref="G327:H331" si="47">G328</f>
        <v>0</v>
      </c>
      <c r="H327" s="35">
        <f t="shared" si="47"/>
        <v>0</v>
      </c>
    </row>
    <row r="328" spans="1:8" ht="15.75" hidden="1" x14ac:dyDescent="0.25">
      <c r="A328" s="108" t="s">
        <v>186</v>
      </c>
      <c r="B328" s="346" t="s">
        <v>1041</v>
      </c>
      <c r="C328" s="346" t="s">
        <v>187</v>
      </c>
      <c r="D328" s="346"/>
      <c r="E328" s="346"/>
      <c r="F328" s="341"/>
      <c r="G328" s="9">
        <f t="shared" si="47"/>
        <v>0</v>
      </c>
      <c r="H328" s="9">
        <f t="shared" si="47"/>
        <v>0</v>
      </c>
    </row>
    <row r="329" spans="1:8" ht="15.75" hidden="1" x14ac:dyDescent="0.25">
      <c r="A329" s="29" t="s">
        <v>236</v>
      </c>
      <c r="B329" s="346" t="s">
        <v>1041</v>
      </c>
      <c r="C329" s="346" t="s">
        <v>187</v>
      </c>
      <c r="D329" s="346" t="s">
        <v>116</v>
      </c>
      <c r="E329" s="346"/>
      <c r="F329" s="341"/>
      <c r="G329" s="9">
        <f t="shared" si="47"/>
        <v>0</v>
      </c>
      <c r="H329" s="9">
        <f t="shared" si="47"/>
        <v>0</v>
      </c>
    </row>
    <row r="330" spans="1:8" ht="47.25" hidden="1" x14ac:dyDescent="0.25">
      <c r="A330" s="194" t="s">
        <v>1039</v>
      </c>
      <c r="B330" s="346" t="s">
        <v>1040</v>
      </c>
      <c r="C330" s="346" t="s">
        <v>187</v>
      </c>
      <c r="D330" s="346" t="s">
        <v>116</v>
      </c>
      <c r="E330" s="346"/>
      <c r="F330" s="341"/>
      <c r="G330" s="9">
        <f>G331</f>
        <v>0</v>
      </c>
      <c r="H330" s="9">
        <f>H331</f>
        <v>0</v>
      </c>
    </row>
    <row r="331" spans="1:8" ht="31.5" hidden="1" x14ac:dyDescent="0.25">
      <c r="A331" s="22" t="s">
        <v>191</v>
      </c>
      <c r="B331" s="346" t="s">
        <v>1040</v>
      </c>
      <c r="C331" s="346" t="s">
        <v>187</v>
      </c>
      <c r="D331" s="346" t="s">
        <v>116</v>
      </c>
      <c r="E331" s="346" t="s">
        <v>192</v>
      </c>
      <c r="F331" s="341"/>
      <c r="G331" s="9">
        <f t="shared" si="47"/>
        <v>0</v>
      </c>
      <c r="H331" s="9">
        <f t="shared" si="47"/>
        <v>0</v>
      </c>
    </row>
    <row r="332" spans="1:8" ht="15.75" hidden="1" x14ac:dyDescent="0.25">
      <c r="A332" s="22" t="s">
        <v>193</v>
      </c>
      <c r="B332" s="346" t="s">
        <v>1040</v>
      </c>
      <c r="C332" s="346" t="s">
        <v>187</v>
      </c>
      <c r="D332" s="346" t="s">
        <v>116</v>
      </c>
      <c r="E332" s="346" t="s">
        <v>194</v>
      </c>
      <c r="F332" s="341"/>
      <c r="G332" s="9">
        <f>'Пр.4 ведом.22'!G742</f>
        <v>0</v>
      </c>
      <c r="H332" s="9">
        <f>'Пр.4 ведом.22'!H742</f>
        <v>0</v>
      </c>
    </row>
    <row r="333" spans="1:8" ht="31.5" hidden="1" x14ac:dyDescent="0.25">
      <c r="A333" s="20" t="s">
        <v>235</v>
      </c>
      <c r="B333" s="346" t="s">
        <v>1040</v>
      </c>
      <c r="C333" s="346" t="s">
        <v>187</v>
      </c>
      <c r="D333" s="346" t="s">
        <v>116</v>
      </c>
      <c r="E333" s="346" t="s">
        <v>194</v>
      </c>
      <c r="F333" s="341" t="s">
        <v>307</v>
      </c>
      <c r="G333" s="9">
        <f>G332</f>
        <v>0</v>
      </c>
      <c r="H333" s="9">
        <f>H332</f>
        <v>0</v>
      </c>
    </row>
    <row r="334" spans="1:8" ht="48.2" hidden="1" customHeight="1" x14ac:dyDescent="0.25">
      <c r="A334" s="138" t="s">
        <v>720</v>
      </c>
      <c r="B334" s="299" t="s">
        <v>829</v>
      </c>
      <c r="C334" s="341"/>
      <c r="D334" s="341"/>
      <c r="E334" s="341"/>
      <c r="F334" s="341"/>
      <c r="G334" s="35">
        <f t="shared" ref="G334:H338" si="48">G335</f>
        <v>0</v>
      </c>
      <c r="H334" s="35">
        <f t="shared" si="48"/>
        <v>0</v>
      </c>
    </row>
    <row r="335" spans="1:8" ht="15" hidden="1" customHeight="1" x14ac:dyDescent="0.25">
      <c r="A335" s="20" t="s">
        <v>186</v>
      </c>
      <c r="B335" s="346" t="s">
        <v>829</v>
      </c>
      <c r="C335" s="341" t="s">
        <v>187</v>
      </c>
      <c r="D335" s="341"/>
      <c r="E335" s="341"/>
      <c r="F335" s="341"/>
      <c r="G335" s="9">
        <f t="shared" si="48"/>
        <v>0</v>
      </c>
      <c r="H335" s="9">
        <f t="shared" si="48"/>
        <v>0</v>
      </c>
    </row>
    <row r="336" spans="1:8" ht="19.5" hidden="1" customHeight="1" x14ac:dyDescent="0.25">
      <c r="A336" s="20" t="s">
        <v>239</v>
      </c>
      <c r="B336" s="346" t="s">
        <v>829</v>
      </c>
      <c r="C336" s="341" t="s">
        <v>187</v>
      </c>
      <c r="D336" s="341" t="s">
        <v>158</v>
      </c>
      <c r="E336" s="341"/>
      <c r="F336" s="341"/>
      <c r="G336" s="9">
        <f t="shared" si="48"/>
        <v>0</v>
      </c>
      <c r="H336" s="9">
        <f t="shared" si="48"/>
        <v>0</v>
      </c>
    </row>
    <row r="337" spans="1:8" ht="62.45" hidden="1" customHeight="1" x14ac:dyDescent="0.25">
      <c r="A337" s="108" t="s">
        <v>979</v>
      </c>
      <c r="B337" s="346" t="s">
        <v>830</v>
      </c>
      <c r="C337" s="341" t="s">
        <v>187</v>
      </c>
      <c r="D337" s="341" t="s">
        <v>158</v>
      </c>
      <c r="E337" s="341"/>
      <c r="F337" s="341"/>
      <c r="G337" s="9">
        <f t="shared" si="48"/>
        <v>0</v>
      </c>
      <c r="H337" s="9">
        <f t="shared" si="48"/>
        <v>0</v>
      </c>
    </row>
    <row r="338" spans="1:8" ht="33.75" hidden="1" customHeight="1" x14ac:dyDescent="0.25">
      <c r="A338" s="22" t="s">
        <v>191</v>
      </c>
      <c r="B338" s="346" t="s">
        <v>830</v>
      </c>
      <c r="C338" s="341" t="s">
        <v>187</v>
      </c>
      <c r="D338" s="341" t="s">
        <v>158</v>
      </c>
      <c r="E338" s="341" t="s">
        <v>192</v>
      </c>
      <c r="F338" s="341"/>
      <c r="G338" s="9">
        <f t="shared" si="48"/>
        <v>0</v>
      </c>
      <c r="H338" s="9">
        <f t="shared" si="48"/>
        <v>0</v>
      </c>
    </row>
    <row r="339" spans="1:8" ht="21.2" hidden="1" customHeight="1" x14ac:dyDescent="0.25">
      <c r="A339" s="22" t="s">
        <v>193</v>
      </c>
      <c r="B339" s="346" t="s">
        <v>830</v>
      </c>
      <c r="C339" s="341" t="s">
        <v>187</v>
      </c>
      <c r="D339" s="341" t="s">
        <v>158</v>
      </c>
      <c r="E339" s="341" t="s">
        <v>194</v>
      </c>
      <c r="F339" s="341"/>
      <c r="G339" s="9">
        <f>'Пр.4 ведом.22'!G826</f>
        <v>0</v>
      </c>
      <c r="H339" s="9">
        <f>'Пр.4 ведом.22'!H826</f>
        <v>0</v>
      </c>
    </row>
    <row r="340" spans="1:8" ht="31.7" hidden="1" customHeight="1" x14ac:dyDescent="0.25">
      <c r="A340" s="20" t="s">
        <v>235</v>
      </c>
      <c r="B340" s="346" t="s">
        <v>830</v>
      </c>
      <c r="C340" s="341" t="s">
        <v>187</v>
      </c>
      <c r="D340" s="341" t="s">
        <v>158</v>
      </c>
      <c r="E340" s="341" t="s">
        <v>194</v>
      </c>
      <c r="F340" s="341" t="s">
        <v>307</v>
      </c>
      <c r="G340" s="9">
        <f>G334</f>
        <v>0</v>
      </c>
      <c r="H340" s="9">
        <f>H334</f>
        <v>0</v>
      </c>
    </row>
    <row r="341" spans="1:8" ht="31.7" hidden="1" customHeight="1" x14ac:dyDescent="0.25">
      <c r="A341" s="24" t="s">
        <v>952</v>
      </c>
      <c r="B341" s="299" t="s">
        <v>953</v>
      </c>
      <c r="C341" s="341"/>
      <c r="D341" s="341"/>
      <c r="E341" s="341"/>
      <c r="F341" s="341"/>
      <c r="G341" s="35">
        <f t="shared" ref="G341:H345" si="49">G342</f>
        <v>0</v>
      </c>
      <c r="H341" s="35">
        <f t="shared" si="49"/>
        <v>0</v>
      </c>
    </row>
    <row r="342" spans="1:8" ht="15.75" hidden="1" x14ac:dyDescent="0.25">
      <c r="A342" s="20" t="s">
        <v>186</v>
      </c>
      <c r="B342" s="346" t="s">
        <v>953</v>
      </c>
      <c r="C342" s="341" t="s">
        <v>187</v>
      </c>
      <c r="D342" s="341"/>
      <c r="E342" s="341"/>
      <c r="F342" s="341"/>
      <c r="G342" s="9">
        <f t="shared" si="49"/>
        <v>0</v>
      </c>
      <c r="H342" s="9">
        <f t="shared" si="49"/>
        <v>0</v>
      </c>
    </row>
    <row r="343" spans="1:8" ht="15.75" hidden="1" x14ac:dyDescent="0.25">
      <c r="A343" s="20" t="s">
        <v>239</v>
      </c>
      <c r="B343" s="346" t="s">
        <v>953</v>
      </c>
      <c r="C343" s="341" t="s">
        <v>187</v>
      </c>
      <c r="D343" s="341" t="s">
        <v>158</v>
      </c>
      <c r="E343" s="341"/>
      <c r="F343" s="341"/>
      <c r="G343" s="9">
        <f t="shared" si="49"/>
        <v>0</v>
      </c>
      <c r="H343" s="9">
        <f t="shared" si="49"/>
        <v>0</v>
      </c>
    </row>
    <row r="344" spans="1:8" ht="57.75" hidden="1" customHeight="1" x14ac:dyDescent="0.25">
      <c r="A344" s="22" t="s">
        <v>980</v>
      </c>
      <c r="B344" s="346" t="s">
        <v>954</v>
      </c>
      <c r="C344" s="341" t="s">
        <v>187</v>
      </c>
      <c r="D344" s="341" t="s">
        <v>158</v>
      </c>
      <c r="E344" s="341"/>
      <c r="F344" s="341"/>
      <c r="G344" s="9">
        <f t="shared" si="49"/>
        <v>0</v>
      </c>
      <c r="H344" s="9">
        <f t="shared" si="49"/>
        <v>0</v>
      </c>
    </row>
    <row r="345" spans="1:8" ht="31.7" hidden="1" customHeight="1" x14ac:dyDescent="0.25">
      <c r="A345" s="22" t="s">
        <v>191</v>
      </c>
      <c r="B345" s="346" t="s">
        <v>954</v>
      </c>
      <c r="C345" s="341" t="s">
        <v>187</v>
      </c>
      <c r="D345" s="341" t="s">
        <v>158</v>
      </c>
      <c r="E345" s="341" t="s">
        <v>192</v>
      </c>
      <c r="F345" s="341"/>
      <c r="G345" s="9">
        <f t="shared" si="49"/>
        <v>0</v>
      </c>
      <c r="H345" s="9">
        <f t="shared" si="49"/>
        <v>0</v>
      </c>
    </row>
    <row r="346" spans="1:8" ht="31.7" hidden="1" customHeight="1" x14ac:dyDescent="0.25">
      <c r="A346" s="22" t="s">
        <v>193</v>
      </c>
      <c r="B346" s="346" t="s">
        <v>954</v>
      </c>
      <c r="C346" s="341" t="s">
        <v>187</v>
      </c>
      <c r="D346" s="341" t="s">
        <v>158</v>
      </c>
      <c r="E346" s="341" t="s">
        <v>194</v>
      </c>
      <c r="F346" s="341"/>
      <c r="G346" s="9">
        <f>'Пр.4 ведом.22'!G830</f>
        <v>0</v>
      </c>
      <c r="H346" s="9">
        <f>'Пр.4 ведом.22'!H830</f>
        <v>0</v>
      </c>
    </row>
    <row r="347" spans="1:8" ht="31.7" hidden="1" customHeight="1" x14ac:dyDescent="0.25">
      <c r="A347" s="20" t="s">
        <v>235</v>
      </c>
      <c r="B347" s="346" t="s">
        <v>954</v>
      </c>
      <c r="C347" s="341" t="s">
        <v>187</v>
      </c>
      <c r="D347" s="341" t="s">
        <v>158</v>
      </c>
      <c r="E347" s="341" t="s">
        <v>194</v>
      </c>
      <c r="F347" s="341" t="s">
        <v>307</v>
      </c>
      <c r="G347" s="9">
        <f>G341</f>
        <v>0</v>
      </c>
      <c r="H347" s="9">
        <f>H341</f>
        <v>0</v>
      </c>
    </row>
    <row r="348" spans="1:8" ht="31.5" x14ac:dyDescent="0.25">
      <c r="A348" s="24" t="s">
        <v>959</v>
      </c>
      <c r="B348" s="299" t="s">
        <v>957</v>
      </c>
      <c r="C348" s="341"/>
      <c r="D348" s="341"/>
      <c r="E348" s="341"/>
      <c r="F348" s="341"/>
      <c r="G348" s="35">
        <f t="shared" ref="G348:H351" si="50">G349</f>
        <v>2414</v>
      </c>
      <c r="H348" s="35">
        <f t="shared" si="50"/>
        <v>0</v>
      </c>
    </row>
    <row r="349" spans="1:8" ht="15.75" x14ac:dyDescent="0.25">
      <c r="A349" s="20" t="s">
        <v>186</v>
      </c>
      <c r="B349" s="346" t="s">
        <v>958</v>
      </c>
      <c r="C349" s="341" t="s">
        <v>187</v>
      </c>
      <c r="D349" s="341"/>
      <c r="E349" s="341"/>
      <c r="F349" s="341"/>
      <c r="G349" s="9">
        <f t="shared" si="50"/>
        <v>2414</v>
      </c>
      <c r="H349" s="9">
        <f t="shared" si="50"/>
        <v>0</v>
      </c>
    </row>
    <row r="350" spans="1:8" ht="15.75" x14ac:dyDescent="0.25">
      <c r="A350" s="20" t="s">
        <v>239</v>
      </c>
      <c r="B350" s="346" t="s">
        <v>958</v>
      </c>
      <c r="C350" s="341" t="s">
        <v>187</v>
      </c>
      <c r="D350" s="341" t="s">
        <v>158</v>
      </c>
      <c r="E350" s="341"/>
      <c r="F350" s="341"/>
      <c r="G350" s="9">
        <f t="shared" si="50"/>
        <v>2414</v>
      </c>
      <c r="H350" s="9">
        <f t="shared" si="50"/>
        <v>0</v>
      </c>
    </row>
    <row r="351" spans="1:8" ht="49.5" customHeight="1" x14ac:dyDescent="0.25">
      <c r="A351" s="393" t="s">
        <v>1278</v>
      </c>
      <c r="B351" s="346" t="s">
        <v>958</v>
      </c>
      <c r="C351" s="341" t="s">
        <v>187</v>
      </c>
      <c r="D351" s="341" t="s">
        <v>158</v>
      </c>
      <c r="E351" s="341" t="s">
        <v>192</v>
      </c>
      <c r="F351" s="341"/>
      <c r="G351" s="9">
        <f t="shared" si="50"/>
        <v>2414</v>
      </c>
      <c r="H351" s="9">
        <f t="shared" si="50"/>
        <v>0</v>
      </c>
    </row>
    <row r="352" spans="1:8" ht="31.5" x14ac:dyDescent="0.25">
      <c r="A352" s="22" t="s">
        <v>191</v>
      </c>
      <c r="B352" s="346" t="s">
        <v>958</v>
      </c>
      <c r="C352" s="341" t="s">
        <v>187</v>
      </c>
      <c r="D352" s="341" t="s">
        <v>158</v>
      </c>
      <c r="E352" s="341" t="s">
        <v>194</v>
      </c>
      <c r="F352" s="341"/>
      <c r="G352" s="9">
        <f>'Пр.4.1 ведом.23-24 '!G757</f>
        <v>2414</v>
      </c>
      <c r="H352" s="9">
        <f>'Пр.4.1 ведом.23-24 '!H757</f>
        <v>0</v>
      </c>
    </row>
    <row r="353" spans="1:8" ht="15.75" x14ac:dyDescent="0.25">
      <c r="A353" s="22" t="s">
        <v>193</v>
      </c>
      <c r="B353" s="346" t="s">
        <v>958</v>
      </c>
      <c r="C353" s="341" t="s">
        <v>187</v>
      </c>
      <c r="D353" s="341" t="s">
        <v>158</v>
      </c>
      <c r="E353" s="341" t="s">
        <v>194</v>
      </c>
      <c r="F353" s="341" t="s">
        <v>307</v>
      </c>
      <c r="G353" s="9">
        <f>G352</f>
        <v>2414</v>
      </c>
      <c r="H353" s="9">
        <f>H352</f>
        <v>0</v>
      </c>
    </row>
    <row r="354" spans="1:8" ht="47.25" x14ac:dyDescent="0.25">
      <c r="A354" s="34" t="s">
        <v>879</v>
      </c>
      <c r="B354" s="119" t="s">
        <v>141</v>
      </c>
      <c r="C354" s="6"/>
      <c r="D354" s="119"/>
      <c r="E354" s="119"/>
      <c r="F354" s="119"/>
      <c r="G354" s="35">
        <f>G356</f>
        <v>149.9</v>
      </c>
      <c r="H354" s="35">
        <f>H356</f>
        <v>150</v>
      </c>
    </row>
    <row r="355" spans="1:8" ht="36.75" customHeight="1" x14ac:dyDescent="0.25">
      <c r="A355" s="298" t="s">
        <v>619</v>
      </c>
      <c r="B355" s="299" t="s">
        <v>617</v>
      </c>
      <c r="C355" s="6"/>
      <c r="D355" s="6"/>
      <c r="E355" s="6"/>
      <c r="F355" s="6"/>
      <c r="G355" s="35">
        <f t="shared" ref="G355:H359" si="51">G356</f>
        <v>149.9</v>
      </c>
      <c r="H355" s="35">
        <f t="shared" si="51"/>
        <v>150</v>
      </c>
    </row>
    <row r="356" spans="1:8" ht="15.75" x14ac:dyDescent="0.25">
      <c r="A356" s="29" t="s">
        <v>166</v>
      </c>
      <c r="B356" s="4" t="s">
        <v>617</v>
      </c>
      <c r="C356" s="341" t="s">
        <v>139</v>
      </c>
      <c r="D356" s="341"/>
      <c r="E356" s="341"/>
      <c r="F356" s="341"/>
      <c r="G356" s="9">
        <f t="shared" si="51"/>
        <v>149.9</v>
      </c>
      <c r="H356" s="9">
        <f t="shared" si="51"/>
        <v>150</v>
      </c>
    </row>
    <row r="357" spans="1:8" ht="15.75" x14ac:dyDescent="0.25">
      <c r="A357" s="29" t="s">
        <v>352</v>
      </c>
      <c r="B357" s="4" t="s">
        <v>617</v>
      </c>
      <c r="C357" s="341" t="s">
        <v>139</v>
      </c>
      <c r="D357" s="341" t="s">
        <v>171</v>
      </c>
      <c r="E357" s="341"/>
      <c r="F357" s="341"/>
      <c r="G357" s="9">
        <f t="shared" si="51"/>
        <v>149.9</v>
      </c>
      <c r="H357" s="9">
        <f t="shared" si="51"/>
        <v>150</v>
      </c>
    </row>
    <row r="358" spans="1:8" ht="31.5" x14ac:dyDescent="0.25">
      <c r="A358" s="345" t="s">
        <v>620</v>
      </c>
      <c r="B358" s="346" t="s">
        <v>618</v>
      </c>
      <c r="C358" s="341" t="s">
        <v>139</v>
      </c>
      <c r="D358" s="341" t="s">
        <v>171</v>
      </c>
      <c r="E358" s="341"/>
      <c r="F358" s="341"/>
      <c r="G358" s="9">
        <f t="shared" si="51"/>
        <v>149.9</v>
      </c>
      <c r="H358" s="9">
        <f t="shared" si="51"/>
        <v>150</v>
      </c>
    </row>
    <row r="359" spans="1:8" ht="15.75" x14ac:dyDescent="0.25">
      <c r="A359" s="345" t="s">
        <v>127</v>
      </c>
      <c r="B359" s="346" t="s">
        <v>618</v>
      </c>
      <c r="C359" s="341" t="s">
        <v>139</v>
      </c>
      <c r="D359" s="341" t="s">
        <v>171</v>
      </c>
      <c r="E359" s="341" t="s">
        <v>124</v>
      </c>
      <c r="F359" s="341"/>
      <c r="G359" s="9">
        <f t="shared" si="51"/>
        <v>149.9</v>
      </c>
      <c r="H359" s="9">
        <f t="shared" si="51"/>
        <v>150</v>
      </c>
    </row>
    <row r="360" spans="1:8" ht="47.25" x14ac:dyDescent="0.25">
      <c r="A360" s="345" t="s">
        <v>148</v>
      </c>
      <c r="B360" s="346" t="s">
        <v>618</v>
      </c>
      <c r="C360" s="341" t="s">
        <v>139</v>
      </c>
      <c r="D360" s="341" t="s">
        <v>171</v>
      </c>
      <c r="E360" s="341" t="s">
        <v>126</v>
      </c>
      <c r="F360" s="341"/>
      <c r="G360" s="9">
        <f>'Пр.4.1 ведом.23-24 '!G224</f>
        <v>149.9</v>
      </c>
      <c r="H360" s="9">
        <f>'Пр.4.1 ведом.23-24 '!H224</f>
        <v>150</v>
      </c>
    </row>
    <row r="361" spans="1:8" ht="15.75" x14ac:dyDescent="0.25">
      <c r="A361" s="20" t="s">
        <v>137</v>
      </c>
      <c r="B361" s="346" t="s">
        <v>618</v>
      </c>
      <c r="C361" s="341" t="s">
        <v>139</v>
      </c>
      <c r="D361" s="341" t="s">
        <v>171</v>
      </c>
      <c r="E361" s="341" t="s">
        <v>126</v>
      </c>
      <c r="F361" s="341" t="s">
        <v>308</v>
      </c>
      <c r="G361" s="9">
        <f>G360</f>
        <v>149.9</v>
      </c>
      <c r="H361" s="9">
        <f>H360</f>
        <v>150</v>
      </c>
    </row>
    <row r="362" spans="1:8" ht="45.75" customHeight="1" x14ac:dyDescent="0.25">
      <c r="A362" s="340" t="s">
        <v>867</v>
      </c>
      <c r="B362" s="119" t="s">
        <v>143</v>
      </c>
      <c r="C362" s="6"/>
      <c r="D362" s="6"/>
      <c r="E362" s="6"/>
      <c r="F362" s="6"/>
      <c r="G362" s="35">
        <f>G363+G370+G389</f>
        <v>604</v>
      </c>
      <c r="H362" s="35">
        <f>H363+H370+H389</f>
        <v>604</v>
      </c>
    </row>
    <row r="363" spans="1:8" ht="67.7" customHeight="1" x14ac:dyDescent="0.25">
      <c r="A363" s="196" t="s">
        <v>843</v>
      </c>
      <c r="B363" s="6" t="s">
        <v>423</v>
      </c>
      <c r="C363" s="6"/>
      <c r="D363" s="7"/>
      <c r="E363" s="119"/>
      <c r="F363" s="6"/>
      <c r="G363" s="35">
        <f>G365</f>
        <v>526</v>
      </c>
      <c r="H363" s="35">
        <f>H365</f>
        <v>526</v>
      </c>
    </row>
    <row r="364" spans="1:8" ht="15.75" customHeight="1" x14ac:dyDescent="0.25">
      <c r="A364" s="29" t="s">
        <v>115</v>
      </c>
      <c r="B364" s="4" t="s">
        <v>423</v>
      </c>
      <c r="C364" s="341" t="s">
        <v>116</v>
      </c>
      <c r="D364" s="4"/>
      <c r="E364" s="4"/>
      <c r="F364" s="341"/>
      <c r="G364" s="9">
        <f t="shared" ref="G364:H364" si="52">G365</f>
        <v>526</v>
      </c>
      <c r="H364" s="9">
        <f t="shared" si="52"/>
        <v>526</v>
      </c>
    </row>
    <row r="365" spans="1:8" ht="45.75" customHeight="1" x14ac:dyDescent="0.25">
      <c r="A365" s="20" t="s">
        <v>138</v>
      </c>
      <c r="B365" s="4" t="s">
        <v>423</v>
      </c>
      <c r="C365" s="341" t="s">
        <v>116</v>
      </c>
      <c r="D365" s="8" t="s">
        <v>139</v>
      </c>
      <c r="E365" s="4"/>
      <c r="F365" s="341"/>
      <c r="G365" s="9">
        <f>G366</f>
        <v>526</v>
      </c>
      <c r="H365" s="9">
        <f>H366</f>
        <v>526</v>
      </c>
    </row>
    <row r="366" spans="1:8" ht="62.45" customHeight="1" x14ac:dyDescent="0.25">
      <c r="A366" s="20" t="s">
        <v>821</v>
      </c>
      <c r="B366" s="341" t="s">
        <v>416</v>
      </c>
      <c r="C366" s="341" t="s">
        <v>116</v>
      </c>
      <c r="D366" s="8" t="s">
        <v>139</v>
      </c>
      <c r="E366" s="341"/>
      <c r="F366" s="341"/>
      <c r="G366" s="9">
        <f t="shared" ref="G366:H367" si="53">G367</f>
        <v>526</v>
      </c>
      <c r="H366" s="9">
        <f t="shared" si="53"/>
        <v>526</v>
      </c>
    </row>
    <row r="367" spans="1:8" ht="34.5" customHeight="1" x14ac:dyDescent="0.25">
      <c r="A367" s="20" t="s">
        <v>123</v>
      </c>
      <c r="B367" s="341" t="s">
        <v>416</v>
      </c>
      <c r="C367" s="341" t="s">
        <v>116</v>
      </c>
      <c r="D367" s="8" t="s">
        <v>139</v>
      </c>
      <c r="E367" s="341" t="s">
        <v>124</v>
      </c>
      <c r="F367" s="341"/>
      <c r="G367" s="9">
        <f t="shared" si="53"/>
        <v>526</v>
      </c>
      <c r="H367" s="9">
        <f t="shared" si="53"/>
        <v>526</v>
      </c>
    </row>
    <row r="368" spans="1:8" ht="36" customHeight="1" x14ac:dyDescent="0.25">
      <c r="A368" s="20" t="s">
        <v>125</v>
      </c>
      <c r="B368" s="341" t="s">
        <v>416</v>
      </c>
      <c r="C368" s="341" t="s">
        <v>116</v>
      </c>
      <c r="D368" s="8" t="s">
        <v>139</v>
      </c>
      <c r="E368" s="341" t="s">
        <v>126</v>
      </c>
      <c r="F368" s="341"/>
      <c r="G368" s="9">
        <f>'Пр.4.1 ведом.23-24 '!G90</f>
        <v>526</v>
      </c>
      <c r="H368" s="9">
        <f>'Пр.4.1 ведом.23-24 '!H90</f>
        <v>526</v>
      </c>
    </row>
    <row r="369" spans="1:8" ht="20.25" customHeight="1" x14ac:dyDescent="0.25">
      <c r="A369" s="20" t="s">
        <v>137</v>
      </c>
      <c r="B369" s="341" t="s">
        <v>416</v>
      </c>
      <c r="C369" s="341" t="s">
        <v>116</v>
      </c>
      <c r="D369" s="8" t="s">
        <v>139</v>
      </c>
      <c r="E369" s="341" t="s">
        <v>126</v>
      </c>
      <c r="F369" s="341" t="s">
        <v>308</v>
      </c>
      <c r="G369" s="9">
        <f>G368</f>
        <v>526</v>
      </c>
      <c r="H369" s="9">
        <f>H368</f>
        <v>526</v>
      </c>
    </row>
    <row r="370" spans="1:8" ht="63" customHeight="1" x14ac:dyDescent="0.25">
      <c r="A370" s="141" t="s">
        <v>418</v>
      </c>
      <c r="B370" s="6" t="s">
        <v>424</v>
      </c>
      <c r="C370" s="6"/>
      <c r="D370" s="7"/>
      <c r="E370" s="119"/>
      <c r="F370" s="6"/>
      <c r="G370" s="35">
        <f>G371</f>
        <v>77.5</v>
      </c>
      <c r="H370" s="35">
        <f>H371</f>
        <v>77.5</v>
      </c>
    </row>
    <row r="371" spans="1:8" ht="15.75" x14ac:dyDescent="0.25">
      <c r="A371" s="29" t="s">
        <v>115</v>
      </c>
      <c r="B371" s="4" t="s">
        <v>424</v>
      </c>
      <c r="C371" s="341" t="s">
        <v>116</v>
      </c>
      <c r="D371" s="4"/>
      <c r="E371" s="4"/>
      <c r="F371" s="341"/>
      <c r="G371" s="9">
        <f>G372+G377</f>
        <v>77.5</v>
      </c>
      <c r="H371" s="9">
        <f>H372+H377</f>
        <v>77.5</v>
      </c>
    </row>
    <row r="372" spans="1:8" ht="47.25" x14ac:dyDescent="0.25">
      <c r="A372" s="345" t="s">
        <v>285</v>
      </c>
      <c r="B372" s="4" t="s">
        <v>424</v>
      </c>
      <c r="C372" s="341" t="s">
        <v>116</v>
      </c>
      <c r="D372" s="8" t="s">
        <v>158</v>
      </c>
      <c r="E372" s="4"/>
      <c r="F372" s="341"/>
      <c r="G372" s="9">
        <f t="shared" ref="G372:H374" si="54">G373</f>
        <v>0.5</v>
      </c>
      <c r="H372" s="9">
        <f t="shared" si="54"/>
        <v>0.5</v>
      </c>
    </row>
    <row r="373" spans="1:8" ht="47.25" x14ac:dyDescent="0.25">
      <c r="A373" s="22" t="s">
        <v>334</v>
      </c>
      <c r="B373" s="341" t="s">
        <v>554</v>
      </c>
      <c r="C373" s="346" t="s">
        <v>116</v>
      </c>
      <c r="D373" s="8" t="s">
        <v>158</v>
      </c>
      <c r="E373" s="4"/>
      <c r="F373" s="341"/>
      <c r="G373" s="9">
        <f t="shared" si="54"/>
        <v>0.5</v>
      </c>
      <c r="H373" s="9">
        <f t="shared" si="54"/>
        <v>0.5</v>
      </c>
    </row>
    <row r="374" spans="1:8" ht="31.5" x14ac:dyDescent="0.25">
      <c r="A374" s="345" t="s">
        <v>123</v>
      </c>
      <c r="B374" s="341" t="s">
        <v>335</v>
      </c>
      <c r="C374" s="346" t="s">
        <v>116</v>
      </c>
      <c r="D374" s="8" t="s">
        <v>158</v>
      </c>
      <c r="E374" s="4">
        <v>200</v>
      </c>
      <c r="F374" s="341"/>
      <c r="G374" s="9">
        <f t="shared" si="54"/>
        <v>0.5</v>
      </c>
      <c r="H374" s="9">
        <f t="shared" si="54"/>
        <v>0.5</v>
      </c>
    </row>
    <row r="375" spans="1:8" ht="31.5" x14ac:dyDescent="0.25">
      <c r="A375" s="345" t="s">
        <v>125</v>
      </c>
      <c r="B375" s="341" t="s">
        <v>335</v>
      </c>
      <c r="C375" s="346" t="s">
        <v>116</v>
      </c>
      <c r="D375" s="8" t="s">
        <v>158</v>
      </c>
      <c r="E375" s="4">
        <v>240</v>
      </c>
      <c r="F375" s="341"/>
      <c r="G375" s="9">
        <f>'Пр.4.1 ведом.23-24 '!G48</f>
        <v>0.5</v>
      </c>
      <c r="H375" s="9">
        <f>'Пр.4.1 ведом.23-24 '!H48</f>
        <v>0.5</v>
      </c>
    </row>
    <row r="376" spans="1:8" ht="15.75" x14ac:dyDescent="0.25">
      <c r="A376" s="345" t="s">
        <v>137</v>
      </c>
      <c r="B376" s="341" t="s">
        <v>335</v>
      </c>
      <c r="C376" s="346" t="s">
        <v>116</v>
      </c>
      <c r="D376" s="8" t="s">
        <v>158</v>
      </c>
      <c r="E376" s="4">
        <v>240</v>
      </c>
      <c r="F376" s="341" t="s">
        <v>308</v>
      </c>
      <c r="G376" s="9">
        <f>G373</f>
        <v>0.5</v>
      </c>
      <c r="H376" s="9">
        <f>H373</f>
        <v>0.5</v>
      </c>
    </row>
    <row r="377" spans="1:8" ht="63" x14ac:dyDescent="0.25">
      <c r="A377" s="20" t="s">
        <v>138</v>
      </c>
      <c r="B377" s="4" t="s">
        <v>424</v>
      </c>
      <c r="C377" s="341" t="s">
        <v>116</v>
      </c>
      <c r="D377" s="8" t="s">
        <v>139</v>
      </c>
      <c r="E377" s="4"/>
      <c r="F377" s="341"/>
      <c r="G377" s="9">
        <f>G378</f>
        <v>77</v>
      </c>
      <c r="H377" s="9">
        <f>H378</f>
        <v>77</v>
      </c>
    </row>
    <row r="378" spans="1:8" ht="47.25" x14ac:dyDescent="0.25">
      <c r="A378" s="100" t="s">
        <v>144</v>
      </c>
      <c r="B378" s="341" t="s">
        <v>417</v>
      </c>
      <c r="C378" s="341" t="s">
        <v>116</v>
      </c>
      <c r="D378" s="8" t="s">
        <v>139</v>
      </c>
      <c r="E378" s="341"/>
      <c r="F378" s="341"/>
      <c r="G378" s="9">
        <f>G379+G382</f>
        <v>77</v>
      </c>
      <c r="H378" s="9">
        <f>H379+H382</f>
        <v>77</v>
      </c>
    </row>
    <row r="379" spans="1:8" ht="78.75" x14ac:dyDescent="0.25">
      <c r="A379" s="345" t="s">
        <v>119</v>
      </c>
      <c r="B379" s="341" t="s">
        <v>417</v>
      </c>
      <c r="C379" s="341" t="s">
        <v>116</v>
      </c>
      <c r="D379" s="8" t="s">
        <v>139</v>
      </c>
      <c r="E379" s="341" t="s">
        <v>120</v>
      </c>
      <c r="F379" s="341"/>
      <c r="G379" s="9">
        <f>G380</f>
        <v>37.200000000000003</v>
      </c>
      <c r="H379" s="9">
        <f>H380</f>
        <v>37.200000000000003</v>
      </c>
    </row>
    <row r="380" spans="1:8" ht="31.5" x14ac:dyDescent="0.25">
      <c r="A380" s="345" t="s">
        <v>121</v>
      </c>
      <c r="B380" s="341" t="s">
        <v>417</v>
      </c>
      <c r="C380" s="341" t="s">
        <v>116</v>
      </c>
      <c r="D380" s="8" t="s">
        <v>139</v>
      </c>
      <c r="E380" s="341" t="s">
        <v>122</v>
      </c>
      <c r="F380" s="341"/>
      <c r="G380" s="9">
        <f>'Пр.4.1 ведом.23-24 '!G94</f>
        <v>37.200000000000003</v>
      </c>
      <c r="H380" s="9">
        <f>'Пр.4.1 ведом.23-24 '!H94</f>
        <v>37.200000000000003</v>
      </c>
    </row>
    <row r="381" spans="1:8" ht="24" customHeight="1" x14ac:dyDescent="0.25">
      <c r="A381" s="20" t="s">
        <v>831</v>
      </c>
      <c r="B381" s="341" t="s">
        <v>417</v>
      </c>
      <c r="C381" s="341" t="s">
        <v>116</v>
      </c>
      <c r="D381" s="8" t="s">
        <v>139</v>
      </c>
      <c r="E381" s="341" t="s">
        <v>122</v>
      </c>
      <c r="F381" s="341" t="s">
        <v>308</v>
      </c>
      <c r="G381" s="9">
        <f>G380</f>
        <v>37.200000000000003</v>
      </c>
      <c r="H381" s="9">
        <f>H380</f>
        <v>37.200000000000003</v>
      </c>
    </row>
    <row r="382" spans="1:8" ht="31.5" x14ac:dyDescent="0.25">
      <c r="A382" s="345" t="s">
        <v>123</v>
      </c>
      <c r="B382" s="341" t="s">
        <v>417</v>
      </c>
      <c r="C382" s="341" t="s">
        <v>116</v>
      </c>
      <c r="D382" s="8" t="s">
        <v>139</v>
      </c>
      <c r="E382" s="341" t="s">
        <v>124</v>
      </c>
      <c r="F382" s="341"/>
      <c r="G382" s="9">
        <f>G383</f>
        <v>39.799999999999997</v>
      </c>
      <c r="H382" s="9">
        <f>H383</f>
        <v>39.799999999999997</v>
      </c>
    </row>
    <row r="383" spans="1:8" ht="31.5" x14ac:dyDescent="0.25">
      <c r="A383" s="345" t="s">
        <v>125</v>
      </c>
      <c r="B383" s="341" t="s">
        <v>417</v>
      </c>
      <c r="C383" s="341" t="s">
        <v>116</v>
      </c>
      <c r="D383" s="8" t="s">
        <v>139</v>
      </c>
      <c r="E383" s="341" t="s">
        <v>126</v>
      </c>
      <c r="F383" s="341"/>
      <c r="G383" s="9">
        <f>'Пр.4.1 ведом.23-24 '!G96</f>
        <v>39.799999999999997</v>
      </c>
      <c r="H383" s="9">
        <f>'Пр.4.1 ведом.23-24 '!H96</f>
        <v>39.799999999999997</v>
      </c>
    </row>
    <row r="384" spans="1:8" ht="22.7" customHeight="1" x14ac:dyDescent="0.25">
      <c r="A384" s="20" t="s">
        <v>137</v>
      </c>
      <c r="B384" s="341" t="s">
        <v>417</v>
      </c>
      <c r="C384" s="341" t="s">
        <v>116</v>
      </c>
      <c r="D384" s="8" t="s">
        <v>139</v>
      </c>
      <c r="E384" s="341" t="s">
        <v>126</v>
      </c>
      <c r="F384" s="341" t="s">
        <v>308</v>
      </c>
      <c r="G384" s="9">
        <f>G383</f>
        <v>39.799999999999997</v>
      </c>
      <c r="H384" s="9">
        <f>H383</f>
        <v>39.799999999999997</v>
      </c>
    </row>
    <row r="385" spans="1:8" ht="47.25" hidden="1" x14ac:dyDescent="0.25">
      <c r="A385" s="22" t="s">
        <v>334</v>
      </c>
      <c r="B385" s="341" t="s">
        <v>554</v>
      </c>
      <c r="C385" s="341" t="s">
        <v>116</v>
      </c>
      <c r="D385" s="8" t="s">
        <v>139</v>
      </c>
      <c r="E385" s="4"/>
      <c r="F385" s="341"/>
      <c r="G385" s="9">
        <f>G386</f>
        <v>0</v>
      </c>
      <c r="H385" s="9">
        <f>H386</f>
        <v>0</v>
      </c>
    </row>
    <row r="386" spans="1:8" ht="31.5" hidden="1" x14ac:dyDescent="0.25">
      <c r="A386" s="345" t="s">
        <v>123</v>
      </c>
      <c r="B386" s="341" t="s">
        <v>554</v>
      </c>
      <c r="C386" s="341" t="s">
        <v>116</v>
      </c>
      <c r="D386" s="8" t="s">
        <v>139</v>
      </c>
      <c r="E386" s="4">
        <v>200</v>
      </c>
      <c r="F386" s="341"/>
      <c r="G386" s="9">
        <f>G387</f>
        <v>0</v>
      </c>
      <c r="H386" s="9">
        <f>H387</f>
        <v>0</v>
      </c>
    </row>
    <row r="387" spans="1:8" ht="31.5" hidden="1" x14ac:dyDescent="0.25">
      <c r="A387" s="345" t="s">
        <v>125</v>
      </c>
      <c r="B387" s="341" t="s">
        <v>554</v>
      </c>
      <c r="C387" s="341" t="s">
        <v>116</v>
      </c>
      <c r="D387" s="8" t="s">
        <v>139</v>
      </c>
      <c r="E387" s="4">
        <v>240</v>
      </c>
      <c r="F387" s="341"/>
      <c r="G387" s="9">
        <f>'Пр.4 ведом.22'!G104</f>
        <v>0</v>
      </c>
      <c r="H387" s="9">
        <f>'Пр.4 ведом.22'!H104</f>
        <v>0</v>
      </c>
    </row>
    <row r="388" spans="1:8" ht="21.2" hidden="1" customHeight="1" x14ac:dyDescent="0.25">
      <c r="A388" s="20" t="s">
        <v>137</v>
      </c>
      <c r="B388" s="341" t="s">
        <v>554</v>
      </c>
      <c r="C388" s="341" t="s">
        <v>116</v>
      </c>
      <c r="D388" s="8" t="s">
        <v>139</v>
      </c>
      <c r="E388" s="4">
        <v>240</v>
      </c>
      <c r="F388" s="341" t="s">
        <v>308</v>
      </c>
      <c r="G388" s="9">
        <f>G387</f>
        <v>0</v>
      </c>
      <c r="H388" s="9">
        <f>H387</f>
        <v>0</v>
      </c>
    </row>
    <row r="389" spans="1:8" ht="63" x14ac:dyDescent="0.25">
      <c r="A389" s="142" t="s">
        <v>564</v>
      </c>
      <c r="B389" s="6" t="s">
        <v>425</v>
      </c>
      <c r="C389" s="6"/>
      <c r="D389" s="7"/>
      <c r="E389" s="6"/>
      <c r="F389" s="6"/>
      <c r="G389" s="35">
        <f t="shared" ref="G389:H393" si="55">G390</f>
        <v>0.5</v>
      </c>
      <c r="H389" s="35">
        <f t="shared" si="55"/>
        <v>0.5</v>
      </c>
    </row>
    <row r="390" spans="1:8" ht="15.75" x14ac:dyDescent="0.25">
      <c r="A390" s="29" t="s">
        <v>115</v>
      </c>
      <c r="B390" s="341" t="s">
        <v>425</v>
      </c>
      <c r="C390" s="341" t="s">
        <v>116</v>
      </c>
      <c r="D390" s="8"/>
      <c r="E390" s="6"/>
      <c r="F390" s="6"/>
      <c r="G390" s="9">
        <f t="shared" si="55"/>
        <v>0.5</v>
      </c>
      <c r="H390" s="9">
        <f t="shared" si="55"/>
        <v>0.5</v>
      </c>
    </row>
    <row r="391" spans="1:8" ht="63" x14ac:dyDescent="0.25">
      <c r="A391" s="20" t="s">
        <v>138</v>
      </c>
      <c r="B391" s="341" t="s">
        <v>425</v>
      </c>
      <c r="C391" s="341" t="s">
        <v>116</v>
      </c>
      <c r="D391" s="8" t="s">
        <v>139</v>
      </c>
      <c r="E391" s="6"/>
      <c r="F391" s="6"/>
      <c r="G391" s="9">
        <f t="shared" si="55"/>
        <v>0.5</v>
      </c>
      <c r="H391" s="9">
        <f t="shared" si="55"/>
        <v>0.5</v>
      </c>
    </row>
    <row r="392" spans="1:8" ht="47.25" x14ac:dyDescent="0.25">
      <c r="A392" s="23" t="s">
        <v>151</v>
      </c>
      <c r="B392" s="341" t="s">
        <v>419</v>
      </c>
      <c r="C392" s="341" t="s">
        <v>116</v>
      </c>
      <c r="D392" s="8" t="s">
        <v>139</v>
      </c>
      <c r="E392" s="341"/>
      <c r="F392" s="341"/>
      <c r="G392" s="9">
        <f t="shared" si="55"/>
        <v>0.5</v>
      </c>
      <c r="H392" s="9">
        <f t="shared" si="55"/>
        <v>0.5</v>
      </c>
    </row>
    <row r="393" spans="1:8" ht="31.5" x14ac:dyDescent="0.25">
      <c r="A393" s="345" t="s">
        <v>123</v>
      </c>
      <c r="B393" s="341" t="s">
        <v>419</v>
      </c>
      <c r="C393" s="341" t="s">
        <v>116</v>
      </c>
      <c r="D393" s="8" t="s">
        <v>139</v>
      </c>
      <c r="E393" s="341" t="s">
        <v>124</v>
      </c>
      <c r="F393" s="341"/>
      <c r="G393" s="9">
        <f t="shared" si="55"/>
        <v>0.5</v>
      </c>
      <c r="H393" s="9">
        <f t="shared" si="55"/>
        <v>0.5</v>
      </c>
    </row>
    <row r="394" spans="1:8" ht="31.5" x14ac:dyDescent="0.25">
      <c r="A394" s="345" t="s">
        <v>125</v>
      </c>
      <c r="B394" s="341" t="s">
        <v>419</v>
      </c>
      <c r="C394" s="341" t="s">
        <v>116</v>
      </c>
      <c r="D394" s="8" t="s">
        <v>139</v>
      </c>
      <c r="E394" s="341" t="s">
        <v>126</v>
      </c>
      <c r="F394" s="341"/>
      <c r="G394" s="9">
        <f>'Пр.4.1 ведом.23-24 '!G103</f>
        <v>0.5</v>
      </c>
      <c r="H394" s="9">
        <f>'Пр.4.1 ведом.23-24 '!H103</f>
        <v>0.5</v>
      </c>
    </row>
    <row r="395" spans="1:8" ht="21.75" customHeight="1" x14ac:dyDescent="0.25">
      <c r="A395" s="20" t="s">
        <v>137</v>
      </c>
      <c r="B395" s="341" t="s">
        <v>419</v>
      </c>
      <c r="C395" s="341" t="s">
        <v>116</v>
      </c>
      <c r="D395" s="8" t="s">
        <v>139</v>
      </c>
      <c r="E395" s="341" t="s">
        <v>126</v>
      </c>
      <c r="F395" s="341" t="s">
        <v>308</v>
      </c>
      <c r="G395" s="9">
        <f>G394</f>
        <v>0.5</v>
      </c>
      <c r="H395" s="9">
        <f>H394</f>
        <v>0.5</v>
      </c>
    </row>
    <row r="396" spans="1:8" ht="70.5" customHeight="1" x14ac:dyDescent="0.25">
      <c r="A396" s="340" t="s">
        <v>850</v>
      </c>
      <c r="B396" s="119" t="s">
        <v>182</v>
      </c>
      <c r="C396" s="341"/>
      <c r="D396" s="341"/>
      <c r="E396" s="341"/>
      <c r="F396" s="341"/>
      <c r="G396" s="35">
        <f t="shared" ref="G396:H396" si="56">G398</f>
        <v>10</v>
      </c>
      <c r="H396" s="35">
        <f t="shared" si="56"/>
        <v>10</v>
      </c>
    </row>
    <row r="397" spans="1:8" ht="54" customHeight="1" x14ac:dyDescent="0.25">
      <c r="A397" s="298" t="s">
        <v>457</v>
      </c>
      <c r="B397" s="299" t="s">
        <v>455</v>
      </c>
      <c r="C397" s="341"/>
      <c r="D397" s="341"/>
      <c r="E397" s="341"/>
      <c r="F397" s="341"/>
      <c r="G397" s="35">
        <f t="shared" ref="G397:H399" si="57">G398</f>
        <v>10</v>
      </c>
      <c r="H397" s="35">
        <f t="shared" si="57"/>
        <v>10</v>
      </c>
    </row>
    <row r="398" spans="1:8" ht="15.75" x14ac:dyDescent="0.25">
      <c r="A398" s="20" t="s">
        <v>173</v>
      </c>
      <c r="B398" s="4" t="s">
        <v>455</v>
      </c>
      <c r="C398" s="341" t="s">
        <v>174</v>
      </c>
      <c r="D398" s="341"/>
      <c r="E398" s="341"/>
      <c r="F398" s="341"/>
      <c r="G398" s="9">
        <f t="shared" si="57"/>
        <v>10</v>
      </c>
      <c r="H398" s="9">
        <f t="shared" si="57"/>
        <v>10</v>
      </c>
    </row>
    <row r="399" spans="1:8" ht="22.7" customHeight="1" x14ac:dyDescent="0.25">
      <c r="A399" s="20" t="s">
        <v>181</v>
      </c>
      <c r="B399" s="4" t="s">
        <v>455</v>
      </c>
      <c r="C399" s="341" t="s">
        <v>174</v>
      </c>
      <c r="D399" s="341" t="s">
        <v>159</v>
      </c>
      <c r="E399" s="341"/>
      <c r="F399" s="341"/>
      <c r="G399" s="9">
        <f t="shared" si="57"/>
        <v>10</v>
      </c>
      <c r="H399" s="9">
        <f t="shared" si="57"/>
        <v>10</v>
      </c>
    </row>
    <row r="400" spans="1:8" ht="31.5" x14ac:dyDescent="0.25">
      <c r="A400" s="345" t="s">
        <v>456</v>
      </c>
      <c r="B400" s="346" t="s">
        <v>726</v>
      </c>
      <c r="C400" s="341" t="s">
        <v>174</v>
      </c>
      <c r="D400" s="341" t="s">
        <v>159</v>
      </c>
      <c r="E400" s="341"/>
      <c r="F400" s="341"/>
      <c r="G400" s="9">
        <f t="shared" ref="G400:H401" si="58">G401</f>
        <v>10</v>
      </c>
      <c r="H400" s="9">
        <f t="shared" si="58"/>
        <v>10</v>
      </c>
    </row>
    <row r="401" spans="1:8" ht="21.75" customHeight="1" x14ac:dyDescent="0.25">
      <c r="A401" s="345" t="s">
        <v>177</v>
      </c>
      <c r="B401" s="346" t="s">
        <v>726</v>
      </c>
      <c r="C401" s="341" t="s">
        <v>174</v>
      </c>
      <c r="D401" s="341" t="s">
        <v>159</v>
      </c>
      <c r="E401" s="341" t="s">
        <v>178</v>
      </c>
      <c r="F401" s="341"/>
      <c r="G401" s="9">
        <f t="shared" si="58"/>
        <v>10</v>
      </c>
      <c r="H401" s="9">
        <f t="shared" si="58"/>
        <v>10</v>
      </c>
    </row>
    <row r="402" spans="1:8" ht="31.7" customHeight="1" x14ac:dyDescent="0.25">
      <c r="A402" s="345" t="s">
        <v>179</v>
      </c>
      <c r="B402" s="346" t="s">
        <v>726</v>
      </c>
      <c r="C402" s="341" t="s">
        <v>174</v>
      </c>
      <c r="D402" s="341" t="s">
        <v>159</v>
      </c>
      <c r="E402" s="341" t="s">
        <v>180</v>
      </c>
      <c r="F402" s="341"/>
      <c r="G402" s="9">
        <f>'Пр.4.1 ведом.23-24 '!G237</f>
        <v>10</v>
      </c>
      <c r="H402" s="9">
        <f>'Пр.4.1 ведом.23-24 '!H237</f>
        <v>10</v>
      </c>
    </row>
    <row r="403" spans="1:8" ht="22.7" customHeight="1" x14ac:dyDescent="0.25">
      <c r="A403" s="20" t="s">
        <v>137</v>
      </c>
      <c r="B403" s="346" t="s">
        <v>726</v>
      </c>
      <c r="C403" s="341" t="s">
        <v>174</v>
      </c>
      <c r="D403" s="341" t="s">
        <v>159</v>
      </c>
      <c r="E403" s="341" t="s">
        <v>180</v>
      </c>
      <c r="F403" s="341" t="s">
        <v>308</v>
      </c>
      <c r="G403" s="9">
        <f>G402</f>
        <v>10</v>
      </c>
      <c r="H403" s="9">
        <f>H402</f>
        <v>10</v>
      </c>
    </row>
    <row r="404" spans="1:8" ht="53.45" customHeight="1" x14ac:dyDescent="0.25">
      <c r="A404" s="340" t="s">
        <v>870</v>
      </c>
      <c r="B404" s="3" t="s">
        <v>249</v>
      </c>
      <c r="C404" s="42"/>
      <c r="D404" s="42"/>
      <c r="E404" s="42"/>
      <c r="F404" s="42"/>
      <c r="G404" s="294">
        <f>G405+G412+G431+G442+G449+G459+G473</f>
        <v>59176.1</v>
      </c>
      <c r="H404" s="294">
        <f>H405+H412+H431+H442+H449+H459+H473</f>
        <v>58776.1</v>
      </c>
    </row>
    <row r="405" spans="1:8" ht="31.5" x14ac:dyDescent="0.25">
      <c r="A405" s="298" t="s">
        <v>505</v>
      </c>
      <c r="B405" s="299" t="s">
        <v>788</v>
      </c>
      <c r="C405" s="6"/>
      <c r="D405" s="6"/>
      <c r="E405" s="143"/>
      <c r="F405" s="119"/>
      <c r="G405" s="35">
        <f>G406</f>
        <v>53866.2</v>
      </c>
      <c r="H405" s="35">
        <f>H406</f>
        <v>53866.2</v>
      </c>
    </row>
    <row r="406" spans="1:8" ht="17.45" customHeight="1" x14ac:dyDescent="0.25">
      <c r="A406" s="20" t="s">
        <v>250</v>
      </c>
      <c r="B406" s="341" t="s">
        <v>788</v>
      </c>
      <c r="C406" s="2">
        <v>11</v>
      </c>
      <c r="D406" s="42"/>
      <c r="E406" s="42"/>
      <c r="F406" s="42"/>
      <c r="G406" s="9">
        <f t="shared" ref="G406:H406" si="59">G407</f>
        <v>53866.2</v>
      </c>
      <c r="H406" s="9">
        <f t="shared" si="59"/>
        <v>53866.2</v>
      </c>
    </row>
    <row r="407" spans="1:8" ht="19.5" customHeight="1" x14ac:dyDescent="0.25">
      <c r="A407" s="20" t="s">
        <v>252</v>
      </c>
      <c r="B407" s="341" t="s">
        <v>788</v>
      </c>
      <c r="C407" s="341" t="s">
        <v>251</v>
      </c>
      <c r="D407" s="341" t="s">
        <v>116</v>
      </c>
      <c r="E407" s="43"/>
      <c r="F407" s="4"/>
      <c r="G407" s="9">
        <f t="shared" ref="G407:H409" si="60">G408</f>
        <v>53866.2</v>
      </c>
      <c r="H407" s="9">
        <f t="shared" si="60"/>
        <v>53866.2</v>
      </c>
    </row>
    <row r="408" spans="1:8" ht="31.5" x14ac:dyDescent="0.25">
      <c r="A408" s="345" t="s">
        <v>811</v>
      </c>
      <c r="B408" s="346" t="s">
        <v>789</v>
      </c>
      <c r="C408" s="341" t="s">
        <v>251</v>
      </c>
      <c r="D408" s="341" t="s">
        <v>116</v>
      </c>
      <c r="E408" s="43"/>
      <c r="F408" s="4"/>
      <c r="G408" s="9">
        <f t="shared" si="60"/>
        <v>53866.2</v>
      </c>
      <c r="H408" s="9">
        <f t="shared" si="60"/>
        <v>53866.2</v>
      </c>
    </row>
    <row r="409" spans="1:8" ht="31.5" x14ac:dyDescent="0.25">
      <c r="A409" s="20" t="s">
        <v>191</v>
      </c>
      <c r="B409" s="346" t="s">
        <v>789</v>
      </c>
      <c r="C409" s="341" t="s">
        <v>251</v>
      </c>
      <c r="D409" s="341" t="s">
        <v>116</v>
      </c>
      <c r="E409" s="341" t="s">
        <v>192</v>
      </c>
      <c r="F409" s="4"/>
      <c r="G409" s="9">
        <f t="shared" si="60"/>
        <v>53866.2</v>
      </c>
      <c r="H409" s="9">
        <f t="shared" si="60"/>
        <v>53866.2</v>
      </c>
    </row>
    <row r="410" spans="1:8" ht="15.75" x14ac:dyDescent="0.25">
      <c r="A410" s="20" t="s">
        <v>193</v>
      </c>
      <c r="B410" s="346" t="s">
        <v>789</v>
      </c>
      <c r="C410" s="341" t="s">
        <v>251</v>
      </c>
      <c r="D410" s="341" t="s">
        <v>116</v>
      </c>
      <c r="E410" s="341" t="s">
        <v>194</v>
      </c>
      <c r="F410" s="4"/>
      <c r="G410" s="9">
        <f>'Пр.4.1 ведом.23-24 '!G857</f>
        <v>53866.2</v>
      </c>
      <c r="H410" s="9">
        <f>'Пр.4.1 ведом.23-24 '!H857</f>
        <v>53866.2</v>
      </c>
    </row>
    <row r="411" spans="1:8" ht="31.5" x14ac:dyDescent="0.25">
      <c r="A411" s="29" t="s">
        <v>248</v>
      </c>
      <c r="B411" s="346" t="s">
        <v>789</v>
      </c>
      <c r="C411" s="341" t="s">
        <v>251</v>
      </c>
      <c r="D411" s="341" t="s">
        <v>116</v>
      </c>
      <c r="E411" s="341" t="s">
        <v>194</v>
      </c>
      <c r="F411" s="4">
        <v>907</v>
      </c>
      <c r="G411" s="392">
        <f>G410</f>
        <v>53866.2</v>
      </c>
      <c r="H411" s="392">
        <f>H410</f>
        <v>53866.2</v>
      </c>
    </row>
    <row r="412" spans="1:8" ht="31.5" x14ac:dyDescent="0.25">
      <c r="A412" s="298" t="s">
        <v>511</v>
      </c>
      <c r="B412" s="299" t="s">
        <v>790</v>
      </c>
      <c r="C412" s="6"/>
      <c r="D412" s="6"/>
      <c r="E412" s="6"/>
      <c r="F412" s="119"/>
      <c r="G412" s="35">
        <f>G413</f>
        <v>436</v>
      </c>
      <c r="H412" s="35">
        <f>H413</f>
        <v>36</v>
      </c>
    </row>
    <row r="413" spans="1:8" ht="15.75" x14ac:dyDescent="0.25">
      <c r="A413" s="20" t="s">
        <v>250</v>
      </c>
      <c r="B413" s="346" t="s">
        <v>790</v>
      </c>
      <c r="C413" s="2">
        <v>11</v>
      </c>
      <c r="D413" s="42"/>
      <c r="E413" s="42"/>
      <c r="F413" s="42"/>
      <c r="G413" s="9">
        <f>G414</f>
        <v>436</v>
      </c>
      <c r="H413" s="9">
        <f>H414</f>
        <v>36</v>
      </c>
    </row>
    <row r="414" spans="1:8" ht="16.5" x14ac:dyDescent="0.25">
      <c r="A414" s="20" t="s">
        <v>252</v>
      </c>
      <c r="B414" s="346" t="s">
        <v>790</v>
      </c>
      <c r="C414" s="341" t="s">
        <v>251</v>
      </c>
      <c r="D414" s="341" t="s">
        <v>116</v>
      </c>
      <c r="E414" s="43"/>
      <c r="F414" s="4"/>
      <c r="G414" s="9">
        <f>G415+G419+G423+G427</f>
        <v>436</v>
      </c>
      <c r="H414" s="9">
        <f>H415+H419+H423+H427</f>
        <v>36</v>
      </c>
    </row>
    <row r="415" spans="1:8" ht="31.7" hidden="1" customHeight="1" x14ac:dyDescent="0.25">
      <c r="A415" s="20" t="s">
        <v>195</v>
      </c>
      <c r="B415" s="346" t="s">
        <v>832</v>
      </c>
      <c r="C415" s="341" t="s">
        <v>251</v>
      </c>
      <c r="D415" s="341" t="s">
        <v>116</v>
      </c>
      <c r="E415" s="341"/>
      <c r="F415" s="4"/>
      <c r="G415" s="9">
        <f t="shared" ref="G415:H416" si="61">G416</f>
        <v>0</v>
      </c>
      <c r="H415" s="9">
        <f t="shared" si="61"/>
        <v>0</v>
      </c>
    </row>
    <row r="416" spans="1:8" ht="31.7" hidden="1" customHeight="1" x14ac:dyDescent="0.25">
      <c r="A416" s="20" t="s">
        <v>191</v>
      </c>
      <c r="B416" s="346" t="s">
        <v>832</v>
      </c>
      <c r="C416" s="341" t="s">
        <v>251</v>
      </c>
      <c r="D416" s="341" t="s">
        <v>116</v>
      </c>
      <c r="E416" s="341" t="s">
        <v>192</v>
      </c>
      <c r="F416" s="4"/>
      <c r="G416" s="9">
        <f t="shared" si="61"/>
        <v>0</v>
      </c>
      <c r="H416" s="9">
        <f t="shared" si="61"/>
        <v>0</v>
      </c>
    </row>
    <row r="417" spans="1:8" ht="15.75" hidden="1" customHeight="1" x14ac:dyDescent="0.25">
      <c r="A417" s="20" t="s">
        <v>193</v>
      </c>
      <c r="B417" s="346" t="s">
        <v>832</v>
      </c>
      <c r="C417" s="341" t="s">
        <v>251</v>
      </c>
      <c r="D417" s="341" t="s">
        <v>116</v>
      </c>
      <c r="E417" s="341" t="s">
        <v>194</v>
      </c>
      <c r="F417" s="4"/>
      <c r="G417" s="9">
        <f>'Пр.4 ведом.22'!G955</f>
        <v>0</v>
      </c>
      <c r="H417" s="9">
        <f>'Пр.4 ведом.22'!H955</f>
        <v>0</v>
      </c>
    </row>
    <row r="418" spans="1:8" ht="34.5" hidden="1" customHeight="1" x14ac:dyDescent="0.25">
      <c r="A418" s="29" t="s">
        <v>248</v>
      </c>
      <c r="B418" s="346" t="s">
        <v>832</v>
      </c>
      <c r="C418" s="341" t="s">
        <v>251</v>
      </c>
      <c r="D418" s="341" t="s">
        <v>116</v>
      </c>
      <c r="E418" s="341" t="s">
        <v>194</v>
      </c>
      <c r="F418" s="4">
        <v>907</v>
      </c>
      <c r="G418" s="9">
        <f>G417</f>
        <v>0</v>
      </c>
      <c r="H418" s="9">
        <f>H417</f>
        <v>0</v>
      </c>
    </row>
    <row r="419" spans="1:8" ht="31.7" hidden="1" customHeight="1" x14ac:dyDescent="0.25">
      <c r="A419" s="20" t="s">
        <v>196</v>
      </c>
      <c r="B419" s="346" t="s">
        <v>833</v>
      </c>
      <c r="C419" s="341" t="s">
        <v>251</v>
      </c>
      <c r="D419" s="341" t="s">
        <v>116</v>
      </c>
      <c r="E419" s="341"/>
      <c r="F419" s="4"/>
      <c r="G419" s="9">
        <f t="shared" ref="G419:H420" si="62">G420</f>
        <v>400</v>
      </c>
      <c r="H419" s="9">
        <f t="shared" si="62"/>
        <v>0</v>
      </c>
    </row>
    <row r="420" spans="1:8" ht="31.7" hidden="1" customHeight="1" x14ac:dyDescent="0.25">
      <c r="A420" s="20" t="s">
        <v>191</v>
      </c>
      <c r="B420" s="346" t="s">
        <v>833</v>
      </c>
      <c r="C420" s="341" t="s">
        <v>251</v>
      </c>
      <c r="D420" s="341" t="s">
        <v>116</v>
      </c>
      <c r="E420" s="341" t="s">
        <v>192</v>
      </c>
      <c r="F420" s="4"/>
      <c r="G420" s="9">
        <f t="shared" si="62"/>
        <v>400</v>
      </c>
      <c r="H420" s="9">
        <f t="shared" si="62"/>
        <v>0</v>
      </c>
    </row>
    <row r="421" spans="1:8" ht="15.75" hidden="1" customHeight="1" x14ac:dyDescent="0.25">
      <c r="A421" s="20" t="s">
        <v>193</v>
      </c>
      <c r="B421" s="346" t="s">
        <v>833</v>
      </c>
      <c r="C421" s="341" t="s">
        <v>251</v>
      </c>
      <c r="D421" s="341" t="s">
        <v>116</v>
      </c>
      <c r="E421" s="341" t="s">
        <v>194</v>
      </c>
      <c r="F421" s="4"/>
      <c r="G421" s="9">
        <f>'Пр.4 ведом.22'!G958</f>
        <v>400</v>
      </c>
      <c r="H421" s="9">
        <f>'Пр.4 ведом.22'!H958</f>
        <v>0</v>
      </c>
    </row>
    <row r="422" spans="1:8" ht="36" hidden="1" customHeight="1" x14ac:dyDescent="0.25">
      <c r="A422" s="29" t="s">
        <v>248</v>
      </c>
      <c r="B422" s="346" t="s">
        <v>833</v>
      </c>
      <c r="C422" s="341" t="s">
        <v>251</v>
      </c>
      <c r="D422" s="341" t="s">
        <v>116</v>
      </c>
      <c r="E422" s="341" t="s">
        <v>194</v>
      </c>
      <c r="F422" s="4">
        <v>907</v>
      </c>
      <c r="G422" s="9">
        <f>G421</f>
        <v>400</v>
      </c>
      <c r="H422" s="9">
        <f>H421</f>
        <v>0</v>
      </c>
    </row>
    <row r="423" spans="1:8" ht="15.75" customHeight="1" x14ac:dyDescent="0.25">
      <c r="A423" s="345" t="s">
        <v>405</v>
      </c>
      <c r="B423" s="346" t="s">
        <v>791</v>
      </c>
      <c r="C423" s="341" t="s">
        <v>251</v>
      </c>
      <c r="D423" s="341" t="s">
        <v>116</v>
      </c>
      <c r="E423" s="341"/>
      <c r="F423" s="4"/>
      <c r="G423" s="9">
        <f>G424</f>
        <v>36</v>
      </c>
      <c r="H423" s="9">
        <f>H424</f>
        <v>36</v>
      </c>
    </row>
    <row r="424" spans="1:8" ht="31.5" x14ac:dyDescent="0.25">
      <c r="A424" s="345" t="s">
        <v>191</v>
      </c>
      <c r="B424" s="346" t="s">
        <v>791</v>
      </c>
      <c r="C424" s="341" t="s">
        <v>251</v>
      </c>
      <c r="D424" s="341" t="s">
        <v>116</v>
      </c>
      <c r="E424" s="341" t="s">
        <v>192</v>
      </c>
      <c r="F424" s="4"/>
      <c r="G424" s="9">
        <f>G425</f>
        <v>36</v>
      </c>
      <c r="H424" s="9">
        <f>H425</f>
        <v>36</v>
      </c>
    </row>
    <row r="425" spans="1:8" ht="15.75" customHeight="1" x14ac:dyDescent="0.25">
      <c r="A425" s="345" t="s">
        <v>193</v>
      </c>
      <c r="B425" s="346" t="s">
        <v>791</v>
      </c>
      <c r="C425" s="341" t="s">
        <v>251</v>
      </c>
      <c r="D425" s="341" t="s">
        <v>116</v>
      </c>
      <c r="E425" s="341" t="s">
        <v>194</v>
      </c>
      <c r="F425" s="4"/>
      <c r="G425" s="9">
        <f>'Пр.4.1 ведом.23-24 '!G867</f>
        <v>36</v>
      </c>
      <c r="H425" s="9">
        <f>'Пр.4.1 ведом.23-24 '!H867</f>
        <v>36</v>
      </c>
    </row>
    <row r="426" spans="1:8" ht="33" customHeight="1" x14ac:dyDescent="0.25">
      <c r="A426" s="29" t="s">
        <v>248</v>
      </c>
      <c r="B426" s="346" t="s">
        <v>791</v>
      </c>
      <c r="C426" s="341" t="s">
        <v>251</v>
      </c>
      <c r="D426" s="341" t="s">
        <v>116</v>
      </c>
      <c r="E426" s="341" t="s">
        <v>194</v>
      </c>
      <c r="F426" s="4">
        <v>907</v>
      </c>
      <c r="G426" s="9">
        <f>G425</f>
        <v>36</v>
      </c>
      <c r="H426" s="9">
        <f>H425</f>
        <v>36</v>
      </c>
    </row>
    <row r="427" spans="1:8" s="397" customFormat="1" ht="33" hidden="1" customHeight="1" x14ac:dyDescent="0.25">
      <c r="A427" s="391" t="s">
        <v>199</v>
      </c>
      <c r="B427" s="394" t="s">
        <v>1089</v>
      </c>
      <c r="C427" s="395" t="s">
        <v>251</v>
      </c>
      <c r="D427" s="395" t="s">
        <v>116</v>
      </c>
      <c r="E427" s="395"/>
      <c r="F427" s="396"/>
      <c r="G427" s="392">
        <f>G428</f>
        <v>0</v>
      </c>
      <c r="H427" s="392">
        <f>H428</f>
        <v>0</v>
      </c>
    </row>
    <row r="428" spans="1:8" s="397" customFormat="1" ht="33" hidden="1" customHeight="1" x14ac:dyDescent="0.25">
      <c r="A428" s="391" t="s">
        <v>191</v>
      </c>
      <c r="B428" s="394" t="s">
        <v>1089</v>
      </c>
      <c r="C428" s="395" t="s">
        <v>251</v>
      </c>
      <c r="D428" s="395" t="s">
        <v>116</v>
      </c>
      <c r="E428" s="395" t="s">
        <v>192</v>
      </c>
      <c r="F428" s="396"/>
      <c r="G428" s="392">
        <f>G429</f>
        <v>0</v>
      </c>
      <c r="H428" s="392">
        <f>H429</f>
        <v>0</v>
      </c>
    </row>
    <row r="429" spans="1:8" s="397" customFormat="1" ht="21.75" hidden="1" customHeight="1" x14ac:dyDescent="0.25">
      <c r="A429" s="391" t="s">
        <v>193</v>
      </c>
      <c r="B429" s="394" t="s">
        <v>1089</v>
      </c>
      <c r="C429" s="395" t="s">
        <v>251</v>
      </c>
      <c r="D429" s="395" t="s">
        <v>116</v>
      </c>
      <c r="E429" s="395" t="s">
        <v>194</v>
      </c>
      <c r="F429" s="396"/>
      <c r="G429" s="392">
        <f>'Пр.4 ведом.22'!G964</f>
        <v>0</v>
      </c>
      <c r="H429" s="392">
        <f>'Пр.4 ведом.22'!H964</f>
        <v>0</v>
      </c>
    </row>
    <row r="430" spans="1:8" s="397" customFormat="1" ht="33" hidden="1" customHeight="1" x14ac:dyDescent="0.25">
      <c r="A430" s="398" t="s">
        <v>248</v>
      </c>
      <c r="B430" s="394" t="s">
        <v>1089</v>
      </c>
      <c r="C430" s="395" t="s">
        <v>251</v>
      </c>
      <c r="D430" s="395" t="s">
        <v>116</v>
      </c>
      <c r="E430" s="395" t="s">
        <v>194</v>
      </c>
      <c r="F430" s="396">
        <v>907</v>
      </c>
      <c r="G430" s="392">
        <f>G429</f>
        <v>0</v>
      </c>
      <c r="H430" s="392">
        <f>H429</f>
        <v>0</v>
      </c>
    </row>
    <row r="431" spans="1:8" ht="36" customHeight="1" x14ac:dyDescent="0.25">
      <c r="A431" s="298" t="s">
        <v>512</v>
      </c>
      <c r="B431" s="299" t="s">
        <v>792</v>
      </c>
      <c r="C431" s="6"/>
      <c r="D431" s="6"/>
      <c r="E431" s="6"/>
      <c r="F431" s="119"/>
      <c r="G431" s="35">
        <f>G432</f>
        <v>1290</v>
      </c>
      <c r="H431" s="35">
        <f>H432</f>
        <v>1290</v>
      </c>
    </row>
    <row r="432" spans="1:8" ht="18" customHeight="1" x14ac:dyDescent="0.25">
      <c r="A432" s="20" t="s">
        <v>250</v>
      </c>
      <c r="B432" s="346" t="s">
        <v>792</v>
      </c>
      <c r="C432" s="2">
        <v>11</v>
      </c>
      <c r="D432" s="42"/>
      <c r="E432" s="42"/>
      <c r="F432" s="42"/>
      <c r="G432" s="9">
        <f t="shared" ref="G432:H432" si="63">G433</f>
        <v>1290</v>
      </c>
      <c r="H432" s="9">
        <f t="shared" si="63"/>
        <v>1290</v>
      </c>
    </row>
    <row r="433" spans="1:8" ht="18" customHeight="1" x14ac:dyDescent="0.25">
      <c r="A433" s="20" t="s">
        <v>252</v>
      </c>
      <c r="B433" s="346" t="s">
        <v>792</v>
      </c>
      <c r="C433" s="341" t="s">
        <v>251</v>
      </c>
      <c r="D433" s="341" t="s">
        <v>116</v>
      </c>
      <c r="E433" s="43"/>
      <c r="F433" s="4"/>
      <c r="G433" s="9">
        <f>G434+G438</f>
        <v>1290</v>
      </c>
      <c r="H433" s="9">
        <f>H434+H438</f>
        <v>1290</v>
      </c>
    </row>
    <row r="434" spans="1:8" ht="31.7" hidden="1" customHeight="1" x14ac:dyDescent="0.25">
      <c r="A434" s="20" t="s">
        <v>198</v>
      </c>
      <c r="B434" s="346" t="s">
        <v>820</v>
      </c>
      <c r="C434" s="341" t="s">
        <v>251</v>
      </c>
      <c r="D434" s="341" t="s">
        <v>116</v>
      </c>
      <c r="E434" s="341"/>
      <c r="F434" s="4"/>
      <c r="G434" s="9">
        <f t="shared" ref="G434:H435" si="64">G435</f>
        <v>0</v>
      </c>
      <c r="H434" s="9">
        <f t="shared" si="64"/>
        <v>0</v>
      </c>
    </row>
    <row r="435" spans="1:8" ht="31.7" hidden="1" customHeight="1" x14ac:dyDescent="0.25">
      <c r="A435" s="20" t="s">
        <v>191</v>
      </c>
      <c r="B435" s="346" t="s">
        <v>820</v>
      </c>
      <c r="C435" s="341" t="s">
        <v>251</v>
      </c>
      <c r="D435" s="341" t="s">
        <v>116</v>
      </c>
      <c r="E435" s="341" t="s">
        <v>192</v>
      </c>
      <c r="F435" s="4"/>
      <c r="G435" s="9">
        <f t="shared" si="64"/>
        <v>0</v>
      </c>
      <c r="H435" s="9">
        <f t="shared" si="64"/>
        <v>0</v>
      </c>
    </row>
    <row r="436" spans="1:8" ht="15.75" hidden="1" customHeight="1" x14ac:dyDescent="0.25">
      <c r="A436" s="20" t="s">
        <v>193</v>
      </c>
      <c r="B436" s="346" t="s">
        <v>820</v>
      </c>
      <c r="C436" s="341" t="s">
        <v>251</v>
      </c>
      <c r="D436" s="341" t="s">
        <v>116</v>
      </c>
      <c r="E436" s="341" t="s">
        <v>194</v>
      </c>
      <c r="F436" s="4"/>
      <c r="G436" s="9">
        <f>'Пр.4 ведом.22'!G968</f>
        <v>0</v>
      </c>
      <c r="H436" s="9">
        <f>'Пр.4 ведом.22'!H968</f>
        <v>0</v>
      </c>
    </row>
    <row r="437" spans="1:8" ht="39.75" hidden="1" customHeight="1" x14ac:dyDescent="0.25">
      <c r="A437" s="29" t="s">
        <v>248</v>
      </c>
      <c r="B437" s="346" t="s">
        <v>820</v>
      </c>
      <c r="C437" s="341" t="s">
        <v>251</v>
      </c>
      <c r="D437" s="341" t="s">
        <v>116</v>
      </c>
      <c r="E437" s="341" t="s">
        <v>194</v>
      </c>
      <c r="F437" s="4">
        <v>907</v>
      </c>
      <c r="G437" s="9">
        <f>G436</f>
        <v>0</v>
      </c>
      <c r="H437" s="9">
        <f>H436</f>
        <v>0</v>
      </c>
    </row>
    <row r="438" spans="1:8" ht="31.5" x14ac:dyDescent="0.25">
      <c r="A438" s="29" t="s">
        <v>342</v>
      </c>
      <c r="B438" s="346" t="s">
        <v>793</v>
      </c>
      <c r="C438" s="341" t="s">
        <v>251</v>
      </c>
      <c r="D438" s="341" t="s">
        <v>116</v>
      </c>
      <c r="E438" s="341"/>
      <c r="F438" s="4"/>
      <c r="G438" s="9">
        <f t="shared" ref="G438:H439" si="65">G439</f>
        <v>1290</v>
      </c>
      <c r="H438" s="9">
        <f t="shared" si="65"/>
        <v>1290</v>
      </c>
    </row>
    <row r="439" spans="1:8" ht="31.5" x14ac:dyDescent="0.25">
      <c r="A439" s="22" t="s">
        <v>191</v>
      </c>
      <c r="B439" s="346" t="s">
        <v>793</v>
      </c>
      <c r="C439" s="341" t="s">
        <v>251</v>
      </c>
      <c r="D439" s="341" t="s">
        <v>116</v>
      </c>
      <c r="E439" s="341" t="s">
        <v>192</v>
      </c>
      <c r="F439" s="4"/>
      <c r="G439" s="9">
        <f t="shared" si="65"/>
        <v>1290</v>
      </c>
      <c r="H439" s="9">
        <f t="shared" si="65"/>
        <v>1290</v>
      </c>
    </row>
    <row r="440" spans="1:8" ht="15.75" x14ac:dyDescent="0.25">
      <c r="A440" s="22" t="s">
        <v>193</v>
      </c>
      <c r="B440" s="346" t="s">
        <v>793</v>
      </c>
      <c r="C440" s="341" t="s">
        <v>251</v>
      </c>
      <c r="D440" s="341" t="s">
        <v>116</v>
      </c>
      <c r="E440" s="341" t="s">
        <v>194</v>
      </c>
      <c r="F440" s="4"/>
      <c r="G440" s="9">
        <f>'Пр.4.1 ведом.23-24 '!G877</f>
        <v>1290</v>
      </c>
      <c r="H440" s="9">
        <f>'Пр.4.1 ведом.23-24 '!H877</f>
        <v>1290</v>
      </c>
    </row>
    <row r="441" spans="1:8" ht="31.5" x14ac:dyDescent="0.25">
      <c r="A441" s="29" t="s">
        <v>248</v>
      </c>
      <c r="B441" s="346" t="s">
        <v>793</v>
      </c>
      <c r="C441" s="341" t="s">
        <v>251</v>
      </c>
      <c r="D441" s="341" t="s">
        <v>116</v>
      </c>
      <c r="E441" s="341" t="s">
        <v>194</v>
      </c>
      <c r="F441" s="4">
        <v>907</v>
      </c>
      <c r="G441" s="9">
        <f>G440</f>
        <v>1290</v>
      </c>
      <c r="H441" s="9">
        <f>H440</f>
        <v>1290</v>
      </c>
    </row>
    <row r="442" spans="1:8" ht="47.25" x14ac:dyDescent="0.25">
      <c r="A442" s="298" t="s">
        <v>469</v>
      </c>
      <c r="B442" s="299" t="s">
        <v>794</v>
      </c>
      <c r="C442" s="6"/>
      <c r="D442" s="6"/>
      <c r="E442" s="6"/>
      <c r="F442" s="119"/>
      <c r="G442" s="35">
        <f>G443</f>
        <v>883.9</v>
      </c>
      <c r="H442" s="35">
        <f>H443</f>
        <v>883.9</v>
      </c>
    </row>
    <row r="443" spans="1:8" ht="15.75" x14ac:dyDescent="0.25">
      <c r="A443" s="20" t="s">
        <v>250</v>
      </c>
      <c r="B443" s="346" t="s">
        <v>794</v>
      </c>
      <c r="C443" s="2">
        <v>11</v>
      </c>
      <c r="D443" s="42"/>
      <c r="E443" s="42"/>
      <c r="F443" s="42"/>
      <c r="G443" s="9">
        <f t="shared" ref="G443:H443" si="66">G444</f>
        <v>883.9</v>
      </c>
      <c r="H443" s="9">
        <f t="shared" si="66"/>
        <v>883.9</v>
      </c>
    </row>
    <row r="444" spans="1:8" ht="16.5" x14ac:dyDescent="0.25">
      <c r="A444" s="20" t="s">
        <v>252</v>
      </c>
      <c r="B444" s="346" t="s">
        <v>794</v>
      </c>
      <c r="C444" s="341" t="s">
        <v>251</v>
      </c>
      <c r="D444" s="341" t="s">
        <v>116</v>
      </c>
      <c r="E444" s="43"/>
      <c r="F444" s="4"/>
      <c r="G444" s="9">
        <f t="shared" ref="G444:H446" si="67">G445</f>
        <v>883.9</v>
      </c>
      <c r="H444" s="9">
        <f t="shared" si="67"/>
        <v>883.9</v>
      </c>
    </row>
    <row r="445" spans="1:8" ht="94.5" x14ac:dyDescent="0.25">
      <c r="A445" s="22" t="s">
        <v>245</v>
      </c>
      <c r="B445" s="346" t="s">
        <v>897</v>
      </c>
      <c r="C445" s="341" t="s">
        <v>251</v>
      </c>
      <c r="D445" s="341" t="s">
        <v>116</v>
      </c>
      <c r="E445" s="341"/>
      <c r="F445" s="4"/>
      <c r="G445" s="9">
        <f t="shared" si="67"/>
        <v>883.9</v>
      </c>
      <c r="H445" s="9">
        <f t="shared" si="67"/>
        <v>883.9</v>
      </c>
    </row>
    <row r="446" spans="1:8" ht="31.5" x14ac:dyDescent="0.25">
      <c r="A446" s="345" t="s">
        <v>191</v>
      </c>
      <c r="B446" s="346" t="s">
        <v>897</v>
      </c>
      <c r="C446" s="341" t="s">
        <v>251</v>
      </c>
      <c r="D446" s="341" t="s">
        <v>116</v>
      </c>
      <c r="E446" s="341" t="s">
        <v>192</v>
      </c>
      <c r="F446" s="4"/>
      <c r="G446" s="9">
        <f t="shared" si="67"/>
        <v>883.9</v>
      </c>
      <c r="H446" s="9">
        <f t="shared" si="67"/>
        <v>883.9</v>
      </c>
    </row>
    <row r="447" spans="1:8" ht="15.75" x14ac:dyDescent="0.25">
      <c r="A447" s="345" t="s">
        <v>193</v>
      </c>
      <c r="B447" s="346" t="s">
        <v>897</v>
      </c>
      <c r="C447" s="341" t="s">
        <v>251</v>
      </c>
      <c r="D447" s="341" t="s">
        <v>116</v>
      </c>
      <c r="E447" s="341" t="s">
        <v>194</v>
      </c>
      <c r="F447" s="4"/>
      <c r="G447" s="9">
        <f>'Пр.4.1 ведом.23-24 '!G881</f>
        <v>883.9</v>
      </c>
      <c r="H447" s="9">
        <f>'Пр.4.1 ведом.23-24 '!H881</f>
        <v>883.9</v>
      </c>
    </row>
    <row r="448" spans="1:8" ht="31.5" x14ac:dyDescent="0.25">
      <c r="A448" s="29" t="s">
        <v>248</v>
      </c>
      <c r="B448" s="346" t="s">
        <v>897</v>
      </c>
      <c r="C448" s="341" t="s">
        <v>251</v>
      </c>
      <c r="D448" s="341" t="s">
        <v>116</v>
      </c>
      <c r="E448" s="341" t="s">
        <v>194</v>
      </c>
      <c r="F448" s="4">
        <v>907</v>
      </c>
      <c r="G448" s="9">
        <f>G447</f>
        <v>883.9</v>
      </c>
      <c r="H448" s="9">
        <f>H447</f>
        <v>883.9</v>
      </c>
    </row>
    <row r="449" spans="1:8" ht="31.5" x14ac:dyDescent="0.25">
      <c r="A449" s="34" t="s">
        <v>514</v>
      </c>
      <c r="B449" s="6" t="s">
        <v>796</v>
      </c>
      <c r="C449" s="6"/>
      <c r="D449" s="6"/>
      <c r="E449" s="6"/>
      <c r="F449" s="119"/>
      <c r="G449" s="294">
        <f t="shared" ref="G449:H451" si="68">G450</f>
        <v>2700</v>
      </c>
      <c r="H449" s="294">
        <f t="shared" si="68"/>
        <v>2700</v>
      </c>
    </row>
    <row r="450" spans="1:8" ht="15.75" x14ac:dyDescent="0.25">
      <c r="A450" s="20" t="s">
        <v>250</v>
      </c>
      <c r="B450" s="341" t="s">
        <v>796</v>
      </c>
      <c r="C450" s="341" t="s">
        <v>251</v>
      </c>
      <c r="D450" s="341"/>
      <c r="E450" s="341"/>
      <c r="F450" s="4"/>
      <c r="G450" s="295">
        <f t="shared" si="68"/>
        <v>2700</v>
      </c>
      <c r="H450" s="295">
        <f t="shared" si="68"/>
        <v>2700</v>
      </c>
    </row>
    <row r="451" spans="1:8" ht="31.5" x14ac:dyDescent="0.25">
      <c r="A451" s="345" t="s">
        <v>254</v>
      </c>
      <c r="B451" s="341" t="s">
        <v>796</v>
      </c>
      <c r="C451" s="341" t="s">
        <v>251</v>
      </c>
      <c r="D451" s="341" t="s">
        <v>168</v>
      </c>
      <c r="E451" s="341"/>
      <c r="F451" s="4"/>
      <c r="G451" s="295">
        <f t="shared" si="68"/>
        <v>2700</v>
      </c>
      <c r="H451" s="295">
        <f t="shared" si="68"/>
        <v>2700</v>
      </c>
    </row>
    <row r="452" spans="1:8" ht="15.75" x14ac:dyDescent="0.25">
      <c r="A452" s="20" t="s">
        <v>515</v>
      </c>
      <c r="B452" s="341" t="s">
        <v>797</v>
      </c>
      <c r="C452" s="341" t="s">
        <v>251</v>
      </c>
      <c r="D452" s="341" t="s">
        <v>168</v>
      </c>
      <c r="E452" s="341"/>
      <c r="F452" s="4"/>
      <c r="G452" s="295">
        <f>G453+G456</f>
        <v>2700</v>
      </c>
      <c r="H452" s="295">
        <f>H453+H456</f>
        <v>2700</v>
      </c>
    </row>
    <row r="453" spans="1:8" ht="78.75" x14ac:dyDescent="0.25">
      <c r="A453" s="345" t="s">
        <v>119</v>
      </c>
      <c r="B453" s="341" t="s">
        <v>797</v>
      </c>
      <c r="C453" s="341" t="s">
        <v>251</v>
      </c>
      <c r="D453" s="341" t="s">
        <v>168</v>
      </c>
      <c r="E453" s="341" t="s">
        <v>120</v>
      </c>
      <c r="F453" s="4"/>
      <c r="G453" s="295">
        <f t="shared" ref="G453:H453" si="69">G454</f>
        <v>2200</v>
      </c>
      <c r="H453" s="295">
        <f t="shared" si="69"/>
        <v>2200</v>
      </c>
    </row>
    <row r="454" spans="1:8" ht="24" customHeight="1" x14ac:dyDescent="0.25">
      <c r="A454" s="345" t="s">
        <v>212</v>
      </c>
      <c r="B454" s="341" t="s">
        <v>797</v>
      </c>
      <c r="C454" s="341" t="s">
        <v>251</v>
      </c>
      <c r="D454" s="341" t="s">
        <v>168</v>
      </c>
      <c r="E454" s="341" t="s">
        <v>156</v>
      </c>
      <c r="F454" s="4"/>
      <c r="G454" s="295">
        <f>'Пр.4.1 ведом.23-24 '!G931</f>
        <v>2200</v>
      </c>
      <c r="H454" s="295">
        <f>'Пр.4.1 ведом.23-24 '!H931</f>
        <v>2200</v>
      </c>
    </row>
    <row r="455" spans="1:8" ht="33" customHeight="1" x14ac:dyDescent="0.25">
      <c r="A455" s="29" t="s">
        <v>248</v>
      </c>
      <c r="B455" s="341" t="s">
        <v>797</v>
      </c>
      <c r="C455" s="341" t="s">
        <v>251</v>
      </c>
      <c r="D455" s="341" t="s">
        <v>168</v>
      </c>
      <c r="E455" s="341" t="s">
        <v>156</v>
      </c>
      <c r="F455" s="4">
        <v>907</v>
      </c>
      <c r="G455" s="9">
        <f>G454</f>
        <v>2200</v>
      </c>
      <c r="H455" s="9">
        <f>H454</f>
        <v>2200</v>
      </c>
    </row>
    <row r="456" spans="1:8" ht="31.5" x14ac:dyDescent="0.25">
      <c r="A456" s="20" t="s">
        <v>123</v>
      </c>
      <c r="B456" s="341" t="s">
        <v>797</v>
      </c>
      <c r="C456" s="341" t="s">
        <v>251</v>
      </c>
      <c r="D456" s="341" t="s">
        <v>168</v>
      </c>
      <c r="E456" s="341" t="s">
        <v>124</v>
      </c>
      <c r="F456" s="4"/>
      <c r="G456" s="295">
        <f t="shared" ref="G456:H456" si="70">G457</f>
        <v>500</v>
      </c>
      <c r="H456" s="295">
        <f t="shared" si="70"/>
        <v>500</v>
      </c>
    </row>
    <row r="457" spans="1:8" ht="31.5" x14ac:dyDescent="0.25">
      <c r="A457" s="20" t="s">
        <v>125</v>
      </c>
      <c r="B457" s="341" t="s">
        <v>797</v>
      </c>
      <c r="C457" s="341" t="s">
        <v>251</v>
      </c>
      <c r="D457" s="341" t="s">
        <v>168</v>
      </c>
      <c r="E457" s="341" t="s">
        <v>126</v>
      </c>
      <c r="F457" s="4"/>
      <c r="G457" s="295">
        <f>'Пр.4.1 ведом.23-24 '!G933</f>
        <v>500</v>
      </c>
      <c r="H457" s="295">
        <f>'Пр.4.1 ведом.23-24 '!H933</f>
        <v>500</v>
      </c>
    </row>
    <row r="458" spans="1:8" ht="31.5" x14ac:dyDescent="0.25">
      <c r="A458" s="29" t="s">
        <v>248</v>
      </c>
      <c r="B458" s="341" t="s">
        <v>797</v>
      </c>
      <c r="C458" s="341" t="s">
        <v>251</v>
      </c>
      <c r="D458" s="341" t="s">
        <v>168</v>
      </c>
      <c r="E458" s="341" t="s">
        <v>126</v>
      </c>
      <c r="F458" s="4">
        <v>907</v>
      </c>
      <c r="G458" s="9">
        <f>G457</f>
        <v>500</v>
      </c>
      <c r="H458" s="9">
        <f>H457</f>
        <v>500</v>
      </c>
    </row>
    <row r="459" spans="1:8" ht="47.25" hidden="1" x14ac:dyDescent="0.25">
      <c r="A459" s="298" t="s">
        <v>1070</v>
      </c>
      <c r="B459" s="299" t="s">
        <v>1068</v>
      </c>
      <c r="C459" s="341"/>
      <c r="D459" s="341"/>
      <c r="E459" s="341"/>
      <c r="F459" s="4"/>
      <c r="G459" s="35">
        <f t="shared" ref="G459:H463" si="71">G460</f>
        <v>0</v>
      </c>
      <c r="H459" s="35">
        <f t="shared" si="71"/>
        <v>0</v>
      </c>
    </row>
    <row r="460" spans="1:8" ht="15.75" hidden="1" x14ac:dyDescent="0.25">
      <c r="A460" s="20" t="s">
        <v>250</v>
      </c>
      <c r="B460" s="346" t="s">
        <v>1069</v>
      </c>
      <c r="C460" s="341" t="s">
        <v>251</v>
      </c>
      <c r="D460" s="341"/>
      <c r="E460" s="341"/>
      <c r="F460" s="4"/>
      <c r="G460" s="9">
        <f t="shared" si="71"/>
        <v>0</v>
      </c>
      <c r="H460" s="9">
        <f t="shared" si="71"/>
        <v>0</v>
      </c>
    </row>
    <row r="461" spans="1:8" ht="15.75" hidden="1" x14ac:dyDescent="0.25">
      <c r="A461" s="20" t="s">
        <v>252</v>
      </c>
      <c r="B461" s="346" t="s">
        <v>1069</v>
      </c>
      <c r="C461" s="341" t="s">
        <v>251</v>
      </c>
      <c r="D461" s="341" t="s">
        <v>116</v>
      </c>
      <c r="E461" s="341"/>
      <c r="F461" s="4"/>
      <c r="G461" s="9">
        <f t="shared" si="71"/>
        <v>0</v>
      </c>
      <c r="H461" s="9">
        <f t="shared" si="71"/>
        <v>0</v>
      </c>
    </row>
    <row r="462" spans="1:8" ht="47.25" hidden="1" x14ac:dyDescent="0.25">
      <c r="A462" s="22" t="s">
        <v>1071</v>
      </c>
      <c r="B462" s="346" t="s">
        <v>1069</v>
      </c>
      <c r="C462" s="341" t="s">
        <v>251</v>
      </c>
      <c r="D462" s="341" t="s">
        <v>116</v>
      </c>
      <c r="E462" s="341"/>
      <c r="F462" s="4"/>
      <c r="G462" s="9">
        <f t="shared" si="71"/>
        <v>0</v>
      </c>
      <c r="H462" s="9">
        <f t="shared" si="71"/>
        <v>0</v>
      </c>
    </row>
    <row r="463" spans="1:8" ht="31.5" hidden="1" x14ac:dyDescent="0.25">
      <c r="A463" s="345" t="s">
        <v>191</v>
      </c>
      <c r="B463" s="346" t="s">
        <v>1069</v>
      </c>
      <c r="C463" s="341" t="s">
        <v>251</v>
      </c>
      <c r="D463" s="341" t="s">
        <v>116</v>
      </c>
      <c r="E463" s="341" t="s">
        <v>192</v>
      </c>
      <c r="F463" s="4"/>
      <c r="G463" s="9">
        <f t="shared" si="71"/>
        <v>0</v>
      </c>
      <c r="H463" s="9">
        <f t="shared" si="71"/>
        <v>0</v>
      </c>
    </row>
    <row r="464" spans="1:8" ht="15.75" hidden="1" x14ac:dyDescent="0.25">
      <c r="A464" s="345" t="s">
        <v>193</v>
      </c>
      <c r="B464" s="346" t="s">
        <v>1069</v>
      </c>
      <c r="C464" s="341" t="s">
        <v>251</v>
      </c>
      <c r="D464" s="341" t="s">
        <v>116</v>
      </c>
      <c r="E464" s="341" t="s">
        <v>194</v>
      </c>
      <c r="F464" s="4"/>
      <c r="G464" s="9">
        <v>0</v>
      </c>
      <c r="H464" s="9">
        <f>'Пр.4 ведом.22'!H978</f>
        <v>0</v>
      </c>
    </row>
    <row r="465" spans="1:11" ht="31.5" hidden="1" x14ac:dyDescent="0.25">
      <c r="A465" s="29" t="s">
        <v>248</v>
      </c>
      <c r="B465" s="346" t="s">
        <v>1069</v>
      </c>
      <c r="C465" s="341" t="s">
        <v>251</v>
      </c>
      <c r="D465" s="341" t="s">
        <v>116</v>
      </c>
      <c r="E465" s="341" t="s">
        <v>194</v>
      </c>
      <c r="F465" s="4">
        <v>907</v>
      </c>
      <c r="G465" s="9">
        <f>G464</f>
        <v>0</v>
      </c>
      <c r="H465" s="9">
        <f>H464</f>
        <v>0</v>
      </c>
    </row>
    <row r="466" spans="1:11" ht="63" hidden="1" x14ac:dyDescent="0.25">
      <c r="A466" s="298" t="s">
        <v>838</v>
      </c>
      <c r="B466" s="299" t="s">
        <v>795</v>
      </c>
      <c r="C466" s="6"/>
      <c r="D466" s="6"/>
      <c r="E466" s="6"/>
      <c r="F466" s="119"/>
      <c r="G466" s="35">
        <f t="shared" ref="G466:H470" si="72">G467</f>
        <v>0</v>
      </c>
      <c r="H466" s="35">
        <f t="shared" si="72"/>
        <v>0</v>
      </c>
    </row>
    <row r="467" spans="1:11" ht="15.75" hidden="1" x14ac:dyDescent="0.25">
      <c r="A467" s="20" t="s">
        <v>250</v>
      </c>
      <c r="B467" s="346" t="s">
        <v>795</v>
      </c>
      <c r="C467" s="341" t="s">
        <v>251</v>
      </c>
      <c r="D467" s="341"/>
      <c r="E467" s="341"/>
      <c r="F467" s="4"/>
      <c r="G467" s="9">
        <f t="shared" si="72"/>
        <v>0</v>
      </c>
      <c r="H467" s="9">
        <f t="shared" si="72"/>
        <v>0</v>
      </c>
    </row>
    <row r="468" spans="1:11" ht="15.75" hidden="1" x14ac:dyDescent="0.25">
      <c r="A468" s="20" t="s">
        <v>252</v>
      </c>
      <c r="B468" s="346" t="s">
        <v>795</v>
      </c>
      <c r="C468" s="341" t="s">
        <v>251</v>
      </c>
      <c r="D468" s="341" t="s">
        <v>116</v>
      </c>
      <c r="E468" s="341"/>
      <c r="F468" s="4"/>
      <c r="G468" s="9">
        <f t="shared" si="72"/>
        <v>0</v>
      </c>
      <c r="H468" s="9">
        <f t="shared" si="72"/>
        <v>0</v>
      </c>
    </row>
    <row r="469" spans="1:11" ht="47.25" hidden="1" x14ac:dyDescent="0.25">
      <c r="A469" s="345" t="s">
        <v>731</v>
      </c>
      <c r="B469" s="346" t="s">
        <v>834</v>
      </c>
      <c r="C469" s="341" t="s">
        <v>251</v>
      </c>
      <c r="D469" s="341" t="s">
        <v>116</v>
      </c>
      <c r="E469" s="341"/>
      <c r="F469" s="4"/>
      <c r="G469" s="9">
        <f t="shared" si="72"/>
        <v>0</v>
      </c>
      <c r="H469" s="9">
        <f t="shared" si="72"/>
        <v>0</v>
      </c>
    </row>
    <row r="470" spans="1:11" ht="31.5" hidden="1" x14ac:dyDescent="0.25">
      <c r="A470" s="345" t="s">
        <v>191</v>
      </c>
      <c r="B470" s="346" t="s">
        <v>834</v>
      </c>
      <c r="C470" s="341" t="s">
        <v>251</v>
      </c>
      <c r="D470" s="341" t="s">
        <v>116</v>
      </c>
      <c r="E470" s="341" t="s">
        <v>192</v>
      </c>
      <c r="F470" s="4"/>
      <c r="G470" s="9">
        <f t="shared" si="72"/>
        <v>0</v>
      </c>
      <c r="H470" s="9">
        <f t="shared" si="72"/>
        <v>0</v>
      </c>
    </row>
    <row r="471" spans="1:11" ht="15.75" hidden="1" x14ac:dyDescent="0.25">
      <c r="A471" s="345" t="s">
        <v>193</v>
      </c>
      <c r="B471" s="346" t="s">
        <v>834</v>
      </c>
      <c r="C471" s="341" t="s">
        <v>251</v>
      </c>
      <c r="D471" s="341" t="s">
        <v>116</v>
      </c>
      <c r="E471" s="341" t="s">
        <v>194</v>
      </c>
      <c r="F471" s="4"/>
      <c r="G471" s="9">
        <f>'Пр.4 ведом.22'!G991</f>
        <v>0</v>
      </c>
      <c r="H471" s="9">
        <f>'Пр.4 ведом.22'!H991</f>
        <v>0</v>
      </c>
    </row>
    <row r="472" spans="1:11" ht="31.5" hidden="1" x14ac:dyDescent="0.25">
      <c r="A472" s="29" t="s">
        <v>248</v>
      </c>
      <c r="B472" s="346" t="s">
        <v>834</v>
      </c>
      <c r="C472" s="341" t="s">
        <v>251</v>
      </c>
      <c r="D472" s="341" t="s">
        <v>116</v>
      </c>
      <c r="E472" s="341" t="s">
        <v>194</v>
      </c>
      <c r="F472" s="4">
        <v>907</v>
      </c>
      <c r="G472" s="9">
        <f>G466</f>
        <v>0</v>
      </c>
      <c r="H472" s="9">
        <f>H466</f>
        <v>0</v>
      </c>
    </row>
    <row r="473" spans="1:11" ht="31.5" hidden="1" x14ac:dyDescent="0.25">
      <c r="A473" s="340" t="s">
        <v>1139</v>
      </c>
      <c r="B473" s="299" t="s">
        <v>1140</v>
      </c>
      <c r="C473" s="341"/>
      <c r="D473" s="341"/>
      <c r="E473" s="341"/>
      <c r="F473" s="4"/>
      <c r="G473" s="35">
        <f t="shared" ref="G473:H477" si="73">G474</f>
        <v>0</v>
      </c>
      <c r="H473" s="35">
        <f t="shared" si="73"/>
        <v>0</v>
      </c>
    </row>
    <row r="474" spans="1:11" ht="15.75" hidden="1" x14ac:dyDescent="0.25">
      <c r="A474" s="20" t="s">
        <v>250</v>
      </c>
      <c r="B474" s="346" t="s">
        <v>1141</v>
      </c>
      <c r="C474" s="341" t="s">
        <v>251</v>
      </c>
      <c r="D474" s="341"/>
      <c r="E474" s="341"/>
      <c r="F474" s="4"/>
      <c r="G474" s="9">
        <f t="shared" si="73"/>
        <v>0</v>
      </c>
      <c r="H474" s="9">
        <f t="shared" si="73"/>
        <v>0</v>
      </c>
    </row>
    <row r="475" spans="1:11" ht="15.75" hidden="1" x14ac:dyDescent="0.25">
      <c r="A475" s="20" t="s">
        <v>252</v>
      </c>
      <c r="B475" s="346" t="s">
        <v>1141</v>
      </c>
      <c r="C475" s="341" t="s">
        <v>251</v>
      </c>
      <c r="D475" s="341" t="s">
        <v>116</v>
      </c>
      <c r="E475" s="341"/>
      <c r="F475" s="4"/>
      <c r="G475" s="9">
        <f t="shared" si="73"/>
        <v>0</v>
      </c>
      <c r="H475" s="9">
        <f t="shared" si="73"/>
        <v>0</v>
      </c>
    </row>
    <row r="476" spans="1:11" ht="31.5" hidden="1" x14ac:dyDescent="0.25">
      <c r="A476" s="20" t="s">
        <v>1142</v>
      </c>
      <c r="B476" s="346" t="s">
        <v>1141</v>
      </c>
      <c r="C476" s="341" t="s">
        <v>251</v>
      </c>
      <c r="D476" s="341" t="s">
        <v>116</v>
      </c>
      <c r="E476" s="341"/>
      <c r="F476" s="4"/>
      <c r="G476" s="9">
        <f t="shared" si="73"/>
        <v>0</v>
      </c>
      <c r="H476" s="9">
        <f t="shared" si="73"/>
        <v>0</v>
      </c>
    </row>
    <row r="477" spans="1:11" ht="31.5" hidden="1" x14ac:dyDescent="0.25">
      <c r="A477" s="345" t="s">
        <v>191</v>
      </c>
      <c r="B477" s="346" t="s">
        <v>1141</v>
      </c>
      <c r="C477" s="341" t="s">
        <v>251</v>
      </c>
      <c r="D477" s="341" t="s">
        <v>116</v>
      </c>
      <c r="E477" s="341" t="s">
        <v>192</v>
      </c>
      <c r="F477" s="4"/>
      <c r="G477" s="9">
        <f t="shared" si="73"/>
        <v>0</v>
      </c>
      <c r="H477" s="9">
        <f t="shared" si="73"/>
        <v>0</v>
      </c>
    </row>
    <row r="478" spans="1:11" ht="15.75" hidden="1" x14ac:dyDescent="0.25">
      <c r="A478" s="345" t="s">
        <v>193</v>
      </c>
      <c r="B478" s="346" t="s">
        <v>1141</v>
      </c>
      <c r="C478" s="341" t="s">
        <v>251</v>
      </c>
      <c r="D478" s="341" t="s">
        <v>116</v>
      </c>
      <c r="E478" s="341" t="s">
        <v>194</v>
      </c>
      <c r="F478" s="4"/>
      <c r="G478" s="9">
        <v>0</v>
      </c>
      <c r="H478" s="9">
        <v>0</v>
      </c>
    </row>
    <row r="479" spans="1:11" ht="31.5" hidden="1" x14ac:dyDescent="0.25">
      <c r="A479" s="29" t="s">
        <v>248</v>
      </c>
      <c r="B479" s="346"/>
      <c r="C479" s="341" t="s">
        <v>251</v>
      </c>
      <c r="D479" s="341" t="s">
        <v>116</v>
      </c>
      <c r="E479" s="341" t="s">
        <v>194</v>
      </c>
      <c r="F479" s="4">
        <v>907</v>
      </c>
      <c r="G479" s="9">
        <f>G478</f>
        <v>0</v>
      </c>
      <c r="H479" s="9">
        <f>H478</f>
        <v>0</v>
      </c>
    </row>
    <row r="480" spans="1:11" ht="31.5" x14ac:dyDescent="0.25">
      <c r="A480" s="340" t="s">
        <v>855</v>
      </c>
      <c r="B480" s="6" t="s">
        <v>189</v>
      </c>
      <c r="C480" s="44"/>
      <c r="D480" s="44"/>
      <c r="E480" s="44"/>
      <c r="F480" s="3"/>
      <c r="G480" s="35">
        <f>G481+G530+G557+G580+G603+G610+G621+G628</f>
        <v>85949.400000000009</v>
      </c>
      <c r="H480" s="35">
        <f>H481+H530+H557+H580+H603+H610+H621</f>
        <v>85949.400000000009</v>
      </c>
      <c r="I480" s="145">
        <f>H480-G480</f>
        <v>0</v>
      </c>
      <c r="J480" s="343">
        <v>90406.34</v>
      </c>
      <c r="K480" s="151">
        <f>J480-G480</f>
        <v>4456.9399999999878</v>
      </c>
    </row>
    <row r="481" spans="1:11" ht="38.25" customHeight="1" x14ac:dyDescent="0.25">
      <c r="A481" s="298" t="s">
        <v>815</v>
      </c>
      <c r="B481" s="299" t="s">
        <v>741</v>
      </c>
      <c r="C481" s="6"/>
      <c r="D481" s="6"/>
      <c r="E481" s="6"/>
      <c r="F481" s="3"/>
      <c r="G481" s="35">
        <f>G498+G482+G518</f>
        <v>80959.600000000006</v>
      </c>
      <c r="H481" s="35">
        <f>H498+H482+H518</f>
        <v>80959.600000000006</v>
      </c>
    </row>
    <row r="482" spans="1:11" ht="18.75" customHeight="1" x14ac:dyDescent="0.25">
      <c r="A482" s="345" t="s">
        <v>186</v>
      </c>
      <c r="B482" s="346" t="s">
        <v>741</v>
      </c>
      <c r="C482" s="341" t="s">
        <v>187</v>
      </c>
      <c r="D482" s="341"/>
      <c r="E482" s="341"/>
      <c r="F482" s="2"/>
      <c r="G482" s="9">
        <f>G483</f>
        <v>19489.8</v>
      </c>
      <c r="H482" s="9">
        <f>H483</f>
        <v>19489.8</v>
      </c>
      <c r="J482" s="15">
        <f>G482+G531+G558+G581</f>
        <v>20500.099999999999</v>
      </c>
      <c r="K482" s="15">
        <v>16998.7</v>
      </c>
    </row>
    <row r="483" spans="1:11" ht="19.5" customHeight="1" x14ac:dyDescent="0.25">
      <c r="A483" s="345" t="s">
        <v>188</v>
      </c>
      <c r="B483" s="346" t="s">
        <v>741</v>
      </c>
      <c r="C483" s="341" t="s">
        <v>187</v>
      </c>
      <c r="D483" s="341" t="s">
        <v>159</v>
      </c>
      <c r="E483" s="341"/>
      <c r="F483" s="2"/>
      <c r="G483" s="9">
        <f>G484+G494</f>
        <v>19489.8</v>
      </c>
      <c r="H483" s="9">
        <f>H484+H494</f>
        <v>19489.8</v>
      </c>
    </row>
    <row r="484" spans="1:11" ht="18" customHeight="1" x14ac:dyDescent="0.25">
      <c r="A484" s="345" t="s">
        <v>376</v>
      </c>
      <c r="B484" s="346" t="s">
        <v>742</v>
      </c>
      <c r="C484" s="341" t="s">
        <v>187</v>
      </c>
      <c r="D484" s="341" t="s">
        <v>159</v>
      </c>
      <c r="E484" s="341"/>
      <c r="F484" s="2"/>
      <c r="G484" s="9">
        <f>G485+G488+G491</f>
        <v>19489.8</v>
      </c>
      <c r="H484" s="9">
        <f>H485+H488+H491</f>
        <v>19489.8</v>
      </c>
    </row>
    <row r="485" spans="1:11" ht="81" customHeight="1" x14ac:dyDescent="0.25">
      <c r="A485" s="345" t="s">
        <v>119</v>
      </c>
      <c r="B485" s="346" t="s">
        <v>742</v>
      </c>
      <c r="C485" s="341" t="s">
        <v>187</v>
      </c>
      <c r="D485" s="341" t="s">
        <v>159</v>
      </c>
      <c r="E485" s="346" t="s">
        <v>120</v>
      </c>
      <c r="F485" s="2"/>
      <c r="G485" s="9">
        <f>G486</f>
        <v>17566.099999999999</v>
      </c>
      <c r="H485" s="9">
        <f>H486</f>
        <v>17566.099999999999</v>
      </c>
    </row>
    <row r="486" spans="1:11" ht="20.25" customHeight="1" x14ac:dyDescent="0.25">
      <c r="A486" s="30" t="s">
        <v>212</v>
      </c>
      <c r="B486" s="346" t="s">
        <v>742</v>
      </c>
      <c r="C486" s="341" t="s">
        <v>187</v>
      </c>
      <c r="D486" s="341" t="s">
        <v>159</v>
      </c>
      <c r="E486" s="346" t="s">
        <v>156</v>
      </c>
      <c r="F486" s="2"/>
      <c r="G486" s="9">
        <f>'Пр.4.1 ведом.23-24 '!G309</f>
        <v>17566.099999999999</v>
      </c>
      <c r="H486" s="9">
        <f>'Пр.4.1 ведом.23-24 '!H309</f>
        <v>17566.099999999999</v>
      </c>
    </row>
    <row r="487" spans="1:11" ht="51.75" customHeight="1" x14ac:dyDescent="0.25">
      <c r="A487" s="29" t="s">
        <v>185</v>
      </c>
      <c r="B487" s="346" t="s">
        <v>742</v>
      </c>
      <c r="C487" s="341" t="s">
        <v>187</v>
      </c>
      <c r="D487" s="341" t="s">
        <v>159</v>
      </c>
      <c r="E487" s="346" t="s">
        <v>156</v>
      </c>
      <c r="F487" s="2">
        <v>903</v>
      </c>
      <c r="G487" s="9">
        <f>G486</f>
        <v>17566.099999999999</v>
      </c>
      <c r="H487" s="9">
        <f>H486</f>
        <v>17566.099999999999</v>
      </c>
    </row>
    <row r="488" spans="1:11" ht="38.25" customHeight="1" x14ac:dyDescent="0.25">
      <c r="A488" s="345" t="s">
        <v>123</v>
      </c>
      <c r="B488" s="346" t="s">
        <v>742</v>
      </c>
      <c r="C488" s="341" t="s">
        <v>187</v>
      </c>
      <c r="D488" s="341" t="s">
        <v>159</v>
      </c>
      <c r="E488" s="346" t="s">
        <v>124</v>
      </c>
      <c r="F488" s="2"/>
      <c r="G488" s="9">
        <f>G489</f>
        <v>1850.7</v>
      </c>
      <c r="H488" s="9">
        <f>H489</f>
        <v>1850.7</v>
      </c>
    </row>
    <row r="489" spans="1:11" ht="33.75" customHeight="1" x14ac:dyDescent="0.25">
      <c r="A489" s="345" t="s">
        <v>125</v>
      </c>
      <c r="B489" s="346" t="s">
        <v>742</v>
      </c>
      <c r="C489" s="341" t="s">
        <v>187</v>
      </c>
      <c r="D489" s="341" t="s">
        <v>159</v>
      </c>
      <c r="E489" s="346" t="s">
        <v>126</v>
      </c>
      <c r="F489" s="2"/>
      <c r="G489" s="9">
        <f>'Пр.4.1 ведом.23-24 '!G311</f>
        <v>1850.7</v>
      </c>
      <c r="H489" s="9">
        <f>'Пр.4.1 ведом.23-24 '!H311</f>
        <v>1850.7</v>
      </c>
    </row>
    <row r="490" spans="1:11" ht="55.5" customHeight="1" x14ac:dyDescent="0.25">
      <c r="A490" s="29" t="s">
        <v>185</v>
      </c>
      <c r="B490" s="346" t="s">
        <v>742</v>
      </c>
      <c r="C490" s="341" t="s">
        <v>187</v>
      </c>
      <c r="D490" s="341" t="s">
        <v>159</v>
      </c>
      <c r="E490" s="346" t="s">
        <v>126</v>
      </c>
      <c r="F490" s="2">
        <v>903</v>
      </c>
      <c r="G490" s="9">
        <f>G489</f>
        <v>1850.7</v>
      </c>
      <c r="H490" s="9">
        <f>H489</f>
        <v>1850.7</v>
      </c>
    </row>
    <row r="491" spans="1:11" ht="19.5" customHeight="1" x14ac:dyDescent="0.25">
      <c r="A491" s="345" t="s">
        <v>127</v>
      </c>
      <c r="B491" s="346" t="s">
        <v>742</v>
      </c>
      <c r="C491" s="341" t="s">
        <v>187</v>
      </c>
      <c r="D491" s="341" t="s">
        <v>159</v>
      </c>
      <c r="E491" s="346" t="s">
        <v>134</v>
      </c>
      <c r="F491" s="2"/>
      <c r="G491" s="9">
        <f>G492</f>
        <v>73</v>
      </c>
      <c r="H491" s="9">
        <f>H492</f>
        <v>73</v>
      </c>
    </row>
    <row r="492" spans="1:11" ht="17.45" customHeight="1" x14ac:dyDescent="0.25">
      <c r="A492" s="345" t="s">
        <v>338</v>
      </c>
      <c r="B492" s="346" t="s">
        <v>742</v>
      </c>
      <c r="C492" s="341" t="s">
        <v>187</v>
      </c>
      <c r="D492" s="341" t="s">
        <v>159</v>
      </c>
      <c r="E492" s="346" t="s">
        <v>130</v>
      </c>
      <c r="F492" s="2"/>
      <c r="G492" s="9">
        <f>'Пр.4.1 ведом.23-24 '!G313</f>
        <v>73</v>
      </c>
      <c r="H492" s="9">
        <f>'Пр.4.1 ведом.23-24 '!H313</f>
        <v>73</v>
      </c>
    </row>
    <row r="493" spans="1:11" ht="56.25" customHeight="1" x14ac:dyDescent="0.25">
      <c r="A493" s="29" t="s">
        <v>185</v>
      </c>
      <c r="B493" s="346" t="s">
        <v>742</v>
      </c>
      <c r="C493" s="341" t="s">
        <v>187</v>
      </c>
      <c r="D493" s="341" t="s">
        <v>159</v>
      </c>
      <c r="E493" s="346" t="s">
        <v>130</v>
      </c>
      <c r="F493" s="2">
        <v>903</v>
      </c>
      <c r="G493" s="9">
        <f>G492</f>
        <v>73</v>
      </c>
      <c r="H493" s="9">
        <f>H492</f>
        <v>73</v>
      </c>
    </row>
    <row r="494" spans="1:11" ht="31.5" hidden="1" x14ac:dyDescent="0.25">
      <c r="A494" s="22" t="s">
        <v>974</v>
      </c>
      <c r="B494" s="346" t="s">
        <v>965</v>
      </c>
      <c r="C494" s="341" t="s">
        <v>187</v>
      </c>
      <c r="D494" s="341" t="s">
        <v>159</v>
      </c>
      <c r="E494" s="346"/>
      <c r="F494" s="2"/>
      <c r="G494" s="9">
        <f>G495</f>
        <v>0</v>
      </c>
      <c r="H494" s="9">
        <f>H495</f>
        <v>0</v>
      </c>
    </row>
    <row r="495" spans="1:11" ht="78.75" hidden="1" x14ac:dyDescent="0.25">
      <c r="A495" s="345" t="s">
        <v>119</v>
      </c>
      <c r="B495" s="346" t="s">
        <v>965</v>
      </c>
      <c r="C495" s="341" t="s">
        <v>187</v>
      </c>
      <c r="D495" s="341" t="s">
        <v>159</v>
      </c>
      <c r="E495" s="346" t="s">
        <v>120</v>
      </c>
      <c r="F495" s="2"/>
      <c r="G495" s="9">
        <f>G496</f>
        <v>0</v>
      </c>
      <c r="H495" s="9">
        <f>H496</f>
        <v>0</v>
      </c>
    </row>
    <row r="496" spans="1:11" ht="15.75" hidden="1" x14ac:dyDescent="0.25">
      <c r="A496" s="345" t="s">
        <v>155</v>
      </c>
      <c r="B496" s="346" t="s">
        <v>965</v>
      </c>
      <c r="C496" s="341" t="s">
        <v>187</v>
      </c>
      <c r="D496" s="341" t="s">
        <v>159</v>
      </c>
      <c r="E496" s="346" t="s">
        <v>156</v>
      </c>
      <c r="F496" s="2"/>
      <c r="G496" s="9">
        <f>'Пр.4 ведом.22'!G345</f>
        <v>0</v>
      </c>
      <c r="H496" s="9">
        <f>'Пр.4 ведом.22'!H345</f>
        <v>0</v>
      </c>
    </row>
    <row r="497" spans="1:11" ht="47.25" hidden="1" x14ac:dyDescent="0.25">
      <c r="A497" s="29" t="s">
        <v>185</v>
      </c>
      <c r="B497" s="346" t="s">
        <v>965</v>
      </c>
      <c r="C497" s="341" t="s">
        <v>187</v>
      </c>
      <c r="D497" s="341" t="s">
        <v>159</v>
      </c>
      <c r="E497" s="346" t="s">
        <v>156</v>
      </c>
      <c r="F497" s="2">
        <v>903</v>
      </c>
      <c r="G497" s="9">
        <f>G494</f>
        <v>0</v>
      </c>
      <c r="H497" s="9">
        <f>H494</f>
        <v>0</v>
      </c>
    </row>
    <row r="498" spans="1:11" ht="15.75" x14ac:dyDescent="0.25">
      <c r="A498" s="45" t="s">
        <v>202</v>
      </c>
      <c r="B498" s="346" t="s">
        <v>741</v>
      </c>
      <c r="C498" s="341" t="s">
        <v>203</v>
      </c>
      <c r="D498" s="45"/>
      <c r="E498" s="45"/>
      <c r="F498" s="2"/>
      <c r="G498" s="9">
        <f>G499</f>
        <v>55444.5</v>
      </c>
      <c r="H498" s="9">
        <f>H499</f>
        <v>55444.5</v>
      </c>
      <c r="J498" s="15" t="e">
        <f>G498+G544+G564+G591+G604+G611+G629+#REF!</f>
        <v>#REF!</v>
      </c>
      <c r="K498" s="343">
        <f>67542.4</f>
        <v>67542.399999999994</v>
      </c>
    </row>
    <row r="499" spans="1:11" ht="15.75" x14ac:dyDescent="0.25">
      <c r="A499" s="45" t="s">
        <v>204</v>
      </c>
      <c r="B499" s="346" t="s">
        <v>741</v>
      </c>
      <c r="C499" s="341" t="s">
        <v>203</v>
      </c>
      <c r="D499" s="341" t="s">
        <v>116</v>
      </c>
      <c r="E499" s="45"/>
      <c r="F499" s="2"/>
      <c r="G499" s="9">
        <f>G504+G514+G500</f>
        <v>55444.5</v>
      </c>
      <c r="H499" s="9">
        <f>H504+H514+H500</f>
        <v>55444.5</v>
      </c>
    </row>
    <row r="500" spans="1:11" ht="31.5" x14ac:dyDescent="0.25">
      <c r="A500" s="391" t="s">
        <v>205</v>
      </c>
      <c r="B500" s="394" t="s">
        <v>1218</v>
      </c>
      <c r="C500" s="341" t="s">
        <v>203</v>
      </c>
      <c r="D500" s="341" t="s">
        <v>116</v>
      </c>
      <c r="E500" s="45"/>
      <c r="F500" s="2"/>
      <c r="G500" s="9">
        <f>G501</f>
        <v>30184.6</v>
      </c>
      <c r="H500" s="9">
        <f>H501</f>
        <v>30184.6</v>
      </c>
    </row>
    <row r="501" spans="1:11" ht="31.5" x14ac:dyDescent="0.25">
      <c r="A501" s="391" t="s">
        <v>191</v>
      </c>
      <c r="B501" s="394" t="s">
        <v>1218</v>
      </c>
      <c r="C501" s="341" t="s">
        <v>203</v>
      </c>
      <c r="D501" s="341" t="s">
        <v>116</v>
      </c>
      <c r="E501" s="2">
        <v>600</v>
      </c>
      <c r="F501" s="2"/>
      <c r="G501" s="9">
        <f>G502</f>
        <v>30184.6</v>
      </c>
      <c r="H501" s="9">
        <f>H502</f>
        <v>30184.6</v>
      </c>
    </row>
    <row r="502" spans="1:11" ht="15.75" x14ac:dyDescent="0.25">
      <c r="A502" s="345" t="s">
        <v>193</v>
      </c>
      <c r="B502" s="394" t="s">
        <v>1218</v>
      </c>
      <c r="C502" s="341" t="s">
        <v>203</v>
      </c>
      <c r="D502" s="341" t="s">
        <v>116</v>
      </c>
      <c r="E502" s="2">
        <v>610</v>
      </c>
      <c r="F502" s="2"/>
      <c r="G502" s="9">
        <f>'Пр.4.1 ведом.23-24 '!G378</f>
        <v>30184.6</v>
      </c>
      <c r="H502" s="9">
        <f>'Пр.4.1 ведом.23-24 '!H378</f>
        <v>30184.6</v>
      </c>
    </row>
    <row r="503" spans="1:11" ht="47.25" x14ac:dyDescent="0.25">
      <c r="A503" s="29" t="s">
        <v>185</v>
      </c>
      <c r="B503" s="394" t="s">
        <v>1218</v>
      </c>
      <c r="C503" s="341" t="s">
        <v>203</v>
      </c>
      <c r="D503" s="341" t="s">
        <v>116</v>
      </c>
      <c r="E503" s="2">
        <v>610</v>
      </c>
      <c r="F503" s="2">
        <v>903</v>
      </c>
      <c r="G503" s="9">
        <f>G502</f>
        <v>30184.6</v>
      </c>
      <c r="H503" s="9">
        <f>H502</f>
        <v>30184.6</v>
      </c>
    </row>
    <row r="504" spans="1:11" ht="15.75" x14ac:dyDescent="0.25">
      <c r="A504" s="345" t="s">
        <v>376</v>
      </c>
      <c r="B504" s="346" t="s">
        <v>742</v>
      </c>
      <c r="C504" s="341" t="s">
        <v>203</v>
      </c>
      <c r="D504" s="341" t="s">
        <v>116</v>
      </c>
      <c r="E504" s="341"/>
      <c r="F504" s="2"/>
      <c r="G504" s="9">
        <f>G505+G508+G511</f>
        <v>25259.9</v>
      </c>
      <c r="H504" s="9">
        <f>H505+H508+H511</f>
        <v>25259.9</v>
      </c>
    </row>
    <row r="505" spans="1:11" ht="78.75" x14ac:dyDescent="0.25">
      <c r="A505" s="345" t="s">
        <v>119</v>
      </c>
      <c r="B505" s="346" t="s">
        <v>742</v>
      </c>
      <c r="C505" s="341" t="s">
        <v>203</v>
      </c>
      <c r="D505" s="341" t="s">
        <v>116</v>
      </c>
      <c r="E505" s="341" t="s">
        <v>120</v>
      </c>
      <c r="F505" s="2"/>
      <c r="G505" s="9">
        <f>G506</f>
        <v>21278</v>
      </c>
      <c r="H505" s="9">
        <f>H506</f>
        <v>21278</v>
      </c>
    </row>
    <row r="506" spans="1:11" ht="15.75" x14ac:dyDescent="0.25">
      <c r="A506" s="345" t="s">
        <v>155</v>
      </c>
      <c r="B506" s="346" t="s">
        <v>742</v>
      </c>
      <c r="C506" s="341" t="s">
        <v>203</v>
      </c>
      <c r="D506" s="341" t="s">
        <v>116</v>
      </c>
      <c r="E506" s="341" t="s">
        <v>156</v>
      </c>
      <c r="F506" s="2"/>
      <c r="G506" s="9">
        <f>'Пр.4.1 ведом.23-24 '!G381</f>
        <v>21278</v>
      </c>
      <c r="H506" s="9">
        <f>'Пр.4.1 ведом.23-24 '!H381</f>
        <v>21278</v>
      </c>
    </row>
    <row r="507" spans="1:11" ht="47.25" x14ac:dyDescent="0.25">
      <c r="A507" s="29" t="s">
        <v>185</v>
      </c>
      <c r="B507" s="346" t="s">
        <v>742</v>
      </c>
      <c r="C507" s="341" t="s">
        <v>203</v>
      </c>
      <c r="D507" s="341" t="s">
        <v>116</v>
      </c>
      <c r="E507" s="341" t="s">
        <v>156</v>
      </c>
      <c r="F507" s="2">
        <v>903</v>
      </c>
      <c r="G507" s="9">
        <f>G506</f>
        <v>21278</v>
      </c>
      <c r="H507" s="9">
        <f>H506</f>
        <v>21278</v>
      </c>
    </row>
    <row r="508" spans="1:11" ht="31.5" x14ac:dyDescent="0.25">
      <c r="A508" s="345" t="s">
        <v>123</v>
      </c>
      <c r="B508" s="346" t="s">
        <v>742</v>
      </c>
      <c r="C508" s="341" t="s">
        <v>203</v>
      </c>
      <c r="D508" s="341" t="s">
        <v>116</v>
      </c>
      <c r="E508" s="341" t="s">
        <v>124</v>
      </c>
      <c r="F508" s="2"/>
      <c r="G508" s="9">
        <f>G509</f>
        <v>3955.8999999999996</v>
      </c>
      <c r="H508" s="9">
        <f>H509</f>
        <v>3955.8999999999996</v>
      </c>
    </row>
    <row r="509" spans="1:11" ht="31.5" x14ac:dyDescent="0.25">
      <c r="A509" s="345" t="s">
        <v>125</v>
      </c>
      <c r="B509" s="346" t="s">
        <v>742</v>
      </c>
      <c r="C509" s="341" t="s">
        <v>203</v>
      </c>
      <c r="D509" s="341" t="s">
        <v>116</v>
      </c>
      <c r="E509" s="341" t="s">
        <v>126</v>
      </c>
      <c r="F509" s="2"/>
      <c r="G509" s="9">
        <f>'Пр.4.1 ведом.23-24 '!G383</f>
        <v>3955.8999999999996</v>
      </c>
      <c r="H509" s="9">
        <f>'Пр.4.1 ведом.23-24 '!H383</f>
        <v>3955.8999999999996</v>
      </c>
    </row>
    <row r="510" spans="1:11" ht="47.25" x14ac:dyDescent="0.25">
      <c r="A510" s="29" t="s">
        <v>185</v>
      </c>
      <c r="B510" s="346" t="s">
        <v>742</v>
      </c>
      <c r="C510" s="341" t="s">
        <v>203</v>
      </c>
      <c r="D510" s="341" t="s">
        <v>116</v>
      </c>
      <c r="E510" s="341" t="s">
        <v>126</v>
      </c>
      <c r="F510" s="2">
        <v>903</v>
      </c>
      <c r="G510" s="9">
        <f>G509</f>
        <v>3955.8999999999996</v>
      </c>
      <c r="H510" s="9">
        <f>H509</f>
        <v>3955.8999999999996</v>
      </c>
    </row>
    <row r="511" spans="1:11" ht="15.75" customHeight="1" x14ac:dyDescent="0.25">
      <c r="A511" s="345" t="s">
        <v>127</v>
      </c>
      <c r="B511" s="346" t="s">
        <v>742</v>
      </c>
      <c r="C511" s="341" t="s">
        <v>203</v>
      </c>
      <c r="D511" s="341" t="s">
        <v>116</v>
      </c>
      <c r="E511" s="341" t="s">
        <v>134</v>
      </c>
      <c r="F511" s="2"/>
      <c r="G511" s="9">
        <f>G512</f>
        <v>26</v>
      </c>
      <c r="H511" s="9">
        <f>H512</f>
        <v>26</v>
      </c>
    </row>
    <row r="512" spans="1:11" ht="15.75" customHeight="1" x14ac:dyDescent="0.25">
      <c r="A512" s="345" t="s">
        <v>129</v>
      </c>
      <c r="B512" s="346" t="s">
        <v>742</v>
      </c>
      <c r="C512" s="341" t="s">
        <v>203</v>
      </c>
      <c r="D512" s="341" t="s">
        <v>116</v>
      </c>
      <c r="E512" s="341" t="s">
        <v>130</v>
      </c>
      <c r="F512" s="2"/>
      <c r="G512" s="9">
        <f>'Пр.4.1 ведом.23-24 '!G385</f>
        <v>26</v>
      </c>
      <c r="H512" s="9">
        <f>'Пр.4.1 ведом.23-24 '!H385</f>
        <v>26</v>
      </c>
    </row>
    <row r="513" spans="1:8" ht="50.25" customHeight="1" x14ac:dyDescent="0.25">
      <c r="A513" s="29" t="s">
        <v>185</v>
      </c>
      <c r="B513" s="346" t="s">
        <v>742</v>
      </c>
      <c r="C513" s="341" t="s">
        <v>203</v>
      </c>
      <c r="D513" s="341" t="s">
        <v>116</v>
      </c>
      <c r="E513" s="341" t="s">
        <v>130</v>
      </c>
      <c r="F513" s="2">
        <v>903</v>
      </c>
      <c r="G513" s="9">
        <f>G512</f>
        <v>26</v>
      </c>
      <c r="H513" s="9">
        <f>H512</f>
        <v>26</v>
      </c>
    </row>
    <row r="514" spans="1:8" ht="31.5" hidden="1" x14ac:dyDescent="0.25">
      <c r="A514" s="22" t="s">
        <v>974</v>
      </c>
      <c r="B514" s="346" t="s">
        <v>965</v>
      </c>
      <c r="C514" s="341" t="s">
        <v>203</v>
      </c>
      <c r="D514" s="341" t="s">
        <v>116</v>
      </c>
      <c r="E514" s="346"/>
      <c r="F514" s="2"/>
      <c r="G514" s="9">
        <f>G515</f>
        <v>0</v>
      </c>
      <c r="H514" s="9">
        <f>H515</f>
        <v>0</v>
      </c>
    </row>
    <row r="515" spans="1:8" ht="78.75" hidden="1" x14ac:dyDescent="0.25">
      <c r="A515" s="345" t="s">
        <v>119</v>
      </c>
      <c r="B515" s="346" t="s">
        <v>965</v>
      </c>
      <c r="C515" s="341" t="s">
        <v>203</v>
      </c>
      <c r="D515" s="341" t="s">
        <v>116</v>
      </c>
      <c r="E515" s="346" t="s">
        <v>120</v>
      </c>
      <c r="F515" s="2"/>
      <c r="G515" s="9">
        <f>G516</f>
        <v>0</v>
      </c>
      <c r="H515" s="9">
        <f>H516</f>
        <v>0</v>
      </c>
    </row>
    <row r="516" spans="1:8" ht="15.75" hidden="1" x14ac:dyDescent="0.25">
      <c r="A516" s="345" t="s">
        <v>155</v>
      </c>
      <c r="B516" s="346" t="s">
        <v>965</v>
      </c>
      <c r="C516" s="341" t="s">
        <v>203</v>
      </c>
      <c r="D516" s="341" t="s">
        <v>116</v>
      </c>
      <c r="E516" s="346" t="s">
        <v>156</v>
      </c>
      <c r="F516" s="2"/>
      <c r="G516" s="9">
        <f>'Пр.4 ведом.22'!G424</f>
        <v>0</v>
      </c>
      <c r="H516" s="9">
        <f>'Пр.4 ведом.22'!H424</f>
        <v>0</v>
      </c>
    </row>
    <row r="517" spans="1:8" ht="47.25" hidden="1" x14ac:dyDescent="0.25">
      <c r="A517" s="29" t="s">
        <v>185</v>
      </c>
      <c r="B517" s="346" t="s">
        <v>965</v>
      </c>
      <c r="C517" s="341" t="s">
        <v>203</v>
      </c>
      <c r="D517" s="341" t="s">
        <v>116</v>
      </c>
      <c r="E517" s="346" t="s">
        <v>156</v>
      </c>
      <c r="F517" s="2">
        <v>903</v>
      </c>
      <c r="G517" s="9">
        <f>G514</f>
        <v>0</v>
      </c>
      <c r="H517" s="9">
        <f>H514</f>
        <v>0</v>
      </c>
    </row>
    <row r="518" spans="1:8" ht="19.5" customHeight="1" x14ac:dyDescent="0.25">
      <c r="A518" s="345" t="s">
        <v>288</v>
      </c>
      <c r="B518" s="346" t="s">
        <v>741</v>
      </c>
      <c r="C518" s="341" t="s">
        <v>171</v>
      </c>
      <c r="D518" s="45"/>
      <c r="E518" s="45"/>
      <c r="F518" s="2"/>
      <c r="G518" s="9">
        <f>G519</f>
        <v>6025.3</v>
      </c>
      <c r="H518" s="9">
        <f>H519</f>
        <v>6025.3</v>
      </c>
    </row>
    <row r="519" spans="1:8" ht="23.25" customHeight="1" x14ac:dyDescent="0.25">
      <c r="A519" s="345" t="s">
        <v>289</v>
      </c>
      <c r="B519" s="346" t="s">
        <v>741</v>
      </c>
      <c r="C519" s="341" t="s">
        <v>171</v>
      </c>
      <c r="D519" s="341" t="s">
        <v>158</v>
      </c>
      <c r="E519" s="45"/>
      <c r="F519" s="2"/>
      <c r="G519" s="9">
        <f>G520</f>
        <v>6025.3</v>
      </c>
      <c r="H519" s="9">
        <f>H520</f>
        <v>6025.3</v>
      </c>
    </row>
    <row r="520" spans="1:8" ht="20.25" customHeight="1" x14ac:dyDescent="0.25">
      <c r="A520" s="345" t="s">
        <v>376</v>
      </c>
      <c r="B520" s="346" t="s">
        <v>742</v>
      </c>
      <c r="C520" s="341" t="s">
        <v>171</v>
      </c>
      <c r="D520" s="341" t="s">
        <v>158</v>
      </c>
      <c r="E520" s="341"/>
      <c r="F520" s="2"/>
      <c r="G520" s="9">
        <f>G521+G524+G527</f>
        <v>6025.3</v>
      </c>
      <c r="H520" s="9">
        <f>H521+H524+H527</f>
        <v>6025.3</v>
      </c>
    </row>
    <row r="521" spans="1:8" ht="79.5" customHeight="1" x14ac:dyDescent="0.25">
      <c r="A521" s="345" t="s">
        <v>119</v>
      </c>
      <c r="B521" s="346" t="s">
        <v>742</v>
      </c>
      <c r="C521" s="341" t="s">
        <v>171</v>
      </c>
      <c r="D521" s="341" t="s">
        <v>158</v>
      </c>
      <c r="E521" s="341" t="s">
        <v>120</v>
      </c>
      <c r="F521" s="2"/>
      <c r="G521" s="9">
        <f>G522</f>
        <v>5124.5</v>
      </c>
      <c r="H521" s="9">
        <f>H522</f>
        <v>5124.5</v>
      </c>
    </row>
    <row r="522" spans="1:8" ht="20.25" customHeight="1" x14ac:dyDescent="0.25">
      <c r="A522" s="345" t="s">
        <v>155</v>
      </c>
      <c r="B522" s="346" t="s">
        <v>742</v>
      </c>
      <c r="C522" s="341" t="s">
        <v>171</v>
      </c>
      <c r="D522" s="341" t="s">
        <v>158</v>
      </c>
      <c r="E522" s="341" t="s">
        <v>156</v>
      </c>
      <c r="F522" s="2"/>
      <c r="G522" s="9">
        <f>'Пр.4.1 ведом.23-24 '!G527</f>
        <v>5124.5</v>
      </c>
      <c r="H522" s="9">
        <f>'Пр.4.1 ведом.23-24 '!H527</f>
        <v>5124.5</v>
      </c>
    </row>
    <row r="523" spans="1:8" ht="50.25" customHeight="1" x14ac:dyDescent="0.25">
      <c r="A523" s="29" t="s">
        <v>185</v>
      </c>
      <c r="B523" s="346" t="s">
        <v>742</v>
      </c>
      <c r="C523" s="341" t="s">
        <v>171</v>
      </c>
      <c r="D523" s="341" t="s">
        <v>158</v>
      </c>
      <c r="E523" s="341" t="s">
        <v>156</v>
      </c>
      <c r="F523" s="2">
        <v>903</v>
      </c>
      <c r="G523" s="9">
        <f>G522</f>
        <v>5124.5</v>
      </c>
      <c r="H523" s="9">
        <f>H522</f>
        <v>5124.5</v>
      </c>
    </row>
    <row r="524" spans="1:8" ht="42.75" customHeight="1" x14ac:dyDescent="0.25">
      <c r="A524" s="345" t="s">
        <v>123</v>
      </c>
      <c r="B524" s="346" t="s">
        <v>742</v>
      </c>
      <c r="C524" s="341" t="s">
        <v>171</v>
      </c>
      <c r="D524" s="341" t="s">
        <v>158</v>
      </c>
      <c r="E524" s="341" t="s">
        <v>124</v>
      </c>
      <c r="F524" s="2"/>
      <c r="G524" s="9">
        <f>G525</f>
        <v>890.3</v>
      </c>
      <c r="H524" s="9">
        <f>H525</f>
        <v>890.3</v>
      </c>
    </row>
    <row r="525" spans="1:8" ht="36" customHeight="1" x14ac:dyDescent="0.25">
      <c r="A525" s="345" t="s">
        <v>125</v>
      </c>
      <c r="B525" s="346" t="s">
        <v>742</v>
      </c>
      <c r="C525" s="341" t="s">
        <v>171</v>
      </c>
      <c r="D525" s="341" t="s">
        <v>158</v>
      </c>
      <c r="E525" s="341" t="s">
        <v>126</v>
      </c>
      <c r="F525" s="2"/>
      <c r="G525" s="9">
        <f>'Пр.4.1 ведом.23-24 '!G529</f>
        <v>890.3</v>
      </c>
      <c r="H525" s="9">
        <f>'Пр.4.1 ведом.23-24 '!H529</f>
        <v>890.3</v>
      </c>
    </row>
    <row r="526" spans="1:8" ht="50.25" customHeight="1" x14ac:dyDescent="0.25">
      <c r="A526" s="29" t="s">
        <v>185</v>
      </c>
      <c r="B526" s="346" t="s">
        <v>742</v>
      </c>
      <c r="C526" s="341" t="s">
        <v>171</v>
      </c>
      <c r="D526" s="341" t="s">
        <v>158</v>
      </c>
      <c r="E526" s="341" t="s">
        <v>126</v>
      </c>
      <c r="F526" s="2">
        <v>903</v>
      </c>
      <c r="G526" s="9">
        <f>G525</f>
        <v>890.3</v>
      </c>
      <c r="H526" s="9">
        <f>H525</f>
        <v>890.3</v>
      </c>
    </row>
    <row r="527" spans="1:8" ht="19.5" customHeight="1" x14ac:dyDescent="0.25">
      <c r="A527" s="345" t="s">
        <v>127</v>
      </c>
      <c r="B527" s="346" t="s">
        <v>742</v>
      </c>
      <c r="C527" s="341" t="s">
        <v>171</v>
      </c>
      <c r="D527" s="341" t="s">
        <v>158</v>
      </c>
      <c r="E527" s="341" t="s">
        <v>134</v>
      </c>
      <c r="F527" s="2"/>
      <c r="G527" s="9">
        <f>G528</f>
        <v>10.5</v>
      </c>
      <c r="H527" s="9">
        <f>H528</f>
        <v>10.5</v>
      </c>
    </row>
    <row r="528" spans="1:8" ht="23.25" customHeight="1" x14ac:dyDescent="0.25">
      <c r="A528" s="345" t="s">
        <v>129</v>
      </c>
      <c r="B528" s="346" t="s">
        <v>742</v>
      </c>
      <c r="C528" s="341" t="s">
        <v>171</v>
      </c>
      <c r="D528" s="341" t="s">
        <v>158</v>
      </c>
      <c r="E528" s="341" t="s">
        <v>130</v>
      </c>
      <c r="F528" s="2"/>
      <c r="G528" s="9">
        <f>'Пр.4.1 ведом.23-24 '!G531</f>
        <v>10.5</v>
      </c>
      <c r="H528" s="9">
        <f>'Пр.4.1 ведом.23-24 '!H531</f>
        <v>10.5</v>
      </c>
    </row>
    <row r="529" spans="1:8" ht="50.25" customHeight="1" x14ac:dyDescent="0.25">
      <c r="A529" s="29" t="s">
        <v>185</v>
      </c>
      <c r="B529" s="346" t="s">
        <v>742</v>
      </c>
      <c r="C529" s="341" t="s">
        <v>171</v>
      </c>
      <c r="D529" s="341" t="s">
        <v>158</v>
      </c>
      <c r="E529" s="341" t="s">
        <v>130</v>
      </c>
      <c r="F529" s="2">
        <v>903</v>
      </c>
      <c r="G529" s="9">
        <f>G528</f>
        <v>10.5</v>
      </c>
      <c r="H529" s="9">
        <f>H528</f>
        <v>10.5</v>
      </c>
    </row>
    <row r="530" spans="1:8" ht="31.7" customHeight="1" x14ac:dyDescent="0.25">
      <c r="A530" s="138" t="s">
        <v>817</v>
      </c>
      <c r="B530" s="299" t="s">
        <v>743</v>
      </c>
      <c r="C530" s="6"/>
      <c r="D530" s="6"/>
      <c r="E530" s="6"/>
      <c r="F530" s="3"/>
      <c r="G530" s="35">
        <f>G531+G544</f>
        <v>572</v>
      </c>
      <c r="H530" s="35">
        <f>H531+H544</f>
        <v>572</v>
      </c>
    </row>
    <row r="531" spans="1:8" ht="21.2" customHeight="1" x14ac:dyDescent="0.25">
      <c r="A531" s="345" t="s">
        <v>186</v>
      </c>
      <c r="B531" s="346" t="s">
        <v>743</v>
      </c>
      <c r="C531" s="341" t="s">
        <v>187</v>
      </c>
      <c r="D531" s="341"/>
      <c r="E531" s="341"/>
      <c r="F531" s="2"/>
      <c r="G531" s="9">
        <f>G532</f>
        <v>292</v>
      </c>
      <c r="H531" s="9">
        <f>H532</f>
        <v>292</v>
      </c>
    </row>
    <row r="532" spans="1:8" ht="20.25" customHeight="1" x14ac:dyDescent="0.25">
      <c r="A532" s="345" t="s">
        <v>188</v>
      </c>
      <c r="B532" s="346" t="s">
        <v>743</v>
      </c>
      <c r="C532" s="341" t="s">
        <v>187</v>
      </c>
      <c r="D532" s="341" t="s">
        <v>159</v>
      </c>
      <c r="E532" s="341"/>
      <c r="F532" s="2"/>
      <c r="G532" s="9">
        <f>G533</f>
        <v>292</v>
      </c>
      <c r="H532" s="9">
        <f>H533</f>
        <v>292</v>
      </c>
    </row>
    <row r="533" spans="1:8" ht="30.6" customHeight="1" x14ac:dyDescent="0.25">
      <c r="A533" s="120" t="s">
        <v>375</v>
      </c>
      <c r="B533" s="346" t="s">
        <v>744</v>
      </c>
      <c r="C533" s="341" t="s">
        <v>187</v>
      </c>
      <c r="D533" s="341" t="s">
        <v>159</v>
      </c>
      <c r="E533" s="346"/>
      <c r="F533" s="2"/>
      <c r="G533" s="9">
        <f>G534+G537</f>
        <v>292</v>
      </c>
      <c r="H533" s="9">
        <f>H534+H537</f>
        <v>292</v>
      </c>
    </row>
    <row r="534" spans="1:8" ht="21.2" customHeight="1" x14ac:dyDescent="0.25">
      <c r="A534" s="345" t="s">
        <v>177</v>
      </c>
      <c r="B534" s="346" t="s">
        <v>744</v>
      </c>
      <c r="C534" s="341" t="s">
        <v>187</v>
      </c>
      <c r="D534" s="341" t="s">
        <v>159</v>
      </c>
      <c r="E534" s="346" t="s">
        <v>178</v>
      </c>
      <c r="F534" s="2"/>
      <c r="G534" s="9">
        <f>G535</f>
        <v>42</v>
      </c>
      <c r="H534" s="9">
        <f>H535</f>
        <v>42</v>
      </c>
    </row>
    <row r="535" spans="1:8" ht="19.5" customHeight="1" x14ac:dyDescent="0.25">
      <c r="A535" s="345" t="s">
        <v>396</v>
      </c>
      <c r="B535" s="346" t="s">
        <v>744</v>
      </c>
      <c r="C535" s="341" t="s">
        <v>187</v>
      </c>
      <c r="D535" s="341" t="s">
        <v>159</v>
      </c>
      <c r="E535" s="346" t="s">
        <v>395</v>
      </c>
      <c r="F535" s="2"/>
      <c r="G535" s="9">
        <f>'Пр.4.1 ведом.23-24 '!G320</f>
        <v>42</v>
      </c>
      <c r="H535" s="9">
        <f>'Пр.4.1 ведом.23-24 '!H320</f>
        <v>42</v>
      </c>
    </row>
    <row r="536" spans="1:8" ht="54" customHeight="1" x14ac:dyDescent="0.25">
      <c r="A536" s="29" t="s">
        <v>185</v>
      </c>
      <c r="B536" s="346" t="s">
        <v>744</v>
      </c>
      <c r="C536" s="341" t="s">
        <v>187</v>
      </c>
      <c r="D536" s="341" t="s">
        <v>159</v>
      </c>
      <c r="E536" s="346" t="s">
        <v>395</v>
      </c>
      <c r="F536" s="2">
        <v>903</v>
      </c>
      <c r="G536" s="9">
        <f>G535</f>
        <v>42</v>
      </c>
      <c r="H536" s="9">
        <f>H535</f>
        <v>42</v>
      </c>
    </row>
    <row r="537" spans="1:8" ht="31.7" customHeight="1" x14ac:dyDescent="0.25">
      <c r="A537" s="22" t="s">
        <v>392</v>
      </c>
      <c r="B537" s="346" t="s">
        <v>745</v>
      </c>
      <c r="C537" s="341" t="s">
        <v>187</v>
      </c>
      <c r="D537" s="341" t="s">
        <v>159</v>
      </c>
      <c r="E537" s="346"/>
      <c r="F537" s="2"/>
      <c r="G537" s="9">
        <f>G538+G541</f>
        <v>250</v>
      </c>
      <c r="H537" s="9">
        <f>H538+H541</f>
        <v>250</v>
      </c>
    </row>
    <row r="538" spans="1:8" ht="31.7" customHeight="1" x14ac:dyDescent="0.25">
      <c r="A538" s="345" t="s">
        <v>119</v>
      </c>
      <c r="B538" s="346" t="s">
        <v>745</v>
      </c>
      <c r="C538" s="341" t="s">
        <v>187</v>
      </c>
      <c r="D538" s="341" t="s">
        <v>159</v>
      </c>
      <c r="E538" s="346" t="s">
        <v>120</v>
      </c>
      <c r="F538" s="2"/>
      <c r="G538" s="9">
        <f>G539</f>
        <v>250</v>
      </c>
      <c r="H538" s="9">
        <f>H539</f>
        <v>250</v>
      </c>
    </row>
    <row r="539" spans="1:8" ht="21.2" customHeight="1" x14ac:dyDescent="0.25">
      <c r="A539" s="30" t="s">
        <v>212</v>
      </c>
      <c r="B539" s="346" t="s">
        <v>745</v>
      </c>
      <c r="C539" s="341" t="s">
        <v>187</v>
      </c>
      <c r="D539" s="341" t="s">
        <v>159</v>
      </c>
      <c r="E539" s="346" t="s">
        <v>156</v>
      </c>
      <c r="F539" s="2"/>
      <c r="G539" s="9">
        <f>'Пр.4.1 ведом.23-24 '!G323</f>
        <v>250</v>
      </c>
      <c r="H539" s="9">
        <f>'Пр.4.1 ведом.23-24 '!H323</f>
        <v>250</v>
      </c>
    </row>
    <row r="540" spans="1:8" ht="52.5" customHeight="1" x14ac:dyDescent="0.25">
      <c r="A540" s="29" t="s">
        <v>185</v>
      </c>
      <c r="B540" s="346" t="s">
        <v>745</v>
      </c>
      <c r="C540" s="341" t="s">
        <v>187</v>
      </c>
      <c r="D540" s="341" t="s">
        <v>159</v>
      </c>
      <c r="E540" s="346" t="s">
        <v>156</v>
      </c>
      <c r="F540" s="2">
        <v>903</v>
      </c>
      <c r="G540" s="9">
        <f>G539</f>
        <v>250</v>
      </c>
      <c r="H540" s="9">
        <f>H539</f>
        <v>250</v>
      </c>
    </row>
    <row r="541" spans="1:8" ht="31.7" hidden="1" customHeight="1" x14ac:dyDescent="0.25">
      <c r="A541" s="345" t="s">
        <v>123</v>
      </c>
      <c r="B541" s="346" t="s">
        <v>745</v>
      </c>
      <c r="C541" s="341" t="s">
        <v>187</v>
      </c>
      <c r="D541" s="341" t="s">
        <v>159</v>
      </c>
      <c r="E541" s="346" t="s">
        <v>124</v>
      </c>
      <c r="F541" s="2"/>
      <c r="G541" s="9">
        <f>G542</f>
        <v>0</v>
      </c>
      <c r="H541" s="9">
        <f>H542</f>
        <v>0</v>
      </c>
    </row>
    <row r="542" spans="1:8" ht="31.7" hidden="1" customHeight="1" x14ac:dyDescent="0.25">
      <c r="A542" s="345" t="s">
        <v>125</v>
      </c>
      <c r="B542" s="346" t="s">
        <v>745</v>
      </c>
      <c r="C542" s="341" t="s">
        <v>187</v>
      </c>
      <c r="D542" s="341" t="s">
        <v>159</v>
      </c>
      <c r="E542" s="346" t="s">
        <v>126</v>
      </c>
      <c r="F542" s="2"/>
      <c r="G542" s="9">
        <f>'Пр.4 ведом.22'!G354</f>
        <v>0</v>
      </c>
      <c r="H542" s="9">
        <f>'Пр.4 ведом.22'!H354</f>
        <v>0</v>
      </c>
    </row>
    <row r="543" spans="1:8" ht="55.5" hidden="1" customHeight="1" x14ac:dyDescent="0.25">
      <c r="A543" s="29" t="s">
        <v>185</v>
      </c>
      <c r="B543" s="346" t="s">
        <v>745</v>
      </c>
      <c r="C543" s="341" t="s">
        <v>187</v>
      </c>
      <c r="D543" s="341" t="s">
        <v>159</v>
      </c>
      <c r="E543" s="346" t="s">
        <v>126</v>
      </c>
      <c r="F543" s="2">
        <v>903</v>
      </c>
      <c r="G543" s="9">
        <f>G542</f>
        <v>0</v>
      </c>
      <c r="H543" s="9">
        <f>H542</f>
        <v>0</v>
      </c>
    </row>
    <row r="544" spans="1:8" ht="16.5" customHeight="1" x14ac:dyDescent="0.25">
      <c r="A544" s="45" t="s">
        <v>202</v>
      </c>
      <c r="B544" s="346" t="s">
        <v>743</v>
      </c>
      <c r="C544" s="341" t="s">
        <v>203</v>
      </c>
      <c r="D544" s="45"/>
      <c r="E544" s="45"/>
      <c r="F544" s="2"/>
      <c r="G544" s="9">
        <f>G545</f>
        <v>280</v>
      </c>
      <c r="H544" s="9">
        <f>H545</f>
        <v>280</v>
      </c>
    </row>
    <row r="545" spans="1:8" ht="16.5" customHeight="1" x14ac:dyDescent="0.25">
      <c r="A545" s="45" t="s">
        <v>204</v>
      </c>
      <c r="B545" s="346" t="s">
        <v>743</v>
      </c>
      <c r="C545" s="341" t="s">
        <v>203</v>
      </c>
      <c r="D545" s="341" t="s">
        <v>116</v>
      </c>
      <c r="E545" s="45"/>
      <c r="F545" s="2"/>
      <c r="G545" s="9">
        <f>G546+G550+G553</f>
        <v>280</v>
      </c>
      <c r="H545" s="9">
        <f>H546+H550+H553</f>
        <v>280</v>
      </c>
    </row>
    <row r="546" spans="1:8" ht="41.25" hidden="1" customHeight="1" x14ac:dyDescent="0.25">
      <c r="A546" s="22" t="s">
        <v>392</v>
      </c>
      <c r="B546" s="346" t="s">
        <v>745</v>
      </c>
      <c r="C546" s="341" t="s">
        <v>203</v>
      </c>
      <c r="D546" s="341" t="s">
        <v>116</v>
      </c>
      <c r="E546" s="341"/>
      <c r="F546" s="2"/>
      <c r="G546" s="9">
        <f>G547</f>
        <v>0</v>
      </c>
      <c r="H546" s="9">
        <f>H547</f>
        <v>0</v>
      </c>
    </row>
    <row r="547" spans="1:8" ht="83.25" hidden="1" customHeight="1" x14ac:dyDescent="0.25">
      <c r="A547" s="345" t="s">
        <v>119</v>
      </c>
      <c r="B547" s="346" t="s">
        <v>745</v>
      </c>
      <c r="C547" s="341" t="s">
        <v>203</v>
      </c>
      <c r="D547" s="341" t="s">
        <v>116</v>
      </c>
      <c r="E547" s="341" t="s">
        <v>120</v>
      </c>
      <c r="F547" s="2"/>
      <c r="G547" s="9">
        <f>G548</f>
        <v>0</v>
      </c>
      <c r="H547" s="9">
        <f>H548</f>
        <v>0</v>
      </c>
    </row>
    <row r="548" spans="1:8" ht="15.75" hidden="1" customHeight="1" x14ac:dyDescent="0.25">
      <c r="A548" s="345" t="s">
        <v>155</v>
      </c>
      <c r="B548" s="346" t="s">
        <v>745</v>
      </c>
      <c r="C548" s="341" t="s">
        <v>203</v>
      </c>
      <c r="D548" s="341" t="s">
        <v>116</v>
      </c>
      <c r="E548" s="341" t="s">
        <v>156</v>
      </c>
      <c r="F548" s="2"/>
      <c r="G548" s="9">
        <f>'Пр.4.1 ведом.23-24 '!G392</f>
        <v>0</v>
      </c>
      <c r="H548" s="9">
        <f>'Пр.4.1 ведом.23-24 '!H392</f>
        <v>0</v>
      </c>
    </row>
    <row r="549" spans="1:8" ht="40.15" hidden="1" customHeight="1" x14ac:dyDescent="0.25">
      <c r="A549" s="29" t="s">
        <v>185</v>
      </c>
      <c r="B549" s="346" t="s">
        <v>745</v>
      </c>
      <c r="C549" s="341" t="s">
        <v>203</v>
      </c>
      <c r="D549" s="341" t="s">
        <v>116</v>
      </c>
      <c r="E549" s="341" t="s">
        <v>156</v>
      </c>
      <c r="F549" s="2">
        <v>903</v>
      </c>
      <c r="G549" s="9">
        <f>G548</f>
        <v>0</v>
      </c>
      <c r="H549" s="9">
        <f>H548</f>
        <v>0</v>
      </c>
    </row>
    <row r="550" spans="1:8" ht="40.700000000000003" hidden="1" customHeight="1" x14ac:dyDescent="0.25">
      <c r="A550" s="345" t="s">
        <v>123</v>
      </c>
      <c r="B550" s="346" t="s">
        <v>745</v>
      </c>
      <c r="C550" s="341" t="s">
        <v>203</v>
      </c>
      <c r="D550" s="341" t="s">
        <v>116</v>
      </c>
      <c r="E550" s="341" t="s">
        <v>124</v>
      </c>
      <c r="F550" s="2"/>
      <c r="G550" s="9">
        <f>G551</f>
        <v>0</v>
      </c>
      <c r="H550" s="9">
        <f>H551</f>
        <v>0</v>
      </c>
    </row>
    <row r="551" spans="1:8" ht="40.700000000000003" hidden="1" customHeight="1" x14ac:dyDescent="0.25">
      <c r="A551" s="345" t="s">
        <v>125</v>
      </c>
      <c r="B551" s="346" t="s">
        <v>745</v>
      </c>
      <c r="C551" s="341" t="s">
        <v>203</v>
      </c>
      <c r="D551" s="341" t="s">
        <v>116</v>
      </c>
      <c r="E551" s="341" t="s">
        <v>126</v>
      </c>
      <c r="F551" s="2"/>
      <c r="G551" s="9">
        <f>'Пр.3 Рд,пр, ЦС,ВР 22'!F917</f>
        <v>0</v>
      </c>
      <c r="H551" s="9">
        <f>'Пр.3 Рд,пр, ЦС,ВР 22'!G917</f>
        <v>0</v>
      </c>
    </row>
    <row r="552" spans="1:8" ht="46.5" hidden="1" customHeight="1" x14ac:dyDescent="0.25">
      <c r="A552" s="29" t="s">
        <v>185</v>
      </c>
      <c r="B552" s="346" t="s">
        <v>745</v>
      </c>
      <c r="C552" s="341" t="s">
        <v>203</v>
      </c>
      <c r="D552" s="341" t="s">
        <v>116</v>
      </c>
      <c r="E552" s="341" t="s">
        <v>126</v>
      </c>
      <c r="F552" s="2">
        <v>903</v>
      </c>
      <c r="G552" s="9">
        <f>G551</f>
        <v>0</v>
      </c>
      <c r="H552" s="9">
        <f>H551</f>
        <v>0</v>
      </c>
    </row>
    <row r="553" spans="1:8" ht="31.5" x14ac:dyDescent="0.25">
      <c r="A553" s="391" t="s">
        <v>1219</v>
      </c>
      <c r="B553" s="394" t="s">
        <v>1220</v>
      </c>
      <c r="C553" s="341" t="s">
        <v>203</v>
      </c>
      <c r="D553" s="341" t="s">
        <v>116</v>
      </c>
      <c r="E553" s="341"/>
      <c r="F553" s="2"/>
      <c r="G553" s="9">
        <f>G554</f>
        <v>280</v>
      </c>
      <c r="H553" s="9">
        <f>H554</f>
        <v>280</v>
      </c>
    </row>
    <row r="554" spans="1:8" ht="31.5" x14ac:dyDescent="0.25">
      <c r="A554" s="391" t="s">
        <v>191</v>
      </c>
      <c r="B554" s="394" t="s">
        <v>1220</v>
      </c>
      <c r="C554" s="341" t="s">
        <v>203</v>
      </c>
      <c r="D554" s="341" t="s">
        <v>116</v>
      </c>
      <c r="E554" s="341" t="s">
        <v>192</v>
      </c>
      <c r="F554" s="2"/>
      <c r="G554" s="9">
        <f>G555</f>
        <v>280</v>
      </c>
      <c r="H554" s="9">
        <f>H555</f>
        <v>280</v>
      </c>
    </row>
    <row r="555" spans="1:8" ht="15.75" x14ac:dyDescent="0.25">
      <c r="A555" s="345" t="s">
        <v>193</v>
      </c>
      <c r="B555" s="394" t="s">
        <v>1220</v>
      </c>
      <c r="C555" s="341" t="s">
        <v>203</v>
      </c>
      <c r="D555" s="341" t="s">
        <v>116</v>
      </c>
      <c r="E555" s="341" t="s">
        <v>194</v>
      </c>
      <c r="F555" s="2"/>
      <c r="G555" s="9">
        <f>'Пр.4.1 ведом.23-24 '!G397</f>
        <v>280</v>
      </c>
      <c r="H555" s="9">
        <f>'Пр.4.1 ведом.23-24 '!H397</f>
        <v>280</v>
      </c>
    </row>
    <row r="556" spans="1:8" ht="47.25" x14ac:dyDescent="0.25">
      <c r="A556" s="29" t="s">
        <v>185</v>
      </c>
      <c r="B556" s="394" t="s">
        <v>1220</v>
      </c>
      <c r="C556" s="341" t="s">
        <v>203</v>
      </c>
      <c r="D556" s="341" t="s">
        <v>116</v>
      </c>
      <c r="E556" s="341" t="s">
        <v>194</v>
      </c>
      <c r="F556" s="2">
        <v>903</v>
      </c>
      <c r="G556" s="9">
        <f>G555</f>
        <v>280</v>
      </c>
      <c r="H556" s="9">
        <f>H555</f>
        <v>280</v>
      </c>
    </row>
    <row r="557" spans="1:8" ht="35.450000000000003" customHeight="1" x14ac:dyDescent="0.25">
      <c r="A557" s="298" t="s">
        <v>512</v>
      </c>
      <c r="B557" s="299" t="s">
        <v>746</v>
      </c>
      <c r="C557" s="6"/>
      <c r="D557" s="6"/>
      <c r="E557" s="6"/>
      <c r="F557" s="3"/>
      <c r="G557" s="35">
        <f>G565+G559+G574</f>
        <v>1634</v>
      </c>
      <c r="H557" s="35">
        <f>H565+H559+H574</f>
        <v>1634</v>
      </c>
    </row>
    <row r="558" spans="1:8" ht="18" customHeight="1" x14ac:dyDescent="0.25">
      <c r="A558" s="345" t="s">
        <v>186</v>
      </c>
      <c r="B558" s="346" t="s">
        <v>746</v>
      </c>
      <c r="C558" s="341" t="s">
        <v>187</v>
      </c>
      <c r="D558" s="341"/>
      <c r="E558" s="341"/>
      <c r="F558" s="2"/>
      <c r="G558" s="9">
        <f t="shared" ref="G558:H561" si="74">G559</f>
        <v>473</v>
      </c>
      <c r="H558" s="9">
        <f t="shared" si="74"/>
        <v>473</v>
      </c>
    </row>
    <row r="559" spans="1:8" ht="22.7" customHeight="1" x14ac:dyDescent="0.25">
      <c r="A559" s="345" t="s">
        <v>188</v>
      </c>
      <c r="B559" s="346" t="s">
        <v>746</v>
      </c>
      <c r="C559" s="341" t="s">
        <v>187</v>
      </c>
      <c r="D559" s="341" t="s">
        <v>159</v>
      </c>
      <c r="E559" s="341"/>
      <c r="F559" s="2"/>
      <c r="G559" s="9">
        <f t="shared" si="74"/>
        <v>473</v>
      </c>
      <c r="H559" s="9">
        <f t="shared" si="74"/>
        <v>473</v>
      </c>
    </row>
    <row r="560" spans="1:8" ht="49.7" customHeight="1" x14ac:dyDescent="0.25">
      <c r="A560" s="345" t="s">
        <v>414</v>
      </c>
      <c r="B560" s="346" t="s">
        <v>747</v>
      </c>
      <c r="C560" s="341" t="s">
        <v>187</v>
      </c>
      <c r="D560" s="341" t="s">
        <v>159</v>
      </c>
      <c r="E560" s="346"/>
      <c r="F560" s="2"/>
      <c r="G560" s="9">
        <f t="shared" si="74"/>
        <v>473</v>
      </c>
      <c r="H560" s="9">
        <f t="shared" si="74"/>
        <v>473</v>
      </c>
    </row>
    <row r="561" spans="1:8" ht="88.5" customHeight="1" x14ac:dyDescent="0.25">
      <c r="A561" s="345" t="s">
        <v>119</v>
      </c>
      <c r="B561" s="346" t="s">
        <v>747</v>
      </c>
      <c r="C561" s="341" t="s">
        <v>187</v>
      </c>
      <c r="D561" s="341" t="s">
        <v>159</v>
      </c>
      <c r="E561" s="346" t="s">
        <v>120</v>
      </c>
      <c r="F561" s="2"/>
      <c r="G561" s="9">
        <f t="shared" si="74"/>
        <v>473</v>
      </c>
      <c r="H561" s="9">
        <f t="shared" si="74"/>
        <v>473</v>
      </c>
    </row>
    <row r="562" spans="1:8" ht="36.75" customHeight="1" x14ac:dyDescent="0.25">
      <c r="A562" s="345" t="s">
        <v>121</v>
      </c>
      <c r="B562" s="346" t="s">
        <v>747</v>
      </c>
      <c r="C562" s="341" t="s">
        <v>187</v>
      </c>
      <c r="D562" s="341" t="s">
        <v>159</v>
      </c>
      <c r="E562" s="346" t="s">
        <v>156</v>
      </c>
      <c r="F562" s="2"/>
      <c r="G562" s="9">
        <f>'Пр.4.1 ведом.23-24 '!G329</f>
        <v>473</v>
      </c>
      <c r="H562" s="9">
        <f>'Пр.4.1 ведом.23-24 '!H329</f>
        <v>473</v>
      </c>
    </row>
    <row r="563" spans="1:8" ht="58.7" customHeight="1" x14ac:dyDescent="0.25">
      <c r="A563" s="29" t="s">
        <v>185</v>
      </c>
      <c r="B563" s="346" t="s">
        <v>747</v>
      </c>
      <c r="C563" s="341" t="s">
        <v>187</v>
      </c>
      <c r="D563" s="341" t="s">
        <v>159</v>
      </c>
      <c r="E563" s="346" t="s">
        <v>156</v>
      </c>
      <c r="F563" s="2">
        <v>903</v>
      </c>
      <c r="G563" s="9">
        <f>G562</f>
        <v>473</v>
      </c>
      <c r="H563" s="9">
        <f>H562</f>
        <v>473</v>
      </c>
    </row>
    <row r="564" spans="1:8" ht="16.5" customHeight="1" x14ac:dyDescent="0.25">
      <c r="A564" s="45" t="s">
        <v>202</v>
      </c>
      <c r="B564" s="346" t="s">
        <v>746</v>
      </c>
      <c r="C564" s="341" t="s">
        <v>203</v>
      </c>
      <c r="D564" s="45"/>
      <c r="E564" s="45"/>
      <c r="F564" s="2"/>
      <c r="G564" s="9">
        <f t="shared" ref="G564:H567" si="75">G565</f>
        <v>903</v>
      </c>
      <c r="H564" s="9">
        <f t="shared" si="75"/>
        <v>903</v>
      </c>
    </row>
    <row r="565" spans="1:8" ht="18.75" customHeight="1" x14ac:dyDescent="0.25">
      <c r="A565" s="45" t="s">
        <v>204</v>
      </c>
      <c r="B565" s="346" t="s">
        <v>746</v>
      </c>
      <c r="C565" s="341" t="s">
        <v>203</v>
      </c>
      <c r="D565" s="341" t="s">
        <v>116</v>
      </c>
      <c r="E565" s="45"/>
      <c r="F565" s="2"/>
      <c r="G565" s="9">
        <f>G566+G570</f>
        <v>903</v>
      </c>
      <c r="H565" s="9">
        <f>H566+H570</f>
        <v>903</v>
      </c>
    </row>
    <row r="566" spans="1:8" ht="43.5" customHeight="1" x14ac:dyDescent="0.25">
      <c r="A566" s="345" t="s">
        <v>414</v>
      </c>
      <c r="B566" s="346" t="s">
        <v>747</v>
      </c>
      <c r="C566" s="341" t="s">
        <v>203</v>
      </c>
      <c r="D566" s="341" t="s">
        <v>116</v>
      </c>
      <c r="E566" s="341"/>
      <c r="F566" s="2"/>
      <c r="G566" s="9">
        <f t="shared" si="75"/>
        <v>473</v>
      </c>
      <c r="H566" s="9">
        <f t="shared" si="75"/>
        <v>473</v>
      </c>
    </row>
    <row r="567" spans="1:8" ht="81" customHeight="1" x14ac:dyDescent="0.25">
      <c r="A567" s="345" t="s">
        <v>119</v>
      </c>
      <c r="B567" s="346" t="s">
        <v>747</v>
      </c>
      <c r="C567" s="341" t="s">
        <v>203</v>
      </c>
      <c r="D567" s="341" t="s">
        <v>116</v>
      </c>
      <c r="E567" s="341" t="s">
        <v>120</v>
      </c>
      <c r="F567" s="2"/>
      <c r="G567" s="9">
        <f t="shared" si="75"/>
        <v>473</v>
      </c>
      <c r="H567" s="9">
        <f t="shared" si="75"/>
        <v>473</v>
      </c>
    </row>
    <row r="568" spans="1:8" ht="38.25" customHeight="1" x14ac:dyDescent="0.25">
      <c r="A568" s="345" t="s">
        <v>121</v>
      </c>
      <c r="B568" s="346" t="s">
        <v>747</v>
      </c>
      <c r="C568" s="341" t="s">
        <v>203</v>
      </c>
      <c r="D568" s="341" t="s">
        <v>116</v>
      </c>
      <c r="E568" s="341" t="s">
        <v>156</v>
      </c>
      <c r="F568" s="2"/>
      <c r="G568" s="9">
        <f>'Пр.4.1 ведом.23-24 '!G401</f>
        <v>473</v>
      </c>
      <c r="H568" s="9">
        <f>'Пр.4.1 ведом.23-24 '!H401</f>
        <v>473</v>
      </c>
    </row>
    <row r="569" spans="1:8" ht="47.25" customHeight="1" x14ac:dyDescent="0.25">
      <c r="A569" s="29" t="s">
        <v>185</v>
      </c>
      <c r="B569" s="346" t="s">
        <v>747</v>
      </c>
      <c r="C569" s="341" t="s">
        <v>203</v>
      </c>
      <c r="D569" s="341" t="s">
        <v>116</v>
      </c>
      <c r="E569" s="341" t="s">
        <v>156</v>
      </c>
      <c r="F569" s="2">
        <v>903</v>
      </c>
      <c r="G569" s="9">
        <f>G568</f>
        <v>473</v>
      </c>
      <c r="H569" s="9">
        <f>H568</f>
        <v>473</v>
      </c>
    </row>
    <row r="570" spans="1:8" ht="31.5" x14ac:dyDescent="0.25">
      <c r="A570" s="345" t="s">
        <v>342</v>
      </c>
      <c r="B570" s="394" t="s">
        <v>1221</v>
      </c>
      <c r="C570" s="341" t="s">
        <v>203</v>
      </c>
      <c r="D570" s="341" t="s">
        <v>116</v>
      </c>
      <c r="E570" s="341"/>
      <c r="F570" s="2"/>
      <c r="G570" s="9">
        <f>G571</f>
        <v>430</v>
      </c>
      <c r="H570" s="9">
        <f>H571</f>
        <v>430</v>
      </c>
    </row>
    <row r="571" spans="1:8" ht="31.5" x14ac:dyDescent="0.25">
      <c r="A571" s="345" t="s">
        <v>191</v>
      </c>
      <c r="B571" s="394" t="s">
        <v>1221</v>
      </c>
      <c r="C571" s="341" t="s">
        <v>203</v>
      </c>
      <c r="D571" s="341" t="s">
        <v>116</v>
      </c>
      <c r="E571" s="341" t="s">
        <v>192</v>
      </c>
      <c r="F571" s="2"/>
      <c r="G571" s="9">
        <f>G572</f>
        <v>430</v>
      </c>
      <c r="H571" s="9">
        <f>H572</f>
        <v>430</v>
      </c>
    </row>
    <row r="572" spans="1:8" ht="15.75" x14ac:dyDescent="0.25">
      <c r="A572" s="345" t="s">
        <v>193</v>
      </c>
      <c r="B572" s="394" t="s">
        <v>1221</v>
      </c>
      <c r="C572" s="341" t="s">
        <v>203</v>
      </c>
      <c r="D572" s="341" t="s">
        <v>116</v>
      </c>
      <c r="E572" s="341" t="s">
        <v>194</v>
      </c>
      <c r="F572" s="2"/>
      <c r="G572" s="9">
        <f>'Пр.4.1 ведом.23-24 '!G404</f>
        <v>430</v>
      </c>
      <c r="H572" s="9">
        <f>'Пр.4.1 ведом.23-24 '!H404</f>
        <v>430</v>
      </c>
    </row>
    <row r="573" spans="1:8" ht="47.25" x14ac:dyDescent="0.25">
      <c r="A573" s="29" t="s">
        <v>185</v>
      </c>
      <c r="B573" s="394" t="s">
        <v>1221</v>
      </c>
      <c r="C573" s="341" t="s">
        <v>203</v>
      </c>
      <c r="D573" s="341" t="s">
        <v>116</v>
      </c>
      <c r="E573" s="341" t="s">
        <v>194</v>
      </c>
      <c r="F573" s="2">
        <v>903</v>
      </c>
      <c r="G573" s="9">
        <f>G572</f>
        <v>430</v>
      </c>
      <c r="H573" s="9">
        <f>H572</f>
        <v>430</v>
      </c>
    </row>
    <row r="574" spans="1:8" ht="16.5" customHeight="1" x14ac:dyDescent="0.25">
      <c r="A574" s="42" t="s">
        <v>288</v>
      </c>
      <c r="B574" s="346" t="s">
        <v>746</v>
      </c>
      <c r="C574" s="341" t="s">
        <v>171</v>
      </c>
      <c r="D574" s="45"/>
      <c r="E574" s="45"/>
      <c r="F574" s="2"/>
      <c r="G574" s="9">
        <f t="shared" ref="G574:H577" si="76">G575</f>
        <v>258</v>
      </c>
      <c r="H574" s="9">
        <f t="shared" si="76"/>
        <v>258</v>
      </c>
    </row>
    <row r="575" spans="1:8" ht="18" customHeight="1" x14ac:dyDescent="0.25">
      <c r="A575" s="345" t="s">
        <v>289</v>
      </c>
      <c r="B575" s="346" t="s">
        <v>746</v>
      </c>
      <c r="C575" s="341" t="s">
        <v>171</v>
      </c>
      <c r="D575" s="341" t="s">
        <v>158</v>
      </c>
      <c r="E575" s="45"/>
      <c r="F575" s="2"/>
      <c r="G575" s="9">
        <f t="shared" si="76"/>
        <v>258</v>
      </c>
      <c r="H575" s="9">
        <f t="shared" si="76"/>
        <v>258</v>
      </c>
    </row>
    <row r="576" spans="1:8" ht="47.25" customHeight="1" x14ac:dyDescent="0.25">
      <c r="A576" s="345" t="s">
        <v>414</v>
      </c>
      <c r="B576" s="346" t="s">
        <v>747</v>
      </c>
      <c r="C576" s="341" t="s">
        <v>171</v>
      </c>
      <c r="D576" s="341" t="s">
        <v>158</v>
      </c>
      <c r="E576" s="341"/>
      <c r="F576" s="2"/>
      <c r="G576" s="9">
        <f t="shared" si="76"/>
        <v>258</v>
      </c>
      <c r="H576" s="9">
        <f t="shared" si="76"/>
        <v>258</v>
      </c>
    </row>
    <row r="577" spans="1:10" ht="47.25" customHeight="1" x14ac:dyDescent="0.25">
      <c r="A577" s="345" t="s">
        <v>119</v>
      </c>
      <c r="B577" s="346" t="s">
        <v>747</v>
      </c>
      <c r="C577" s="341" t="s">
        <v>171</v>
      </c>
      <c r="D577" s="341" t="s">
        <v>158</v>
      </c>
      <c r="E577" s="341" t="s">
        <v>120</v>
      </c>
      <c r="F577" s="2"/>
      <c r="G577" s="9">
        <f t="shared" si="76"/>
        <v>258</v>
      </c>
      <c r="H577" s="9">
        <f t="shared" si="76"/>
        <v>258</v>
      </c>
    </row>
    <row r="578" spans="1:10" ht="47.25" customHeight="1" x14ac:dyDescent="0.25">
      <c r="A578" s="345" t="s">
        <v>121</v>
      </c>
      <c r="B578" s="346" t="s">
        <v>747</v>
      </c>
      <c r="C578" s="341" t="s">
        <v>171</v>
      </c>
      <c r="D578" s="341" t="s">
        <v>158</v>
      </c>
      <c r="E578" s="341" t="s">
        <v>156</v>
      </c>
      <c r="F578" s="2"/>
      <c r="G578" s="9">
        <f>'Пр.4.1 ведом.23-24 '!G535</f>
        <v>258</v>
      </c>
      <c r="H578" s="9">
        <f>'Пр.4.1 ведом.23-24 '!H535</f>
        <v>258</v>
      </c>
    </row>
    <row r="579" spans="1:10" ht="47.25" customHeight="1" x14ac:dyDescent="0.25">
      <c r="A579" s="29" t="s">
        <v>185</v>
      </c>
      <c r="B579" s="346" t="s">
        <v>747</v>
      </c>
      <c r="C579" s="341" t="s">
        <v>171</v>
      </c>
      <c r="D579" s="341" t="s">
        <v>158</v>
      </c>
      <c r="E579" s="341" t="s">
        <v>156</v>
      </c>
      <c r="F579" s="2">
        <v>903</v>
      </c>
      <c r="G579" s="9">
        <f>G578</f>
        <v>258</v>
      </c>
      <c r="H579" s="9">
        <f>H578</f>
        <v>258</v>
      </c>
    </row>
    <row r="580" spans="1:10" ht="48.2" customHeight="1" x14ac:dyDescent="0.25">
      <c r="A580" s="139" t="s">
        <v>469</v>
      </c>
      <c r="B580" s="299" t="s">
        <v>748</v>
      </c>
      <c r="C580" s="6"/>
      <c r="D580" s="6"/>
      <c r="E580" s="6"/>
      <c r="F580" s="3"/>
      <c r="G580" s="35">
        <f>G581+G592</f>
        <v>2730.3</v>
      </c>
      <c r="H580" s="35">
        <f>H581+H592</f>
        <v>2730.3</v>
      </c>
    </row>
    <row r="581" spans="1:10" ht="21.75" customHeight="1" x14ac:dyDescent="0.25">
      <c r="A581" s="345" t="s">
        <v>186</v>
      </c>
      <c r="B581" s="346" t="s">
        <v>748</v>
      </c>
      <c r="C581" s="341" t="s">
        <v>187</v>
      </c>
      <c r="D581" s="341"/>
      <c r="E581" s="341"/>
      <c r="F581" s="2"/>
      <c r="G581" s="9">
        <f>G582</f>
        <v>245.29999999999998</v>
      </c>
      <c r="H581" s="9">
        <f>H582</f>
        <v>245.29999999999998</v>
      </c>
    </row>
    <row r="582" spans="1:10" ht="18" customHeight="1" x14ac:dyDescent="0.25">
      <c r="A582" s="345" t="s">
        <v>188</v>
      </c>
      <c r="B582" s="346" t="s">
        <v>748</v>
      </c>
      <c r="C582" s="341" t="s">
        <v>187</v>
      </c>
      <c r="D582" s="341" t="s">
        <v>159</v>
      </c>
      <c r="E582" s="341"/>
      <c r="F582" s="2"/>
      <c r="G582" s="9">
        <f>G583+G587</f>
        <v>245.29999999999998</v>
      </c>
      <c r="H582" s="9">
        <f>H583+H587</f>
        <v>245.29999999999998</v>
      </c>
    </row>
    <row r="583" spans="1:10" ht="97.15" customHeight="1" x14ac:dyDescent="0.25">
      <c r="A583" s="22" t="s">
        <v>200</v>
      </c>
      <c r="B583" s="346" t="s">
        <v>898</v>
      </c>
      <c r="C583" s="341" t="s">
        <v>187</v>
      </c>
      <c r="D583" s="341" t="s">
        <v>159</v>
      </c>
      <c r="E583" s="346"/>
      <c r="F583" s="2"/>
      <c r="G583" s="9">
        <f>G584</f>
        <v>0</v>
      </c>
      <c r="H583" s="9">
        <f>H584</f>
        <v>0</v>
      </c>
      <c r="J583" s="151">
        <f>G583+G593</f>
        <v>2100.5</v>
      </c>
    </row>
    <row r="584" spans="1:10" ht="84.2" customHeight="1" x14ac:dyDescent="0.25">
      <c r="A584" s="345" t="s">
        <v>119</v>
      </c>
      <c r="B584" s="346" t="s">
        <v>898</v>
      </c>
      <c r="C584" s="341" t="s">
        <v>187</v>
      </c>
      <c r="D584" s="341" t="s">
        <v>159</v>
      </c>
      <c r="E584" s="346" t="s">
        <v>120</v>
      </c>
      <c r="F584" s="2"/>
      <c r="G584" s="9">
        <f>G585</f>
        <v>0</v>
      </c>
      <c r="H584" s="9">
        <f>H585</f>
        <v>0</v>
      </c>
    </row>
    <row r="585" spans="1:10" ht="15" customHeight="1" x14ac:dyDescent="0.25">
      <c r="A585" s="30" t="s">
        <v>212</v>
      </c>
      <c r="B585" s="346" t="s">
        <v>898</v>
      </c>
      <c r="C585" s="341" t="s">
        <v>187</v>
      </c>
      <c r="D585" s="341" t="s">
        <v>159</v>
      </c>
      <c r="E585" s="346" t="s">
        <v>156</v>
      </c>
      <c r="F585" s="2"/>
      <c r="G585" s="9">
        <f>'Пр.4.1 ведом.23-24 '!G333</f>
        <v>0</v>
      </c>
      <c r="H585" s="9">
        <f>'Пр.4.1 ведом.23-24 '!H333</f>
        <v>0</v>
      </c>
    </row>
    <row r="586" spans="1:10" ht="57.75" customHeight="1" x14ac:dyDescent="0.25">
      <c r="A586" s="29" t="s">
        <v>185</v>
      </c>
      <c r="B586" s="346" t="s">
        <v>898</v>
      </c>
      <c r="C586" s="341" t="s">
        <v>187</v>
      </c>
      <c r="D586" s="341" t="s">
        <v>159</v>
      </c>
      <c r="E586" s="346" t="s">
        <v>156</v>
      </c>
      <c r="F586" s="2">
        <v>903</v>
      </c>
      <c r="G586" s="9">
        <f>G585</f>
        <v>0</v>
      </c>
      <c r="H586" s="9">
        <f>H585</f>
        <v>0</v>
      </c>
    </row>
    <row r="587" spans="1:10" ht="47.25" x14ac:dyDescent="0.25">
      <c r="A587" s="391" t="s">
        <v>1165</v>
      </c>
      <c r="B587" s="346" t="s">
        <v>1167</v>
      </c>
      <c r="C587" s="341" t="s">
        <v>187</v>
      </c>
      <c r="D587" s="341" t="s">
        <v>159</v>
      </c>
      <c r="E587" s="346"/>
      <c r="F587" s="2"/>
      <c r="G587" s="9">
        <f>G588</f>
        <v>245.29999999999998</v>
      </c>
      <c r="H587" s="9">
        <f>H588</f>
        <v>245.29999999999998</v>
      </c>
    </row>
    <row r="588" spans="1:10" ht="86.25" customHeight="1" x14ac:dyDescent="0.25">
      <c r="A588" s="345" t="s">
        <v>119</v>
      </c>
      <c r="B588" s="346" t="s">
        <v>1167</v>
      </c>
      <c r="C588" s="341" t="s">
        <v>187</v>
      </c>
      <c r="D588" s="341" t="s">
        <v>159</v>
      </c>
      <c r="E588" s="346" t="s">
        <v>120</v>
      </c>
      <c r="F588" s="2"/>
      <c r="G588" s="9">
        <f>G589</f>
        <v>245.29999999999998</v>
      </c>
      <c r="H588" s="9">
        <f>H589</f>
        <v>245.29999999999998</v>
      </c>
    </row>
    <row r="589" spans="1:10" ht="23.25" customHeight="1" x14ac:dyDescent="0.25">
      <c r="A589" s="30" t="s">
        <v>212</v>
      </c>
      <c r="B589" s="346" t="s">
        <v>1167</v>
      </c>
      <c r="C589" s="341" t="s">
        <v>187</v>
      </c>
      <c r="D589" s="341" t="s">
        <v>159</v>
      </c>
      <c r="E589" s="346" t="s">
        <v>156</v>
      </c>
      <c r="F589" s="2"/>
      <c r="G589" s="9">
        <f>'Пр.4.1 ведом.23-24 '!G336:H336</f>
        <v>245.29999999999998</v>
      </c>
      <c r="H589" s="9">
        <f>'Пр.4.1 ведом.23-24 '!H336:I336</f>
        <v>245.29999999999998</v>
      </c>
    </row>
    <row r="590" spans="1:10" ht="55.5" customHeight="1" x14ac:dyDescent="0.25">
      <c r="A590" s="29" t="s">
        <v>185</v>
      </c>
      <c r="B590" s="346" t="s">
        <v>1167</v>
      </c>
      <c r="C590" s="341" t="s">
        <v>187</v>
      </c>
      <c r="D590" s="341" t="s">
        <v>159</v>
      </c>
      <c r="E590" s="346" t="s">
        <v>156</v>
      </c>
      <c r="F590" s="2">
        <v>903</v>
      </c>
      <c r="G590" s="9">
        <f>G589</f>
        <v>245.29999999999998</v>
      </c>
      <c r="H590" s="9">
        <f>H589</f>
        <v>245.29999999999998</v>
      </c>
    </row>
    <row r="591" spans="1:10" ht="17.45" customHeight="1" x14ac:dyDescent="0.25">
      <c r="A591" s="45" t="s">
        <v>202</v>
      </c>
      <c r="B591" s="346" t="s">
        <v>748</v>
      </c>
      <c r="C591" s="341" t="s">
        <v>203</v>
      </c>
      <c r="D591" s="45"/>
      <c r="E591" s="45"/>
      <c r="F591" s="2"/>
      <c r="G591" s="9">
        <f>G592</f>
        <v>2485</v>
      </c>
      <c r="H591" s="9">
        <f>H592</f>
        <v>2485</v>
      </c>
    </row>
    <row r="592" spans="1:10" ht="18" customHeight="1" x14ac:dyDescent="0.25">
      <c r="A592" s="45" t="s">
        <v>204</v>
      </c>
      <c r="B592" s="346" t="s">
        <v>748</v>
      </c>
      <c r="C592" s="341" t="s">
        <v>203</v>
      </c>
      <c r="D592" s="341" t="s">
        <v>116</v>
      </c>
      <c r="E592" s="45"/>
      <c r="F592" s="2"/>
      <c r="G592" s="9">
        <f>G593+G599</f>
        <v>2485</v>
      </c>
      <c r="H592" s="9">
        <f>H593+H599</f>
        <v>2485</v>
      </c>
    </row>
    <row r="593" spans="1:8" ht="103.9" customHeight="1" x14ac:dyDescent="0.25">
      <c r="A593" s="22" t="s">
        <v>200</v>
      </c>
      <c r="B593" s="346" t="s">
        <v>898</v>
      </c>
      <c r="C593" s="341" t="s">
        <v>203</v>
      </c>
      <c r="D593" s="341" t="s">
        <v>116</v>
      </c>
      <c r="E593" s="341"/>
      <c r="F593" s="2"/>
      <c r="G593" s="9">
        <f>G594+G596</f>
        <v>2100.5</v>
      </c>
      <c r="H593" s="9">
        <f>H594+H596</f>
        <v>2100.5</v>
      </c>
    </row>
    <row r="594" spans="1:8" ht="79.5" customHeight="1" x14ac:dyDescent="0.25">
      <c r="A594" s="345" t="s">
        <v>119</v>
      </c>
      <c r="B594" s="346" t="s">
        <v>898</v>
      </c>
      <c r="C594" s="341" t="s">
        <v>203</v>
      </c>
      <c r="D594" s="341" t="s">
        <v>116</v>
      </c>
      <c r="E594" s="341" t="s">
        <v>120</v>
      </c>
      <c r="F594" s="2"/>
      <c r="G594" s="9">
        <f>G595</f>
        <v>1204.3</v>
      </c>
      <c r="H594" s="9">
        <f>H595</f>
        <v>1204.3</v>
      </c>
    </row>
    <row r="595" spans="1:8" ht="19.149999999999999" customHeight="1" x14ac:dyDescent="0.25">
      <c r="A595" s="345" t="s">
        <v>155</v>
      </c>
      <c r="B595" s="346" t="s">
        <v>898</v>
      </c>
      <c r="C595" s="341" t="s">
        <v>203</v>
      </c>
      <c r="D595" s="341" t="s">
        <v>116</v>
      </c>
      <c r="E595" s="341" t="s">
        <v>156</v>
      </c>
      <c r="F595" s="2"/>
      <c r="G595" s="9">
        <f>'Пр.4.1 ведом.23-24 '!G408</f>
        <v>1204.3</v>
      </c>
      <c r="H595" s="9">
        <f>'Пр.4.1 ведом.23-24 '!H408</f>
        <v>1204.3</v>
      </c>
    </row>
    <row r="596" spans="1:8" ht="31.5" x14ac:dyDescent="0.25">
      <c r="A596" s="391" t="s">
        <v>191</v>
      </c>
      <c r="B596" s="346" t="s">
        <v>898</v>
      </c>
      <c r="C596" s="341" t="s">
        <v>203</v>
      </c>
      <c r="D596" s="341" t="s">
        <v>116</v>
      </c>
      <c r="E596" s="341" t="s">
        <v>192</v>
      </c>
      <c r="F596" s="2"/>
      <c r="G596" s="9">
        <f>G597</f>
        <v>896.19999999999993</v>
      </c>
      <c r="H596" s="9">
        <f>H597</f>
        <v>896.19999999999993</v>
      </c>
    </row>
    <row r="597" spans="1:8" ht="19.149999999999999" customHeight="1" x14ac:dyDescent="0.25">
      <c r="A597" s="345" t="s">
        <v>193</v>
      </c>
      <c r="B597" s="346" t="s">
        <v>898</v>
      </c>
      <c r="C597" s="341" t="s">
        <v>203</v>
      </c>
      <c r="D597" s="341" t="s">
        <v>116</v>
      </c>
      <c r="E597" s="341" t="s">
        <v>194</v>
      </c>
      <c r="F597" s="2"/>
      <c r="G597" s="9">
        <f>'Пр.4.1 ведом.23-24 '!G410</f>
        <v>896.19999999999993</v>
      </c>
      <c r="H597" s="9">
        <f>'Пр.4.1 ведом.23-24 '!H410</f>
        <v>896.19999999999993</v>
      </c>
    </row>
    <row r="598" spans="1:8" ht="44.1" customHeight="1" x14ac:dyDescent="0.25">
      <c r="A598" s="29" t="s">
        <v>185</v>
      </c>
      <c r="B598" s="346" t="s">
        <v>898</v>
      </c>
      <c r="C598" s="341" t="s">
        <v>203</v>
      </c>
      <c r="D598" s="341" t="s">
        <v>116</v>
      </c>
      <c r="E598" s="341"/>
      <c r="F598" s="2">
        <v>903</v>
      </c>
      <c r="G598" s="9">
        <f>G595</f>
        <v>1204.3</v>
      </c>
      <c r="H598" s="9">
        <f>H595</f>
        <v>1204.3</v>
      </c>
    </row>
    <row r="599" spans="1:8" ht="70.5" customHeight="1" x14ac:dyDescent="0.25">
      <c r="A599" s="345" t="s">
        <v>207</v>
      </c>
      <c r="B599" s="346" t="s">
        <v>809</v>
      </c>
      <c r="C599" s="346" t="s">
        <v>203</v>
      </c>
      <c r="D599" s="346" t="s">
        <v>116</v>
      </c>
      <c r="E599" s="346"/>
      <c r="F599" s="346"/>
      <c r="G599" s="9">
        <f>G600</f>
        <v>384.5</v>
      </c>
      <c r="H599" s="9">
        <f>H600</f>
        <v>384.5</v>
      </c>
    </row>
    <row r="600" spans="1:8" ht="82.5" customHeight="1" x14ac:dyDescent="0.25">
      <c r="A600" s="345" t="s">
        <v>119</v>
      </c>
      <c r="B600" s="346" t="s">
        <v>809</v>
      </c>
      <c r="C600" s="346" t="s">
        <v>203</v>
      </c>
      <c r="D600" s="346" t="s">
        <v>116</v>
      </c>
      <c r="E600" s="346" t="s">
        <v>120</v>
      </c>
      <c r="F600" s="346"/>
      <c r="G600" s="9">
        <f>G601</f>
        <v>384.5</v>
      </c>
      <c r="H600" s="9">
        <f>H601</f>
        <v>384.5</v>
      </c>
    </row>
    <row r="601" spans="1:8" ht="21.75" customHeight="1" x14ac:dyDescent="0.25">
      <c r="A601" s="345" t="s">
        <v>155</v>
      </c>
      <c r="B601" s="346" t="s">
        <v>809</v>
      </c>
      <c r="C601" s="346" t="s">
        <v>203</v>
      </c>
      <c r="D601" s="346" t="s">
        <v>116</v>
      </c>
      <c r="E601" s="346" t="s">
        <v>156</v>
      </c>
      <c r="F601" s="346"/>
      <c r="G601" s="9">
        <f>'Пр.4.1 ведом.23-24 '!G413</f>
        <v>384.5</v>
      </c>
      <c r="H601" s="9">
        <f>'Пр.4.1 ведом.23-24 '!H413</f>
        <v>384.5</v>
      </c>
    </row>
    <row r="602" spans="1:8" ht="51" customHeight="1" x14ac:dyDescent="0.25">
      <c r="A602" s="29" t="s">
        <v>185</v>
      </c>
      <c r="B602" s="346" t="s">
        <v>809</v>
      </c>
      <c r="C602" s="346" t="s">
        <v>203</v>
      </c>
      <c r="D602" s="346" t="s">
        <v>116</v>
      </c>
      <c r="E602" s="346" t="s">
        <v>156</v>
      </c>
      <c r="F602" s="346" t="s">
        <v>305</v>
      </c>
      <c r="G602" s="9">
        <f>G601</f>
        <v>384.5</v>
      </c>
      <c r="H602" s="9">
        <f>H601</f>
        <v>384.5</v>
      </c>
    </row>
    <row r="603" spans="1:8" ht="36" customHeight="1" x14ac:dyDescent="0.25">
      <c r="A603" s="298" t="s">
        <v>471</v>
      </c>
      <c r="B603" s="299" t="s">
        <v>751</v>
      </c>
      <c r="C603" s="341"/>
      <c r="D603" s="341"/>
      <c r="E603" s="341"/>
      <c r="F603" s="2"/>
      <c r="G603" s="35">
        <f t="shared" ref="G603:H607" si="77">G604</f>
        <v>50</v>
      </c>
      <c r="H603" s="35">
        <f t="shared" si="77"/>
        <v>50</v>
      </c>
    </row>
    <row r="604" spans="1:8" ht="20.100000000000001" customHeight="1" x14ac:dyDescent="0.25">
      <c r="A604" s="45" t="s">
        <v>202</v>
      </c>
      <c r="B604" s="346" t="s">
        <v>751</v>
      </c>
      <c r="C604" s="341" t="s">
        <v>203</v>
      </c>
      <c r="D604" s="341"/>
      <c r="E604" s="341"/>
      <c r="F604" s="2"/>
      <c r="G604" s="9">
        <f t="shared" si="77"/>
        <v>50</v>
      </c>
      <c r="H604" s="9">
        <f t="shared" si="77"/>
        <v>50</v>
      </c>
    </row>
    <row r="605" spans="1:8" ht="20.100000000000001" customHeight="1" x14ac:dyDescent="0.25">
      <c r="A605" s="45" t="s">
        <v>204</v>
      </c>
      <c r="B605" s="346" t="s">
        <v>751</v>
      </c>
      <c r="C605" s="341" t="s">
        <v>203</v>
      </c>
      <c r="D605" s="341" t="s">
        <v>116</v>
      </c>
      <c r="E605" s="341"/>
      <c r="F605" s="2"/>
      <c r="G605" s="9">
        <f t="shared" si="77"/>
        <v>50</v>
      </c>
      <c r="H605" s="9">
        <f t="shared" si="77"/>
        <v>50</v>
      </c>
    </row>
    <row r="606" spans="1:8" ht="35.450000000000003" customHeight="1" x14ac:dyDescent="0.25">
      <c r="A606" s="345" t="s">
        <v>397</v>
      </c>
      <c r="B606" s="346" t="s">
        <v>752</v>
      </c>
      <c r="C606" s="341" t="s">
        <v>203</v>
      </c>
      <c r="D606" s="341" t="s">
        <v>116</v>
      </c>
      <c r="E606" s="341"/>
      <c r="F606" s="2"/>
      <c r="G606" s="9">
        <f t="shared" si="77"/>
        <v>50</v>
      </c>
      <c r="H606" s="9">
        <f t="shared" si="77"/>
        <v>50</v>
      </c>
    </row>
    <row r="607" spans="1:8" ht="36.75" customHeight="1" x14ac:dyDescent="0.25">
      <c r="A607" s="345" t="s">
        <v>123</v>
      </c>
      <c r="B607" s="346" t="s">
        <v>752</v>
      </c>
      <c r="C607" s="341" t="s">
        <v>203</v>
      </c>
      <c r="D607" s="341" t="s">
        <v>116</v>
      </c>
      <c r="E607" s="341" t="s">
        <v>124</v>
      </c>
      <c r="F607" s="2"/>
      <c r="G607" s="9">
        <f t="shared" si="77"/>
        <v>50</v>
      </c>
      <c r="H607" s="9">
        <f t="shared" si="77"/>
        <v>50</v>
      </c>
    </row>
    <row r="608" spans="1:8" ht="33" customHeight="1" x14ac:dyDescent="0.25">
      <c r="A608" s="345" t="s">
        <v>125</v>
      </c>
      <c r="B608" s="346" t="s">
        <v>752</v>
      </c>
      <c r="C608" s="341" t="s">
        <v>203</v>
      </c>
      <c r="D608" s="341" t="s">
        <v>116</v>
      </c>
      <c r="E608" s="341" t="s">
        <v>126</v>
      </c>
      <c r="F608" s="2"/>
      <c r="G608" s="9">
        <f>'Пр.4.1 ведом.23-24 '!G417</f>
        <v>50</v>
      </c>
      <c r="H608" s="9">
        <f>'Пр.4.1 ведом.23-24 '!H417</f>
        <v>50</v>
      </c>
    </row>
    <row r="609" spans="1:8" ht="51" customHeight="1" x14ac:dyDescent="0.25">
      <c r="A609" s="29" t="s">
        <v>185</v>
      </c>
      <c r="B609" s="346" t="s">
        <v>752</v>
      </c>
      <c r="C609" s="341" t="s">
        <v>203</v>
      </c>
      <c r="D609" s="341" t="s">
        <v>116</v>
      </c>
      <c r="E609" s="341" t="s">
        <v>126</v>
      </c>
      <c r="F609" s="2">
        <v>903</v>
      </c>
      <c r="G609" s="9">
        <f>G608</f>
        <v>50</v>
      </c>
      <c r="H609" s="9">
        <f>H608</f>
        <v>50</v>
      </c>
    </row>
    <row r="610" spans="1:8" ht="39.200000000000003" customHeight="1" x14ac:dyDescent="0.25">
      <c r="A610" s="298" t="s">
        <v>571</v>
      </c>
      <c r="B610" s="299" t="s">
        <v>753</v>
      </c>
      <c r="C610" s="6"/>
      <c r="D610" s="6"/>
      <c r="E610" s="6"/>
      <c r="F610" s="3"/>
      <c r="G610" s="35">
        <f>G611+G617</f>
        <v>3.5</v>
      </c>
      <c r="H610" s="35">
        <f>H611</f>
        <v>3.5</v>
      </c>
    </row>
    <row r="611" spans="1:8" ht="20.100000000000001" customHeight="1" x14ac:dyDescent="0.25">
      <c r="A611" s="42" t="s">
        <v>202</v>
      </c>
      <c r="B611" s="346" t="s">
        <v>753</v>
      </c>
      <c r="C611" s="341" t="s">
        <v>203</v>
      </c>
      <c r="D611" s="341"/>
      <c r="E611" s="341"/>
      <c r="F611" s="46"/>
      <c r="G611" s="9">
        <f t="shared" ref="G611:H611" si="78">G612</f>
        <v>3.5</v>
      </c>
      <c r="H611" s="9">
        <f t="shared" si="78"/>
        <v>3.5</v>
      </c>
    </row>
    <row r="612" spans="1:8" ht="20.100000000000001" customHeight="1" x14ac:dyDescent="0.25">
      <c r="A612" s="42" t="s">
        <v>204</v>
      </c>
      <c r="B612" s="346" t="s">
        <v>753</v>
      </c>
      <c r="C612" s="341" t="s">
        <v>203</v>
      </c>
      <c r="D612" s="341" t="s">
        <v>116</v>
      </c>
      <c r="E612" s="341"/>
      <c r="F612" s="46"/>
      <c r="G612" s="9">
        <f t="shared" ref="G612:H614" si="79">G613</f>
        <v>3.5</v>
      </c>
      <c r="H612" s="9">
        <f t="shared" si="79"/>
        <v>3.5</v>
      </c>
    </row>
    <row r="613" spans="1:8" ht="31.5" x14ac:dyDescent="0.25">
      <c r="A613" s="345" t="s">
        <v>966</v>
      </c>
      <c r="B613" s="346" t="s">
        <v>754</v>
      </c>
      <c r="C613" s="341" t="s">
        <v>203</v>
      </c>
      <c r="D613" s="341" t="s">
        <v>116</v>
      </c>
      <c r="E613" s="341"/>
      <c r="F613" s="2"/>
      <c r="G613" s="9">
        <f t="shared" si="79"/>
        <v>3.5</v>
      </c>
      <c r="H613" s="9">
        <f t="shared" si="79"/>
        <v>3.5</v>
      </c>
    </row>
    <row r="614" spans="1:8" ht="39.200000000000003" customHeight="1" x14ac:dyDescent="0.25">
      <c r="A614" s="345" t="s">
        <v>123</v>
      </c>
      <c r="B614" s="346" t="s">
        <v>754</v>
      </c>
      <c r="C614" s="341" t="s">
        <v>203</v>
      </c>
      <c r="D614" s="341" t="s">
        <v>116</v>
      </c>
      <c r="E614" s="341" t="s">
        <v>124</v>
      </c>
      <c r="F614" s="2"/>
      <c r="G614" s="9">
        <f t="shared" si="79"/>
        <v>3.5</v>
      </c>
      <c r="H614" s="9">
        <f t="shared" si="79"/>
        <v>3.5</v>
      </c>
    </row>
    <row r="615" spans="1:8" ht="36.75" customHeight="1" x14ac:dyDescent="0.25">
      <c r="A615" s="345" t="s">
        <v>125</v>
      </c>
      <c r="B615" s="346" t="s">
        <v>754</v>
      </c>
      <c r="C615" s="341" t="s">
        <v>203</v>
      </c>
      <c r="D615" s="341" t="s">
        <v>116</v>
      </c>
      <c r="E615" s="341" t="s">
        <v>126</v>
      </c>
      <c r="F615" s="2"/>
      <c r="G615" s="9">
        <f>'Пр.4.1 ведом.23-24 '!G421</f>
        <v>3.5</v>
      </c>
      <c r="H615" s="9">
        <f>'Пр.4.1 ведом.23-24 '!H421</f>
        <v>3.5</v>
      </c>
    </row>
    <row r="616" spans="1:8" ht="54.75" customHeight="1" x14ac:dyDescent="0.25">
      <c r="A616" s="29" t="s">
        <v>185</v>
      </c>
      <c r="B616" s="346" t="s">
        <v>754</v>
      </c>
      <c r="C616" s="341" t="s">
        <v>203</v>
      </c>
      <c r="D616" s="341" t="s">
        <v>116</v>
      </c>
      <c r="E616" s="341" t="s">
        <v>126</v>
      </c>
      <c r="F616" s="2">
        <v>903</v>
      </c>
      <c r="G616" s="9">
        <f>G615</f>
        <v>3.5</v>
      </c>
      <c r="H616" s="9">
        <f>H615</f>
        <v>3.5</v>
      </c>
    </row>
    <row r="617" spans="1:8" ht="31.5" hidden="1" x14ac:dyDescent="0.25">
      <c r="A617" s="345" t="s">
        <v>1155</v>
      </c>
      <c r="B617" s="346" t="s">
        <v>1156</v>
      </c>
      <c r="C617" s="341" t="s">
        <v>203</v>
      </c>
      <c r="D617" s="341" t="s">
        <v>116</v>
      </c>
      <c r="E617" s="341"/>
      <c r="F617" s="2"/>
      <c r="G617" s="9">
        <f>G618</f>
        <v>0</v>
      </c>
      <c r="H617" s="9">
        <f>H618</f>
        <v>0</v>
      </c>
    </row>
    <row r="618" spans="1:8" ht="31.5" hidden="1" x14ac:dyDescent="0.25">
      <c r="A618" s="345" t="s">
        <v>123</v>
      </c>
      <c r="B618" s="346" t="s">
        <v>1156</v>
      </c>
      <c r="C618" s="341" t="s">
        <v>203</v>
      </c>
      <c r="D618" s="341" t="s">
        <v>116</v>
      </c>
      <c r="E618" s="341" t="s">
        <v>124</v>
      </c>
      <c r="F618" s="2"/>
      <c r="G618" s="9">
        <f>G619</f>
        <v>0</v>
      </c>
      <c r="H618" s="9">
        <f>H619</f>
        <v>0</v>
      </c>
    </row>
    <row r="619" spans="1:8" ht="31.5" hidden="1" x14ac:dyDescent="0.25">
      <c r="A619" s="345" t="s">
        <v>125</v>
      </c>
      <c r="B619" s="346" t="s">
        <v>1156</v>
      </c>
      <c r="C619" s="341" t="s">
        <v>203</v>
      </c>
      <c r="D619" s="341" t="s">
        <v>116</v>
      </c>
      <c r="E619" s="341" t="s">
        <v>126</v>
      </c>
      <c r="F619" s="2"/>
      <c r="G619" s="9"/>
      <c r="H619" s="9">
        <f>'Пр.4 ведом.22'!H469</f>
        <v>0</v>
      </c>
    </row>
    <row r="620" spans="1:8" ht="47.25" hidden="1" x14ac:dyDescent="0.25">
      <c r="A620" s="29" t="s">
        <v>185</v>
      </c>
      <c r="B620" s="346" t="s">
        <v>1156</v>
      </c>
      <c r="C620" s="341" t="s">
        <v>203</v>
      </c>
      <c r="D620" s="341" t="s">
        <v>116</v>
      </c>
      <c r="E620" s="341" t="s">
        <v>126</v>
      </c>
      <c r="F620" s="2">
        <v>903</v>
      </c>
      <c r="G620" s="9">
        <f>G619</f>
        <v>0</v>
      </c>
      <c r="H620" s="9">
        <f>H619</f>
        <v>0</v>
      </c>
    </row>
    <row r="621" spans="1:8" ht="31.5" hidden="1" x14ac:dyDescent="0.25">
      <c r="A621" s="24" t="s">
        <v>1049</v>
      </c>
      <c r="B621" s="299" t="s">
        <v>1051</v>
      </c>
      <c r="C621" s="341"/>
      <c r="D621" s="341"/>
      <c r="E621" s="341"/>
      <c r="F621" s="2"/>
      <c r="G621" s="35">
        <f t="shared" ref="G621:H625" si="80">G622</f>
        <v>0</v>
      </c>
      <c r="H621" s="35">
        <f t="shared" si="80"/>
        <v>0</v>
      </c>
    </row>
    <row r="622" spans="1:8" ht="15.75" hidden="1" x14ac:dyDescent="0.25">
      <c r="A622" s="42" t="s">
        <v>202</v>
      </c>
      <c r="B622" s="346" t="s">
        <v>1051</v>
      </c>
      <c r="C622" s="341" t="s">
        <v>203</v>
      </c>
      <c r="D622" s="341"/>
      <c r="E622" s="341"/>
      <c r="F622" s="2"/>
      <c r="G622" s="9">
        <f t="shared" si="80"/>
        <v>0</v>
      </c>
      <c r="H622" s="9">
        <f t="shared" si="80"/>
        <v>0</v>
      </c>
    </row>
    <row r="623" spans="1:8" ht="15.75" hidden="1" x14ac:dyDescent="0.25">
      <c r="A623" s="42" t="s">
        <v>204</v>
      </c>
      <c r="B623" s="346" t="s">
        <v>1051</v>
      </c>
      <c r="C623" s="341" t="s">
        <v>203</v>
      </c>
      <c r="D623" s="341" t="s">
        <v>116</v>
      </c>
      <c r="E623" s="341"/>
      <c r="F623" s="2"/>
      <c r="G623" s="9">
        <f t="shared" si="80"/>
        <v>0</v>
      </c>
      <c r="H623" s="9">
        <f t="shared" si="80"/>
        <v>0</v>
      </c>
    </row>
    <row r="624" spans="1:8" ht="63" hidden="1" x14ac:dyDescent="0.25">
      <c r="A624" s="22" t="s">
        <v>1050</v>
      </c>
      <c r="B624" s="346" t="s">
        <v>1052</v>
      </c>
      <c r="C624" s="341" t="s">
        <v>203</v>
      </c>
      <c r="D624" s="341" t="s">
        <v>116</v>
      </c>
      <c r="E624" s="341"/>
      <c r="F624" s="2"/>
      <c r="G624" s="9">
        <f t="shared" si="80"/>
        <v>0</v>
      </c>
      <c r="H624" s="9">
        <f t="shared" si="80"/>
        <v>0</v>
      </c>
    </row>
    <row r="625" spans="1:8" ht="31.5" hidden="1" x14ac:dyDescent="0.25">
      <c r="A625" s="345" t="s">
        <v>123</v>
      </c>
      <c r="B625" s="346" t="s">
        <v>1052</v>
      </c>
      <c r="C625" s="341" t="s">
        <v>203</v>
      </c>
      <c r="D625" s="341" t="s">
        <v>116</v>
      </c>
      <c r="E625" s="341" t="s">
        <v>124</v>
      </c>
      <c r="F625" s="2"/>
      <c r="G625" s="9">
        <f t="shared" si="80"/>
        <v>0</v>
      </c>
      <c r="H625" s="9">
        <f t="shared" si="80"/>
        <v>0</v>
      </c>
    </row>
    <row r="626" spans="1:8" ht="31.5" hidden="1" x14ac:dyDescent="0.25">
      <c r="A626" s="345" t="s">
        <v>125</v>
      </c>
      <c r="B626" s="346" t="s">
        <v>1052</v>
      </c>
      <c r="C626" s="341" t="s">
        <v>203</v>
      </c>
      <c r="D626" s="341" t="s">
        <v>116</v>
      </c>
      <c r="E626" s="341" t="s">
        <v>126</v>
      </c>
      <c r="F626" s="2"/>
      <c r="G626" s="9">
        <f>'Пр.4 ведом.22'!G473</f>
        <v>0</v>
      </c>
      <c r="H626" s="9">
        <f>'Пр.4 ведом.22'!H473</f>
        <v>0</v>
      </c>
    </row>
    <row r="627" spans="1:8" ht="47.25" hidden="1" x14ac:dyDescent="0.25">
      <c r="A627" s="29" t="s">
        <v>185</v>
      </c>
      <c r="B627" s="346" t="s">
        <v>1052</v>
      </c>
      <c r="C627" s="341" t="s">
        <v>203</v>
      </c>
      <c r="D627" s="341" t="s">
        <v>116</v>
      </c>
      <c r="E627" s="341" t="s">
        <v>126</v>
      </c>
      <c r="F627" s="2">
        <v>903</v>
      </c>
      <c r="G627" s="9">
        <f>G626</f>
        <v>0</v>
      </c>
      <c r="H627" s="9">
        <f>H626</f>
        <v>0</v>
      </c>
    </row>
    <row r="628" spans="1:8" ht="33.75" hidden="1" customHeight="1" x14ac:dyDescent="0.25">
      <c r="A628" s="171" t="s">
        <v>723</v>
      </c>
      <c r="B628" s="299" t="s">
        <v>749</v>
      </c>
      <c r="C628" s="299"/>
      <c r="D628" s="299"/>
      <c r="E628" s="341"/>
      <c r="F628" s="2"/>
      <c r="G628" s="35">
        <f>G629</f>
        <v>0</v>
      </c>
      <c r="H628" s="35">
        <f>H629</f>
        <v>0</v>
      </c>
    </row>
    <row r="629" spans="1:8" ht="19.5" hidden="1" customHeight="1" x14ac:dyDescent="0.25">
      <c r="A629" s="42" t="s">
        <v>202</v>
      </c>
      <c r="B629" s="346" t="s">
        <v>749</v>
      </c>
      <c r="C629" s="346" t="s">
        <v>203</v>
      </c>
      <c r="D629" s="346"/>
      <c r="E629" s="341"/>
      <c r="F629" s="2"/>
      <c r="G629" s="9">
        <f>G630</f>
        <v>0</v>
      </c>
      <c r="H629" s="9">
        <f>H630</f>
        <v>0</v>
      </c>
    </row>
    <row r="630" spans="1:8" ht="18" hidden="1" customHeight="1" x14ac:dyDescent="0.25">
      <c r="A630" s="42" t="s">
        <v>204</v>
      </c>
      <c r="B630" s="346" t="s">
        <v>749</v>
      </c>
      <c r="C630" s="346" t="s">
        <v>203</v>
      </c>
      <c r="D630" s="346" t="s">
        <v>116</v>
      </c>
      <c r="E630" s="341"/>
      <c r="F630" s="2"/>
      <c r="G630" s="9">
        <f>G635+G631</f>
        <v>0</v>
      </c>
      <c r="H630" s="9">
        <f>H635+H631</f>
        <v>0</v>
      </c>
    </row>
    <row r="631" spans="1:8" ht="18" hidden="1" customHeight="1" x14ac:dyDescent="0.25">
      <c r="A631" s="342" t="s">
        <v>1152</v>
      </c>
      <c r="B631" s="346" t="s">
        <v>1153</v>
      </c>
      <c r="C631" s="346" t="s">
        <v>203</v>
      </c>
      <c r="D631" s="346" t="s">
        <v>116</v>
      </c>
      <c r="E631" s="341"/>
      <c r="F631" s="2"/>
      <c r="G631" s="9">
        <f>G632</f>
        <v>0</v>
      </c>
      <c r="H631" s="9">
        <f>H632</f>
        <v>0</v>
      </c>
    </row>
    <row r="632" spans="1:8" ht="31.5" hidden="1" x14ac:dyDescent="0.25">
      <c r="A632" s="345" t="s">
        <v>123</v>
      </c>
      <c r="B632" s="346" t="s">
        <v>1153</v>
      </c>
      <c r="C632" s="346" t="s">
        <v>203</v>
      </c>
      <c r="D632" s="346" t="s">
        <v>116</v>
      </c>
      <c r="E632" s="341" t="s">
        <v>124</v>
      </c>
      <c r="F632" s="2"/>
      <c r="G632" s="9">
        <f>G633</f>
        <v>0</v>
      </c>
      <c r="H632" s="9">
        <f>H633</f>
        <v>0</v>
      </c>
    </row>
    <row r="633" spans="1:8" ht="31.5" hidden="1" x14ac:dyDescent="0.25">
      <c r="A633" s="345" t="s">
        <v>125</v>
      </c>
      <c r="B633" s="346" t="s">
        <v>1153</v>
      </c>
      <c r="C633" s="346" t="s">
        <v>203</v>
      </c>
      <c r="D633" s="346" t="s">
        <v>116</v>
      </c>
      <c r="E633" s="341" t="s">
        <v>126</v>
      </c>
      <c r="F633" s="2"/>
      <c r="G633" s="9"/>
      <c r="H633" s="9">
        <f>'Пр.4 ведом.22'!H484</f>
        <v>0</v>
      </c>
    </row>
    <row r="634" spans="1:8" ht="47.25" hidden="1" x14ac:dyDescent="0.25">
      <c r="A634" s="29" t="s">
        <v>185</v>
      </c>
      <c r="B634" s="346" t="s">
        <v>1153</v>
      </c>
      <c r="C634" s="346" t="s">
        <v>203</v>
      </c>
      <c r="D634" s="346" t="s">
        <v>116</v>
      </c>
      <c r="E634" s="341" t="s">
        <v>126</v>
      </c>
      <c r="F634" s="2">
        <v>903</v>
      </c>
      <c r="G634" s="9">
        <f>G633</f>
        <v>0</v>
      </c>
      <c r="H634" s="9">
        <f>H633</f>
        <v>0</v>
      </c>
    </row>
    <row r="635" spans="1:8" ht="18" hidden="1" customHeight="1" x14ac:dyDescent="0.25">
      <c r="A635" s="67" t="s">
        <v>725</v>
      </c>
      <c r="B635" s="346" t="s">
        <v>750</v>
      </c>
      <c r="C635" s="346" t="s">
        <v>203</v>
      </c>
      <c r="D635" s="346" t="s">
        <v>116</v>
      </c>
      <c r="E635" s="341"/>
      <c r="F635" s="2"/>
      <c r="G635" s="9">
        <f>G636</f>
        <v>0</v>
      </c>
      <c r="H635" s="9">
        <f>H636</f>
        <v>0</v>
      </c>
    </row>
    <row r="636" spans="1:8" ht="35.450000000000003" hidden="1" customHeight="1" x14ac:dyDescent="0.25">
      <c r="A636" s="345" t="s">
        <v>123</v>
      </c>
      <c r="B636" s="346" t="s">
        <v>750</v>
      </c>
      <c r="C636" s="346" t="s">
        <v>203</v>
      </c>
      <c r="D636" s="346" t="s">
        <v>116</v>
      </c>
      <c r="E636" s="341" t="s">
        <v>124</v>
      </c>
      <c r="F636" s="2"/>
      <c r="G636" s="9">
        <f>G637</f>
        <v>0</v>
      </c>
      <c r="H636" s="9">
        <f>H637</f>
        <v>0</v>
      </c>
    </row>
    <row r="637" spans="1:8" ht="36" hidden="1" customHeight="1" x14ac:dyDescent="0.25">
      <c r="A637" s="345" t="s">
        <v>125</v>
      </c>
      <c r="B637" s="346" t="s">
        <v>750</v>
      </c>
      <c r="C637" s="346" t="s">
        <v>203</v>
      </c>
      <c r="D637" s="346" t="s">
        <v>116</v>
      </c>
      <c r="E637" s="341" t="s">
        <v>126</v>
      </c>
      <c r="F637" s="2"/>
      <c r="G637" s="9"/>
      <c r="H637" s="9">
        <f>'Пр.4 ведом.22'!H488</f>
        <v>0</v>
      </c>
    </row>
    <row r="638" spans="1:8" ht="50.25" hidden="1" customHeight="1" x14ac:dyDescent="0.25">
      <c r="A638" s="29" t="s">
        <v>185</v>
      </c>
      <c r="B638" s="346" t="s">
        <v>750</v>
      </c>
      <c r="C638" s="346" t="s">
        <v>203</v>
      </c>
      <c r="D638" s="346" t="s">
        <v>116</v>
      </c>
      <c r="E638" s="341" t="s">
        <v>126</v>
      </c>
      <c r="F638" s="2">
        <v>903</v>
      </c>
      <c r="G638" s="9">
        <f>G637</f>
        <v>0</v>
      </c>
      <c r="H638" s="9">
        <f>H637</f>
        <v>0</v>
      </c>
    </row>
    <row r="639" spans="1:8" s="344" customFormat="1" ht="51" customHeight="1" x14ac:dyDescent="0.25">
      <c r="A639" s="340" t="s">
        <v>860</v>
      </c>
      <c r="B639" s="6" t="s">
        <v>206</v>
      </c>
      <c r="C639" s="44"/>
      <c r="D639" s="44"/>
      <c r="E639" s="44"/>
      <c r="F639" s="44"/>
      <c r="G639" s="35">
        <f>G640</f>
        <v>168</v>
      </c>
      <c r="H639" s="35">
        <f>H640</f>
        <v>117</v>
      </c>
    </row>
    <row r="640" spans="1:8" s="344" customFormat="1" ht="64.5" customHeight="1" x14ac:dyDescent="0.25">
      <c r="A640" s="24" t="s">
        <v>586</v>
      </c>
      <c r="B640" s="6" t="s">
        <v>502</v>
      </c>
      <c r="C640" s="6"/>
      <c r="D640" s="6"/>
      <c r="E640" s="44"/>
      <c r="F640" s="44"/>
      <c r="G640" s="35">
        <f>G641+G647+G653+G669</f>
        <v>168</v>
      </c>
      <c r="H640" s="35">
        <f>H641+H647+H653+H669</f>
        <v>117</v>
      </c>
    </row>
    <row r="641" spans="1:8" s="344" customFormat="1" ht="15.75" x14ac:dyDescent="0.25">
      <c r="A641" s="29" t="s">
        <v>115</v>
      </c>
      <c r="B641" s="346" t="s">
        <v>502</v>
      </c>
      <c r="C641" s="341" t="s">
        <v>116</v>
      </c>
      <c r="D641" s="341"/>
      <c r="E641" s="2"/>
      <c r="F641" s="2"/>
      <c r="G641" s="9">
        <f t="shared" ref="G641:H644" si="81">G642</f>
        <v>12</v>
      </c>
      <c r="H641" s="9">
        <f t="shared" si="81"/>
        <v>12</v>
      </c>
    </row>
    <row r="642" spans="1:8" s="344" customFormat="1" ht="15.75" x14ac:dyDescent="0.25">
      <c r="A642" s="29" t="s">
        <v>131</v>
      </c>
      <c r="B642" s="346" t="s">
        <v>502</v>
      </c>
      <c r="C642" s="341" t="s">
        <v>116</v>
      </c>
      <c r="D642" s="341" t="s">
        <v>132</v>
      </c>
      <c r="E642" s="2"/>
      <c r="F642" s="2"/>
      <c r="G642" s="9">
        <f t="shared" si="81"/>
        <v>12</v>
      </c>
      <c r="H642" s="9">
        <f t="shared" si="81"/>
        <v>12</v>
      </c>
    </row>
    <row r="643" spans="1:8" s="344" customFormat="1" ht="47.25" x14ac:dyDescent="0.25">
      <c r="A643" s="345" t="s">
        <v>632</v>
      </c>
      <c r="B643" s="346" t="s">
        <v>587</v>
      </c>
      <c r="C643" s="341" t="s">
        <v>116</v>
      </c>
      <c r="D643" s="341" t="s">
        <v>132</v>
      </c>
      <c r="E643" s="2"/>
      <c r="F643" s="2"/>
      <c r="G643" s="9">
        <f t="shared" si="81"/>
        <v>12</v>
      </c>
      <c r="H643" s="9">
        <f t="shared" si="81"/>
        <v>12</v>
      </c>
    </row>
    <row r="644" spans="1:8" s="344" customFormat="1" ht="31.5" x14ac:dyDescent="0.25">
      <c r="A644" s="345" t="s">
        <v>153</v>
      </c>
      <c r="B644" s="346" t="s">
        <v>587</v>
      </c>
      <c r="C644" s="341" t="s">
        <v>116</v>
      </c>
      <c r="D644" s="341" t="s">
        <v>132</v>
      </c>
      <c r="E644" s="2">
        <v>200</v>
      </c>
      <c r="F644" s="2"/>
      <c r="G644" s="9">
        <f t="shared" si="81"/>
        <v>12</v>
      </c>
      <c r="H644" s="9">
        <f t="shared" si="81"/>
        <v>12</v>
      </c>
    </row>
    <row r="645" spans="1:8" s="344" customFormat="1" ht="31.5" x14ac:dyDescent="0.25">
      <c r="A645" s="345" t="s">
        <v>125</v>
      </c>
      <c r="B645" s="346" t="s">
        <v>587</v>
      </c>
      <c r="C645" s="341" t="s">
        <v>116</v>
      </c>
      <c r="D645" s="341" t="s">
        <v>132</v>
      </c>
      <c r="E645" s="2">
        <v>240</v>
      </c>
      <c r="F645" s="2"/>
      <c r="G645" s="9">
        <f>'Пр.4.1 ведом.23-24 '!G139</f>
        <v>12</v>
      </c>
      <c r="H645" s="9">
        <f>'Пр.4.1 ведом.23-24 '!H139</f>
        <v>12</v>
      </c>
    </row>
    <row r="646" spans="1:8" s="344" customFormat="1" ht="15.75" x14ac:dyDescent="0.25">
      <c r="A646" s="22" t="s">
        <v>137</v>
      </c>
      <c r="B646" s="346" t="s">
        <v>587</v>
      </c>
      <c r="C646" s="341" t="s">
        <v>116</v>
      </c>
      <c r="D646" s="341" t="s">
        <v>132</v>
      </c>
      <c r="E646" s="2">
        <v>240</v>
      </c>
      <c r="F646" s="404">
        <v>902</v>
      </c>
      <c r="G646" s="9">
        <f>G645</f>
        <v>12</v>
      </c>
      <c r="H646" s="9">
        <f>H645</f>
        <v>12</v>
      </c>
    </row>
    <row r="647" spans="1:8" s="344" customFormat="1" ht="18.75" hidden="1" customHeight="1" x14ac:dyDescent="0.25">
      <c r="A647" s="22" t="s">
        <v>231</v>
      </c>
      <c r="B647" s="341" t="s">
        <v>502</v>
      </c>
      <c r="C647" s="341" t="s">
        <v>168</v>
      </c>
      <c r="D647" s="341"/>
      <c r="E647" s="44"/>
      <c r="F647" s="44"/>
      <c r="G647" s="9">
        <f t="shared" ref="G647:H651" si="82">G648</f>
        <v>0</v>
      </c>
      <c r="H647" s="9">
        <f t="shared" si="82"/>
        <v>0</v>
      </c>
    </row>
    <row r="648" spans="1:8" s="344" customFormat="1" ht="37.5" hidden="1" customHeight="1" x14ac:dyDescent="0.25">
      <c r="A648" s="22" t="s">
        <v>281</v>
      </c>
      <c r="B648" s="341" t="s">
        <v>502</v>
      </c>
      <c r="C648" s="341" t="s">
        <v>168</v>
      </c>
      <c r="D648" s="341" t="s">
        <v>168</v>
      </c>
      <c r="E648" s="44"/>
      <c r="F648" s="44"/>
      <c r="G648" s="9">
        <f t="shared" si="82"/>
        <v>0</v>
      </c>
      <c r="H648" s="9">
        <f t="shared" si="82"/>
        <v>0</v>
      </c>
    </row>
    <row r="649" spans="1:8" s="344" customFormat="1" ht="51.75" hidden="1" customHeight="1" x14ac:dyDescent="0.25">
      <c r="A649" s="22" t="s">
        <v>632</v>
      </c>
      <c r="B649" s="346" t="s">
        <v>587</v>
      </c>
      <c r="C649" s="341" t="s">
        <v>168</v>
      </c>
      <c r="D649" s="341" t="s">
        <v>168</v>
      </c>
      <c r="E649" s="44"/>
      <c r="F649" s="44"/>
      <c r="G649" s="9">
        <f t="shared" si="82"/>
        <v>0</v>
      </c>
      <c r="H649" s="9">
        <f t="shared" si="82"/>
        <v>0</v>
      </c>
    </row>
    <row r="650" spans="1:8" s="344" customFormat="1" ht="35.450000000000003" hidden="1" customHeight="1" x14ac:dyDescent="0.25">
      <c r="A650" s="345" t="s">
        <v>123</v>
      </c>
      <c r="B650" s="346" t="s">
        <v>587</v>
      </c>
      <c r="C650" s="341" t="s">
        <v>168</v>
      </c>
      <c r="D650" s="341" t="s">
        <v>168</v>
      </c>
      <c r="E650" s="2">
        <v>200</v>
      </c>
      <c r="F650" s="44"/>
      <c r="G650" s="9">
        <f t="shared" si="82"/>
        <v>0</v>
      </c>
      <c r="H650" s="9">
        <f t="shared" si="82"/>
        <v>0</v>
      </c>
    </row>
    <row r="651" spans="1:8" s="344" customFormat="1" ht="34.5" hidden="1" customHeight="1" x14ac:dyDescent="0.25">
      <c r="A651" s="345" t="s">
        <v>125</v>
      </c>
      <c r="B651" s="346" t="s">
        <v>587</v>
      </c>
      <c r="C651" s="341" t="s">
        <v>168</v>
      </c>
      <c r="D651" s="341" t="s">
        <v>168</v>
      </c>
      <c r="E651" s="2">
        <v>240</v>
      </c>
      <c r="F651" s="44"/>
      <c r="G651" s="9">
        <f t="shared" si="82"/>
        <v>0</v>
      </c>
      <c r="H651" s="9">
        <f t="shared" si="82"/>
        <v>0</v>
      </c>
    </row>
    <row r="652" spans="1:8" s="344" customFormat="1" ht="37.35" hidden="1" customHeight="1" x14ac:dyDescent="0.25">
      <c r="A652" s="29" t="s">
        <v>302</v>
      </c>
      <c r="B652" s="346" t="s">
        <v>587</v>
      </c>
      <c r="C652" s="341" t="s">
        <v>168</v>
      </c>
      <c r="D652" s="341" t="s">
        <v>168</v>
      </c>
      <c r="E652" s="2">
        <v>240</v>
      </c>
      <c r="F652" s="2">
        <v>908</v>
      </c>
      <c r="G652" s="9">
        <f>'Пр.4 ведом.22'!G1320</f>
        <v>0</v>
      </c>
      <c r="H652" s="9">
        <f>'Пр.4 ведом.22'!H1320</f>
        <v>0</v>
      </c>
    </row>
    <row r="653" spans="1:8" s="344" customFormat="1" ht="15.75" x14ac:dyDescent="0.25">
      <c r="A653" s="345" t="s">
        <v>186</v>
      </c>
      <c r="B653" s="341" t="s">
        <v>502</v>
      </c>
      <c r="C653" s="341" t="s">
        <v>187</v>
      </c>
      <c r="D653" s="45"/>
      <c r="E653" s="45"/>
      <c r="F653" s="45"/>
      <c r="G653" s="9">
        <f>G654+G659+G664</f>
        <v>146</v>
      </c>
      <c r="H653" s="9">
        <f>H654+H659+H664</f>
        <v>91</v>
      </c>
    </row>
    <row r="654" spans="1:8" s="344" customFormat="1" ht="15.75" x14ac:dyDescent="0.25">
      <c r="A654" s="345" t="s">
        <v>236</v>
      </c>
      <c r="B654" s="341" t="s">
        <v>502</v>
      </c>
      <c r="C654" s="341" t="s">
        <v>187</v>
      </c>
      <c r="D654" s="341" t="s">
        <v>116</v>
      </c>
      <c r="E654" s="45"/>
      <c r="F654" s="45"/>
      <c r="G654" s="9">
        <f t="shared" ref="G654:H656" si="83">G655</f>
        <v>80</v>
      </c>
      <c r="H654" s="9">
        <f t="shared" si="83"/>
        <v>25</v>
      </c>
    </row>
    <row r="655" spans="1:8" s="344" customFormat="1" ht="47.25" x14ac:dyDescent="0.25">
      <c r="A655" s="22" t="s">
        <v>633</v>
      </c>
      <c r="B655" s="346" t="s">
        <v>503</v>
      </c>
      <c r="C655" s="341" t="s">
        <v>187</v>
      </c>
      <c r="D655" s="341" t="s">
        <v>116</v>
      </c>
      <c r="E655" s="44"/>
      <c r="F655" s="44"/>
      <c r="G655" s="9">
        <f t="shared" si="83"/>
        <v>80</v>
      </c>
      <c r="H655" s="9">
        <f t="shared" si="83"/>
        <v>25</v>
      </c>
    </row>
    <row r="656" spans="1:8" s="344" customFormat="1" ht="31.5" x14ac:dyDescent="0.25">
      <c r="A656" s="22" t="s">
        <v>191</v>
      </c>
      <c r="B656" s="346" t="s">
        <v>503</v>
      </c>
      <c r="C656" s="341" t="s">
        <v>187</v>
      </c>
      <c r="D656" s="341" t="s">
        <v>116</v>
      </c>
      <c r="E656" s="341" t="s">
        <v>192</v>
      </c>
      <c r="F656" s="44"/>
      <c r="G656" s="9">
        <f t="shared" si="83"/>
        <v>80</v>
      </c>
      <c r="H656" s="9">
        <f t="shared" si="83"/>
        <v>25</v>
      </c>
    </row>
    <row r="657" spans="1:8" s="344" customFormat="1" ht="15.75" x14ac:dyDescent="0.25">
      <c r="A657" s="22" t="s">
        <v>193</v>
      </c>
      <c r="B657" s="346" t="s">
        <v>503</v>
      </c>
      <c r="C657" s="341" t="s">
        <v>187</v>
      </c>
      <c r="D657" s="341" t="s">
        <v>116</v>
      </c>
      <c r="E657" s="341" t="s">
        <v>194</v>
      </c>
      <c r="F657" s="44"/>
      <c r="G657" s="9">
        <f>'Пр.4.1 ведом.23-24 '!G673</f>
        <v>80</v>
      </c>
      <c r="H657" s="9">
        <f>'Пр.4.1 ведом.23-24 '!H673</f>
        <v>25</v>
      </c>
    </row>
    <row r="658" spans="1:8" s="344" customFormat="1" ht="31.5" x14ac:dyDescent="0.25">
      <c r="A658" s="22" t="s">
        <v>235</v>
      </c>
      <c r="B658" s="346" t="s">
        <v>503</v>
      </c>
      <c r="C658" s="341" t="s">
        <v>187</v>
      </c>
      <c r="D658" s="341" t="s">
        <v>116</v>
      </c>
      <c r="E658" s="341" t="s">
        <v>194</v>
      </c>
      <c r="F658" s="2">
        <v>906</v>
      </c>
      <c r="G658" s="9">
        <f>G657</f>
        <v>80</v>
      </c>
      <c r="H658" s="9">
        <f>H657</f>
        <v>25</v>
      </c>
    </row>
    <row r="659" spans="1:8" s="344" customFormat="1" ht="15.75" x14ac:dyDescent="0.25">
      <c r="A659" s="22" t="s">
        <v>239</v>
      </c>
      <c r="B659" s="346" t="s">
        <v>503</v>
      </c>
      <c r="C659" s="341" t="s">
        <v>187</v>
      </c>
      <c r="D659" s="341" t="s">
        <v>158</v>
      </c>
      <c r="E659" s="341"/>
      <c r="F659" s="2"/>
      <c r="G659" s="9">
        <f t="shared" ref="G659:H661" si="84">G660</f>
        <v>60</v>
      </c>
      <c r="H659" s="9">
        <f t="shared" si="84"/>
        <v>60</v>
      </c>
    </row>
    <row r="660" spans="1:8" s="344" customFormat="1" ht="47.25" x14ac:dyDescent="0.25">
      <c r="A660" s="22" t="s">
        <v>633</v>
      </c>
      <c r="B660" s="346" t="s">
        <v>503</v>
      </c>
      <c r="C660" s="341" t="s">
        <v>187</v>
      </c>
      <c r="D660" s="341" t="s">
        <v>158</v>
      </c>
      <c r="E660" s="341"/>
      <c r="F660" s="2"/>
      <c r="G660" s="9">
        <f t="shared" si="84"/>
        <v>60</v>
      </c>
      <c r="H660" s="9">
        <f t="shared" si="84"/>
        <v>60</v>
      </c>
    </row>
    <row r="661" spans="1:8" s="344" customFormat="1" ht="31.5" x14ac:dyDescent="0.25">
      <c r="A661" s="22" t="s">
        <v>191</v>
      </c>
      <c r="B661" s="346" t="s">
        <v>503</v>
      </c>
      <c r="C661" s="341" t="s">
        <v>187</v>
      </c>
      <c r="D661" s="341" t="s">
        <v>158</v>
      </c>
      <c r="E661" s="341" t="s">
        <v>192</v>
      </c>
      <c r="F661" s="2"/>
      <c r="G661" s="9">
        <f t="shared" si="84"/>
        <v>60</v>
      </c>
      <c r="H661" s="9">
        <f t="shared" si="84"/>
        <v>60</v>
      </c>
    </row>
    <row r="662" spans="1:8" s="344" customFormat="1" ht="15.75" x14ac:dyDescent="0.25">
      <c r="A662" s="22" t="s">
        <v>193</v>
      </c>
      <c r="B662" s="346" t="s">
        <v>503</v>
      </c>
      <c r="C662" s="341" t="s">
        <v>187</v>
      </c>
      <c r="D662" s="341" t="s">
        <v>158</v>
      </c>
      <c r="E662" s="341" t="s">
        <v>194</v>
      </c>
      <c r="F662" s="2"/>
      <c r="G662" s="9">
        <f>'Пр.4.1 ведом.23-24 '!G762</f>
        <v>60</v>
      </c>
      <c r="H662" s="9">
        <f>'Пр.4.1 ведом.23-24 '!H762</f>
        <v>60</v>
      </c>
    </row>
    <row r="663" spans="1:8" s="344" customFormat="1" ht="31.5" x14ac:dyDescent="0.25">
      <c r="A663" s="22" t="s">
        <v>235</v>
      </c>
      <c r="B663" s="346" t="s">
        <v>503</v>
      </c>
      <c r="C663" s="341" t="s">
        <v>187</v>
      </c>
      <c r="D663" s="341" t="s">
        <v>158</v>
      </c>
      <c r="E663" s="341" t="s">
        <v>194</v>
      </c>
      <c r="F663" s="2">
        <v>906</v>
      </c>
      <c r="G663" s="9">
        <f>G662</f>
        <v>60</v>
      </c>
      <c r="H663" s="9">
        <f>H662</f>
        <v>60</v>
      </c>
    </row>
    <row r="664" spans="1:8" s="344" customFormat="1" ht="15.75" x14ac:dyDescent="0.25">
      <c r="A664" s="20" t="s">
        <v>188</v>
      </c>
      <c r="B664" s="341" t="s">
        <v>502</v>
      </c>
      <c r="C664" s="341" t="s">
        <v>187</v>
      </c>
      <c r="D664" s="341" t="s">
        <v>159</v>
      </c>
      <c r="E664" s="341"/>
      <c r="F664" s="45"/>
      <c r="G664" s="9">
        <f t="shared" ref="G664:H666" si="85">G665</f>
        <v>6</v>
      </c>
      <c r="H664" s="9">
        <f t="shared" si="85"/>
        <v>6</v>
      </c>
    </row>
    <row r="665" spans="1:8" s="344" customFormat="1" ht="47.25" x14ac:dyDescent="0.25">
      <c r="A665" s="22" t="s">
        <v>632</v>
      </c>
      <c r="B665" s="346" t="s">
        <v>587</v>
      </c>
      <c r="C665" s="341" t="s">
        <v>187</v>
      </c>
      <c r="D665" s="341" t="s">
        <v>159</v>
      </c>
      <c r="E665" s="341"/>
      <c r="F665" s="44"/>
      <c r="G665" s="9">
        <f t="shared" si="85"/>
        <v>6</v>
      </c>
      <c r="H665" s="9">
        <f t="shared" si="85"/>
        <v>6</v>
      </c>
    </row>
    <row r="666" spans="1:8" s="344" customFormat="1" ht="31.5" x14ac:dyDescent="0.25">
      <c r="A666" s="22" t="s">
        <v>191</v>
      </c>
      <c r="B666" s="346" t="s">
        <v>587</v>
      </c>
      <c r="C666" s="341" t="s">
        <v>187</v>
      </c>
      <c r="D666" s="341" t="s">
        <v>159</v>
      </c>
      <c r="E666" s="341" t="s">
        <v>124</v>
      </c>
      <c r="F666" s="44"/>
      <c r="G666" s="9">
        <f t="shared" si="85"/>
        <v>6</v>
      </c>
      <c r="H666" s="9">
        <f t="shared" si="85"/>
        <v>6</v>
      </c>
    </row>
    <row r="667" spans="1:8" s="344" customFormat="1" ht="15.75" x14ac:dyDescent="0.25">
      <c r="A667" s="22" t="s">
        <v>193</v>
      </c>
      <c r="B667" s="346" t="s">
        <v>587</v>
      </c>
      <c r="C667" s="341" t="s">
        <v>187</v>
      </c>
      <c r="D667" s="341" t="s">
        <v>159</v>
      </c>
      <c r="E667" s="341" t="s">
        <v>126</v>
      </c>
      <c r="F667" s="44"/>
      <c r="G667" s="9">
        <f>'Пр.4.1 ведом.23-24 '!G341</f>
        <v>6</v>
      </c>
      <c r="H667" s="9">
        <f>'Пр.4.1 ведом.23-24 '!H341</f>
        <v>6</v>
      </c>
    </row>
    <row r="668" spans="1:8" s="344" customFormat="1" ht="47.25" x14ac:dyDescent="0.25">
      <c r="A668" s="29" t="s">
        <v>185</v>
      </c>
      <c r="B668" s="346" t="s">
        <v>587</v>
      </c>
      <c r="C668" s="341" t="s">
        <v>187</v>
      </c>
      <c r="D668" s="341" t="s">
        <v>159</v>
      </c>
      <c r="E668" s="341" t="s">
        <v>126</v>
      </c>
      <c r="F668" s="2">
        <v>903</v>
      </c>
      <c r="G668" s="9">
        <f>G667</f>
        <v>6</v>
      </c>
      <c r="H668" s="9">
        <f>H667</f>
        <v>6</v>
      </c>
    </row>
    <row r="669" spans="1:8" s="344" customFormat="1" ht="15.75" x14ac:dyDescent="0.25">
      <c r="A669" s="22" t="s">
        <v>202</v>
      </c>
      <c r="B669" s="346" t="s">
        <v>502</v>
      </c>
      <c r="C669" s="341" t="s">
        <v>203</v>
      </c>
      <c r="D669" s="341"/>
      <c r="E669" s="341"/>
      <c r="F669" s="2"/>
      <c r="G669" s="9">
        <f>G670+G679</f>
        <v>10</v>
      </c>
      <c r="H669" s="9">
        <f>H670+H679</f>
        <v>14</v>
      </c>
    </row>
    <row r="670" spans="1:8" s="344" customFormat="1" ht="15.75" x14ac:dyDescent="0.25">
      <c r="A670" s="42" t="s">
        <v>204</v>
      </c>
      <c r="B670" s="346" t="s">
        <v>502</v>
      </c>
      <c r="C670" s="341" t="s">
        <v>203</v>
      </c>
      <c r="D670" s="341" t="s">
        <v>116</v>
      </c>
      <c r="E670" s="341"/>
      <c r="F670" s="2"/>
      <c r="G670" s="9">
        <f>G671+G675</f>
        <v>10</v>
      </c>
      <c r="H670" s="9">
        <f>H671+H675</f>
        <v>10</v>
      </c>
    </row>
    <row r="671" spans="1:8" s="344" customFormat="1" ht="47.25" x14ac:dyDescent="0.25">
      <c r="A671" s="22" t="s">
        <v>632</v>
      </c>
      <c r="B671" s="346" t="s">
        <v>587</v>
      </c>
      <c r="C671" s="341" t="s">
        <v>203</v>
      </c>
      <c r="D671" s="341" t="s">
        <v>116</v>
      </c>
      <c r="E671" s="341"/>
      <c r="F671" s="2"/>
      <c r="G671" s="9">
        <f t="shared" ref="G671:H672" si="86">G672</f>
        <v>4</v>
      </c>
      <c r="H671" s="9">
        <f t="shared" si="86"/>
        <v>4</v>
      </c>
    </row>
    <row r="672" spans="1:8" s="344" customFormat="1" ht="31.5" x14ac:dyDescent="0.25">
      <c r="A672" s="345" t="s">
        <v>123</v>
      </c>
      <c r="B672" s="346" t="s">
        <v>587</v>
      </c>
      <c r="C672" s="341" t="s">
        <v>203</v>
      </c>
      <c r="D672" s="341" t="s">
        <v>116</v>
      </c>
      <c r="E672" s="341" t="s">
        <v>124</v>
      </c>
      <c r="F672" s="2"/>
      <c r="G672" s="9">
        <f t="shared" si="86"/>
        <v>4</v>
      </c>
      <c r="H672" s="9">
        <f t="shared" si="86"/>
        <v>4</v>
      </c>
    </row>
    <row r="673" spans="1:8" s="344" customFormat="1" ht="31.5" x14ac:dyDescent="0.25">
      <c r="A673" s="345" t="s">
        <v>125</v>
      </c>
      <c r="B673" s="346" t="s">
        <v>587</v>
      </c>
      <c r="C673" s="341" t="s">
        <v>203</v>
      </c>
      <c r="D673" s="341" t="s">
        <v>116</v>
      </c>
      <c r="E673" s="341" t="s">
        <v>126</v>
      </c>
      <c r="F673" s="2"/>
      <c r="G673" s="9">
        <f>'Пр.4.1 ведом.23-24 '!G443</f>
        <v>4</v>
      </c>
      <c r="H673" s="9">
        <f>'Пр.4.1 ведом.23-24 '!H443</f>
        <v>4</v>
      </c>
    </row>
    <row r="674" spans="1:8" s="344" customFormat="1" ht="47.25" x14ac:dyDescent="0.25">
      <c r="A674" s="29" t="s">
        <v>185</v>
      </c>
      <c r="B674" s="346" t="s">
        <v>587</v>
      </c>
      <c r="C674" s="341" t="s">
        <v>203</v>
      </c>
      <c r="D674" s="341" t="s">
        <v>116</v>
      </c>
      <c r="E674" s="341" t="s">
        <v>126</v>
      </c>
      <c r="F674" s="2">
        <v>903</v>
      </c>
      <c r="G674" s="9">
        <f>G673</f>
        <v>4</v>
      </c>
      <c r="H674" s="9">
        <f>H673</f>
        <v>4</v>
      </c>
    </row>
    <row r="675" spans="1:8" s="344" customFormat="1" ht="47.25" x14ac:dyDescent="0.25">
      <c r="A675" s="391" t="s">
        <v>569</v>
      </c>
      <c r="B675" s="394" t="s">
        <v>503</v>
      </c>
      <c r="C675" s="341" t="s">
        <v>203</v>
      </c>
      <c r="D675" s="341" t="s">
        <v>116</v>
      </c>
      <c r="E675" s="341"/>
      <c r="F675" s="2"/>
      <c r="G675" s="9">
        <f>G676</f>
        <v>6</v>
      </c>
      <c r="H675" s="9">
        <f>H676</f>
        <v>6</v>
      </c>
    </row>
    <row r="676" spans="1:8" s="344" customFormat="1" ht="31.5" x14ac:dyDescent="0.25">
      <c r="A676" s="391" t="s">
        <v>191</v>
      </c>
      <c r="B676" s="394" t="s">
        <v>503</v>
      </c>
      <c r="C676" s="341" t="s">
        <v>203</v>
      </c>
      <c r="D676" s="341" t="s">
        <v>116</v>
      </c>
      <c r="E676" s="341" t="s">
        <v>192</v>
      </c>
      <c r="F676" s="2"/>
      <c r="G676" s="9">
        <f>G677</f>
        <v>6</v>
      </c>
      <c r="H676" s="9">
        <f>H677</f>
        <v>6</v>
      </c>
    </row>
    <row r="677" spans="1:8" s="344" customFormat="1" ht="15.75" x14ac:dyDescent="0.25">
      <c r="A677" s="345" t="s">
        <v>193</v>
      </c>
      <c r="B677" s="394" t="s">
        <v>503</v>
      </c>
      <c r="C677" s="341" t="s">
        <v>203</v>
      </c>
      <c r="D677" s="341" t="s">
        <v>116</v>
      </c>
      <c r="E677" s="341" t="s">
        <v>194</v>
      </c>
      <c r="F677" s="2"/>
      <c r="G677" s="9">
        <f>'Пр.4.1 ведом.23-24 '!G446</f>
        <v>6</v>
      </c>
      <c r="H677" s="9">
        <f>'Пр.4.1 ведом.23-24 '!H446</f>
        <v>6</v>
      </c>
    </row>
    <row r="678" spans="1:8" s="344" customFormat="1" ht="47.25" x14ac:dyDescent="0.25">
      <c r="A678" s="29" t="s">
        <v>185</v>
      </c>
      <c r="B678" s="394" t="s">
        <v>503</v>
      </c>
      <c r="C678" s="341" t="s">
        <v>203</v>
      </c>
      <c r="D678" s="341" t="s">
        <v>116</v>
      </c>
      <c r="E678" s="341" t="s">
        <v>194</v>
      </c>
      <c r="F678" s="2">
        <v>903</v>
      </c>
      <c r="G678" s="9">
        <f>G677</f>
        <v>6</v>
      </c>
      <c r="H678" s="9">
        <f>H677</f>
        <v>6</v>
      </c>
    </row>
    <row r="679" spans="1:8" s="344" customFormat="1" ht="15.75" x14ac:dyDescent="0.25">
      <c r="A679" s="345" t="s">
        <v>208</v>
      </c>
      <c r="B679" s="346" t="s">
        <v>502</v>
      </c>
      <c r="C679" s="341" t="s">
        <v>203</v>
      </c>
      <c r="D679" s="341" t="s">
        <v>139</v>
      </c>
      <c r="E679" s="341"/>
      <c r="F679" s="2"/>
      <c r="G679" s="9">
        <f t="shared" ref="G679:H681" si="87">G680</f>
        <v>0</v>
      </c>
      <c r="H679" s="9">
        <f t="shared" si="87"/>
        <v>4</v>
      </c>
    </row>
    <row r="680" spans="1:8" s="344" customFormat="1" ht="47.25" x14ac:dyDescent="0.25">
      <c r="A680" s="22" t="s">
        <v>632</v>
      </c>
      <c r="B680" s="346" t="s">
        <v>587</v>
      </c>
      <c r="C680" s="341" t="s">
        <v>203</v>
      </c>
      <c r="D680" s="341" t="s">
        <v>139</v>
      </c>
      <c r="E680" s="341"/>
      <c r="F680" s="2"/>
      <c r="G680" s="9">
        <f t="shared" si="87"/>
        <v>0</v>
      </c>
      <c r="H680" s="9">
        <f t="shared" si="87"/>
        <v>4</v>
      </c>
    </row>
    <row r="681" spans="1:8" s="344" customFormat="1" ht="31.5" x14ac:dyDescent="0.25">
      <c r="A681" s="345" t="s">
        <v>123</v>
      </c>
      <c r="B681" s="346" t="s">
        <v>587</v>
      </c>
      <c r="C681" s="341" t="s">
        <v>203</v>
      </c>
      <c r="D681" s="341" t="s">
        <v>139</v>
      </c>
      <c r="E681" s="341" t="s">
        <v>124</v>
      </c>
      <c r="F681" s="2"/>
      <c r="G681" s="9">
        <f t="shared" si="87"/>
        <v>0</v>
      </c>
      <c r="H681" s="9">
        <f t="shared" si="87"/>
        <v>4</v>
      </c>
    </row>
    <row r="682" spans="1:8" s="344" customFormat="1" ht="31.5" x14ac:dyDescent="0.25">
      <c r="A682" s="345" t="s">
        <v>125</v>
      </c>
      <c r="B682" s="346" t="s">
        <v>587</v>
      </c>
      <c r="C682" s="341" t="s">
        <v>203</v>
      </c>
      <c r="D682" s="341" t="s">
        <v>139</v>
      </c>
      <c r="E682" s="341" t="s">
        <v>126</v>
      </c>
      <c r="F682" s="2"/>
      <c r="G682" s="9">
        <f>'Пр.4.1 ведом.23-24 '!G495</f>
        <v>0</v>
      </c>
      <c r="H682" s="9">
        <f>'Пр.4.1 ведом.23-24 '!H495</f>
        <v>4</v>
      </c>
    </row>
    <row r="683" spans="1:8" s="344" customFormat="1" ht="47.25" x14ac:dyDescent="0.25">
      <c r="A683" s="29" t="s">
        <v>185</v>
      </c>
      <c r="B683" s="346" t="s">
        <v>587</v>
      </c>
      <c r="C683" s="341" t="s">
        <v>203</v>
      </c>
      <c r="D683" s="341" t="s">
        <v>139</v>
      </c>
      <c r="E683" s="341" t="s">
        <v>126</v>
      </c>
      <c r="F683" s="2">
        <v>903</v>
      </c>
      <c r="G683" s="252">
        <f>G680</f>
        <v>0</v>
      </c>
      <c r="H683" s="252">
        <f>H680</f>
        <v>4</v>
      </c>
    </row>
    <row r="684" spans="1:8" s="344" customFormat="1" ht="15.75" hidden="1" customHeight="1" x14ac:dyDescent="0.25">
      <c r="A684" s="45" t="s">
        <v>250</v>
      </c>
      <c r="B684" s="341" t="s">
        <v>502</v>
      </c>
      <c r="C684" s="341" t="s">
        <v>251</v>
      </c>
      <c r="D684" s="45"/>
      <c r="E684" s="45"/>
      <c r="F684" s="45"/>
      <c r="G684" s="9">
        <f t="shared" ref="G684:H685" si="88">G685</f>
        <v>0</v>
      </c>
      <c r="H684" s="9">
        <f t="shared" si="88"/>
        <v>0</v>
      </c>
    </row>
    <row r="685" spans="1:8" s="344" customFormat="1" ht="15.75" hidden="1" customHeight="1" x14ac:dyDescent="0.25">
      <c r="A685" s="45" t="s">
        <v>252</v>
      </c>
      <c r="B685" s="341" t="s">
        <v>502</v>
      </c>
      <c r="C685" s="341" t="s">
        <v>251</v>
      </c>
      <c r="D685" s="341" t="s">
        <v>116</v>
      </c>
      <c r="E685" s="45"/>
      <c r="F685" s="45"/>
      <c r="G685" s="9">
        <f t="shared" si="88"/>
        <v>0</v>
      </c>
      <c r="H685" s="9">
        <f t="shared" si="88"/>
        <v>0</v>
      </c>
    </row>
    <row r="686" spans="1:8" s="344" customFormat="1" ht="47.25" hidden="1" customHeight="1" x14ac:dyDescent="0.25">
      <c r="A686" s="22" t="s">
        <v>633</v>
      </c>
      <c r="B686" s="341" t="s">
        <v>503</v>
      </c>
      <c r="C686" s="341" t="s">
        <v>251</v>
      </c>
      <c r="D686" s="341" t="s">
        <v>116</v>
      </c>
      <c r="E686" s="45"/>
      <c r="F686" s="45"/>
      <c r="G686" s="9">
        <f>G687</f>
        <v>0</v>
      </c>
      <c r="H686" s="9">
        <f>H687</f>
        <v>0</v>
      </c>
    </row>
    <row r="687" spans="1:8" s="344" customFormat="1" ht="31.7" hidden="1" customHeight="1" x14ac:dyDescent="0.25">
      <c r="A687" s="345" t="s">
        <v>191</v>
      </c>
      <c r="B687" s="341" t="s">
        <v>503</v>
      </c>
      <c r="C687" s="341" t="s">
        <v>251</v>
      </c>
      <c r="D687" s="341" t="s">
        <v>116</v>
      </c>
      <c r="E687" s="341" t="s">
        <v>192</v>
      </c>
      <c r="F687" s="45"/>
      <c r="G687" s="9">
        <f>G688</f>
        <v>0</v>
      </c>
      <c r="H687" s="9">
        <f>H688</f>
        <v>0</v>
      </c>
    </row>
    <row r="688" spans="1:8" s="344" customFormat="1" ht="15.75" hidden="1" customHeight="1" x14ac:dyDescent="0.25">
      <c r="A688" s="345" t="s">
        <v>193</v>
      </c>
      <c r="B688" s="341" t="s">
        <v>503</v>
      </c>
      <c r="C688" s="341" t="s">
        <v>251</v>
      </c>
      <c r="D688" s="341" t="s">
        <v>116</v>
      </c>
      <c r="E688" s="341" t="s">
        <v>194</v>
      </c>
      <c r="F688" s="45"/>
      <c r="G688" s="9"/>
      <c r="H688" s="9"/>
    </row>
    <row r="689" spans="1:8" s="344" customFormat="1" ht="31.7" hidden="1" customHeight="1" x14ac:dyDescent="0.25">
      <c r="A689" s="29" t="s">
        <v>248</v>
      </c>
      <c r="B689" s="341" t="s">
        <v>503</v>
      </c>
      <c r="C689" s="341" t="s">
        <v>251</v>
      </c>
      <c r="D689" s="341" t="s">
        <v>116</v>
      </c>
      <c r="E689" s="341" t="s">
        <v>194</v>
      </c>
      <c r="F689" s="2">
        <v>907</v>
      </c>
      <c r="G689" s="9">
        <f>G688</f>
        <v>0</v>
      </c>
      <c r="H689" s="9">
        <f>H688</f>
        <v>0</v>
      </c>
    </row>
    <row r="690" spans="1:8" ht="37.5" customHeight="1" x14ac:dyDescent="0.25">
      <c r="A690" s="340" t="s">
        <v>865</v>
      </c>
      <c r="B690" s="6" t="s">
        <v>273</v>
      </c>
      <c r="C690" s="2"/>
      <c r="D690" s="2"/>
      <c r="E690" s="2"/>
      <c r="F690" s="2"/>
      <c r="G690" s="35">
        <f>G691+G698+G738+G749+G756</f>
        <v>8881.4399999999987</v>
      </c>
      <c r="H690" s="35">
        <f>H691+H698+H738+H749+H756</f>
        <v>8881.4399999999987</v>
      </c>
    </row>
    <row r="691" spans="1:8" ht="47.25" hidden="1" x14ac:dyDescent="0.25">
      <c r="A691" s="298" t="s">
        <v>920</v>
      </c>
      <c r="B691" s="6" t="s">
        <v>798</v>
      </c>
      <c r="C691" s="6"/>
      <c r="D691" s="6"/>
      <c r="E691" s="3"/>
      <c r="F691" s="3"/>
      <c r="G691" s="35">
        <f t="shared" ref="G691:H695" si="89">G692</f>
        <v>0</v>
      </c>
      <c r="H691" s="35">
        <f t="shared" si="89"/>
        <v>0</v>
      </c>
    </row>
    <row r="692" spans="1:8" ht="15.75" hidden="1" x14ac:dyDescent="0.25">
      <c r="A692" s="45" t="s">
        <v>231</v>
      </c>
      <c r="B692" s="341" t="s">
        <v>798</v>
      </c>
      <c r="C692" s="341" t="s">
        <v>168</v>
      </c>
      <c r="D692" s="341"/>
      <c r="E692" s="2"/>
      <c r="F692" s="2"/>
      <c r="G692" s="9">
        <f t="shared" si="89"/>
        <v>0</v>
      </c>
      <c r="H692" s="9">
        <f t="shared" si="89"/>
        <v>0</v>
      </c>
    </row>
    <row r="693" spans="1:8" ht="15.75" hidden="1" x14ac:dyDescent="0.25">
      <c r="A693" s="45" t="s">
        <v>272</v>
      </c>
      <c r="B693" s="341" t="s">
        <v>798</v>
      </c>
      <c r="C693" s="341" t="s">
        <v>168</v>
      </c>
      <c r="D693" s="341" t="s">
        <v>159</v>
      </c>
      <c r="E693" s="2"/>
      <c r="F693" s="2"/>
      <c r="G693" s="9">
        <f t="shared" si="89"/>
        <v>0</v>
      </c>
      <c r="H693" s="9">
        <f t="shared" si="89"/>
        <v>0</v>
      </c>
    </row>
    <row r="694" spans="1:8" ht="31.5" hidden="1" x14ac:dyDescent="0.25">
      <c r="A694" s="205" t="s">
        <v>921</v>
      </c>
      <c r="B694" s="346" t="s">
        <v>911</v>
      </c>
      <c r="C694" s="341" t="s">
        <v>168</v>
      </c>
      <c r="D694" s="341" t="s">
        <v>159</v>
      </c>
      <c r="E694" s="2"/>
      <c r="F694" s="2"/>
      <c r="G694" s="9">
        <f t="shared" si="89"/>
        <v>0</v>
      </c>
      <c r="H694" s="9">
        <f t="shared" si="89"/>
        <v>0</v>
      </c>
    </row>
    <row r="695" spans="1:8" ht="31.5" hidden="1" x14ac:dyDescent="0.25">
      <c r="A695" s="345" t="s">
        <v>123</v>
      </c>
      <c r="B695" s="346" t="s">
        <v>911</v>
      </c>
      <c r="C695" s="341" t="s">
        <v>168</v>
      </c>
      <c r="D695" s="341" t="s">
        <v>159</v>
      </c>
      <c r="E695" s="2">
        <v>200</v>
      </c>
      <c r="F695" s="2"/>
      <c r="G695" s="9">
        <f t="shared" si="89"/>
        <v>0</v>
      </c>
      <c r="H695" s="9">
        <f t="shared" si="89"/>
        <v>0</v>
      </c>
    </row>
    <row r="696" spans="1:8" ht="31.5" hidden="1" x14ac:dyDescent="0.25">
      <c r="A696" s="345" t="s">
        <v>125</v>
      </c>
      <c r="B696" s="346" t="s">
        <v>911</v>
      </c>
      <c r="C696" s="341" t="s">
        <v>168</v>
      </c>
      <c r="D696" s="341" t="s">
        <v>159</v>
      </c>
      <c r="E696" s="2">
        <v>240</v>
      </c>
      <c r="F696" s="2"/>
      <c r="G696" s="9">
        <f>'Пр.4 ведом.22'!G1206</f>
        <v>0</v>
      </c>
      <c r="H696" s="9">
        <f>'Пр.4 ведом.22'!H1206</f>
        <v>0</v>
      </c>
    </row>
    <row r="697" spans="1:8" ht="31.5" hidden="1" x14ac:dyDescent="0.25">
      <c r="A697" s="29" t="s">
        <v>302</v>
      </c>
      <c r="B697" s="346" t="s">
        <v>911</v>
      </c>
      <c r="C697" s="341" t="s">
        <v>168</v>
      </c>
      <c r="D697" s="341" t="s">
        <v>159</v>
      </c>
      <c r="E697" s="2">
        <v>240</v>
      </c>
      <c r="F697" s="2">
        <v>908</v>
      </c>
      <c r="G697" s="9">
        <f>G694</f>
        <v>0</v>
      </c>
      <c r="H697" s="9">
        <f>H694</f>
        <v>0</v>
      </c>
    </row>
    <row r="698" spans="1:8" ht="31.5" x14ac:dyDescent="0.25">
      <c r="A698" s="298" t="s">
        <v>923</v>
      </c>
      <c r="B698" s="6" t="s">
        <v>799</v>
      </c>
      <c r="C698" s="341"/>
      <c r="D698" s="341"/>
      <c r="E698" s="2"/>
      <c r="F698" s="2"/>
      <c r="G698" s="35">
        <f>G699</f>
        <v>2248</v>
      </c>
      <c r="H698" s="35">
        <f>H699</f>
        <v>2248</v>
      </c>
    </row>
    <row r="699" spans="1:8" ht="15.75" x14ac:dyDescent="0.25">
      <c r="A699" s="45" t="s">
        <v>231</v>
      </c>
      <c r="B699" s="341" t="s">
        <v>799</v>
      </c>
      <c r="C699" s="341"/>
      <c r="D699" s="341"/>
      <c r="E699" s="2"/>
      <c r="F699" s="2"/>
      <c r="G699" s="9">
        <f>G700</f>
        <v>2248</v>
      </c>
      <c r="H699" s="9">
        <f>H700</f>
        <v>2248</v>
      </c>
    </row>
    <row r="700" spans="1:8" ht="15.75" x14ac:dyDescent="0.25">
      <c r="A700" s="45" t="s">
        <v>272</v>
      </c>
      <c r="B700" s="341" t="s">
        <v>799</v>
      </c>
      <c r="C700" s="341"/>
      <c r="D700" s="341"/>
      <c r="E700" s="2"/>
      <c r="F700" s="2"/>
      <c r="G700" s="9">
        <f>G701+G705+G715+G719+G723+G730+G734</f>
        <v>2248</v>
      </c>
      <c r="H700" s="9">
        <f>H701+H705+H715+H719+H723+H730+H734</f>
        <v>2248</v>
      </c>
    </row>
    <row r="701" spans="1:8" ht="15.75" customHeight="1" x14ac:dyDescent="0.25">
      <c r="A701" s="345" t="s">
        <v>274</v>
      </c>
      <c r="B701" s="346" t="s">
        <v>919</v>
      </c>
      <c r="C701" s="341" t="s">
        <v>168</v>
      </c>
      <c r="D701" s="341" t="s">
        <v>159</v>
      </c>
      <c r="E701" s="2"/>
      <c r="F701" s="2"/>
      <c r="G701" s="9">
        <f t="shared" ref="G701:H702" si="90">G702</f>
        <v>365</v>
      </c>
      <c r="H701" s="9">
        <f t="shared" si="90"/>
        <v>365</v>
      </c>
    </row>
    <row r="702" spans="1:8" ht="41.25" customHeight="1" x14ac:dyDescent="0.25">
      <c r="A702" s="345" t="s">
        <v>123</v>
      </c>
      <c r="B702" s="346" t="s">
        <v>919</v>
      </c>
      <c r="C702" s="341" t="s">
        <v>168</v>
      </c>
      <c r="D702" s="341" t="s">
        <v>159</v>
      </c>
      <c r="E702" s="2">
        <v>200</v>
      </c>
      <c r="F702" s="2"/>
      <c r="G702" s="9">
        <f t="shared" si="90"/>
        <v>365</v>
      </c>
      <c r="H702" s="9">
        <f t="shared" si="90"/>
        <v>365</v>
      </c>
    </row>
    <row r="703" spans="1:8" ht="31.7" customHeight="1" x14ac:dyDescent="0.25">
      <c r="A703" s="345" t="s">
        <v>125</v>
      </c>
      <c r="B703" s="346" t="s">
        <v>919</v>
      </c>
      <c r="C703" s="341" t="s">
        <v>168</v>
      </c>
      <c r="D703" s="341" t="s">
        <v>159</v>
      </c>
      <c r="E703" s="2">
        <v>240</v>
      </c>
      <c r="F703" s="2"/>
      <c r="G703" s="9">
        <f>'Пр.4.1 ведом.23-24 '!G1092</f>
        <v>365</v>
      </c>
      <c r="H703" s="9">
        <f>'Пр.4.1 ведом.23-24 '!H1092</f>
        <v>365</v>
      </c>
    </row>
    <row r="704" spans="1:8" ht="31.7" customHeight="1" x14ac:dyDescent="0.25">
      <c r="A704" s="29" t="s">
        <v>302</v>
      </c>
      <c r="B704" s="346" t="s">
        <v>919</v>
      </c>
      <c r="C704" s="341" t="s">
        <v>168</v>
      </c>
      <c r="D704" s="341" t="s">
        <v>159</v>
      </c>
      <c r="E704" s="2">
        <v>240</v>
      </c>
      <c r="F704" s="2">
        <v>908</v>
      </c>
      <c r="G704" s="9">
        <f>G703</f>
        <v>365</v>
      </c>
      <c r="H704" s="9">
        <f>H703</f>
        <v>365</v>
      </c>
    </row>
    <row r="705" spans="1:8" ht="17.45" customHeight="1" x14ac:dyDescent="0.25">
      <c r="A705" s="345" t="s">
        <v>275</v>
      </c>
      <c r="B705" s="346" t="s">
        <v>910</v>
      </c>
      <c r="C705" s="341" t="s">
        <v>168</v>
      </c>
      <c r="D705" s="341" t="s">
        <v>159</v>
      </c>
      <c r="E705" s="2"/>
      <c r="F705" s="2"/>
      <c r="G705" s="9">
        <f>G706+G709+G712</f>
        <v>1408</v>
      </c>
      <c r="H705" s="9">
        <f>H706+H709+H712</f>
        <v>1408</v>
      </c>
    </row>
    <row r="706" spans="1:8" ht="31.5" x14ac:dyDescent="0.25">
      <c r="A706" s="345" t="s">
        <v>123</v>
      </c>
      <c r="B706" s="346" t="s">
        <v>910</v>
      </c>
      <c r="C706" s="341" t="s">
        <v>168</v>
      </c>
      <c r="D706" s="341" t="s">
        <v>159</v>
      </c>
      <c r="E706" s="2">
        <v>200</v>
      </c>
      <c r="F706" s="2"/>
      <c r="G706" s="9">
        <f t="shared" ref="G706:H706" si="91">G707</f>
        <v>1408</v>
      </c>
      <c r="H706" s="9">
        <f t="shared" si="91"/>
        <v>1408</v>
      </c>
    </row>
    <row r="707" spans="1:8" ht="31.5" x14ac:dyDescent="0.25">
      <c r="A707" s="345" t="s">
        <v>125</v>
      </c>
      <c r="B707" s="346" t="s">
        <v>910</v>
      </c>
      <c r="C707" s="341" t="s">
        <v>168</v>
      </c>
      <c r="D707" s="341" t="s">
        <v>159</v>
      </c>
      <c r="E707" s="2">
        <v>240</v>
      </c>
      <c r="F707" s="2"/>
      <c r="G707" s="9">
        <f>'Пр.4.1 ведом.23-24 '!G1095</f>
        <v>1408</v>
      </c>
      <c r="H707" s="9">
        <f>'Пр.4.1 ведом.23-24 '!H1095</f>
        <v>1408</v>
      </c>
    </row>
    <row r="708" spans="1:8" ht="37.5" customHeight="1" x14ac:dyDescent="0.25">
      <c r="A708" s="29" t="s">
        <v>302</v>
      </c>
      <c r="B708" s="346" t="s">
        <v>910</v>
      </c>
      <c r="C708" s="341" t="s">
        <v>168</v>
      </c>
      <c r="D708" s="341" t="s">
        <v>159</v>
      </c>
      <c r="E708" s="2">
        <v>240</v>
      </c>
      <c r="F708" s="2">
        <v>908</v>
      </c>
      <c r="G708" s="9">
        <f>G707</f>
        <v>1408</v>
      </c>
      <c r="H708" s="9">
        <f>H707</f>
        <v>1408</v>
      </c>
    </row>
    <row r="709" spans="1:8" ht="15.75" hidden="1" x14ac:dyDescent="0.25">
      <c r="A709" s="345" t="s">
        <v>127</v>
      </c>
      <c r="B709" s="346" t="s">
        <v>910</v>
      </c>
      <c r="C709" s="341" t="s">
        <v>168</v>
      </c>
      <c r="D709" s="341" t="s">
        <v>159</v>
      </c>
      <c r="E709" s="2">
        <v>800</v>
      </c>
      <c r="F709" s="2"/>
      <c r="G709" s="9">
        <f>G710</f>
        <v>0</v>
      </c>
      <c r="H709" s="9">
        <f>H710</f>
        <v>0</v>
      </c>
    </row>
    <row r="710" spans="1:8" ht="47.25" hidden="1" x14ac:dyDescent="0.25">
      <c r="A710" s="345" t="s">
        <v>411</v>
      </c>
      <c r="B710" s="346" t="s">
        <v>910</v>
      </c>
      <c r="C710" s="341" t="s">
        <v>168</v>
      </c>
      <c r="D710" s="341" t="s">
        <v>159</v>
      </c>
      <c r="E710" s="2">
        <v>830</v>
      </c>
      <c r="F710" s="2"/>
      <c r="G710" s="9">
        <f>'Пр.3 Рд,пр, ЦС,ВР 22'!F466</f>
        <v>0</v>
      </c>
      <c r="H710" s="9">
        <f>'Пр.3 Рд,пр, ЦС,ВР 22'!G466</f>
        <v>0</v>
      </c>
    </row>
    <row r="711" spans="1:8" ht="31.5" hidden="1" x14ac:dyDescent="0.25">
      <c r="A711" s="29" t="s">
        <v>302</v>
      </c>
      <c r="B711" s="346" t="s">
        <v>910</v>
      </c>
      <c r="C711" s="341" t="s">
        <v>168</v>
      </c>
      <c r="D711" s="341" t="s">
        <v>159</v>
      </c>
      <c r="E711" s="2">
        <v>830</v>
      </c>
      <c r="F711" s="2">
        <v>908</v>
      </c>
      <c r="G711" s="9">
        <f>G710</f>
        <v>0</v>
      </c>
      <c r="H711" s="9">
        <f>H710</f>
        <v>0</v>
      </c>
    </row>
    <row r="712" spans="1:8" ht="15.75" hidden="1" x14ac:dyDescent="0.25">
      <c r="A712" s="345" t="s">
        <v>127</v>
      </c>
      <c r="B712" s="346" t="s">
        <v>910</v>
      </c>
      <c r="C712" s="341" t="s">
        <v>168</v>
      </c>
      <c r="D712" s="341" t="s">
        <v>159</v>
      </c>
      <c r="E712" s="2">
        <v>800</v>
      </c>
      <c r="F712" s="2"/>
      <c r="G712" s="9">
        <f>G713</f>
        <v>0</v>
      </c>
      <c r="H712" s="9">
        <f>H713</f>
        <v>0</v>
      </c>
    </row>
    <row r="713" spans="1:8" ht="15.75" hidden="1" x14ac:dyDescent="0.25">
      <c r="A713" s="345" t="s">
        <v>629</v>
      </c>
      <c r="B713" s="346" t="s">
        <v>910</v>
      </c>
      <c r="C713" s="341" t="s">
        <v>168</v>
      </c>
      <c r="D713" s="341" t="s">
        <v>159</v>
      </c>
      <c r="E713" s="2">
        <v>850</v>
      </c>
      <c r="F713" s="2"/>
      <c r="G713" s="9">
        <f>'Пр.3 Рд,пр, ЦС,ВР 22'!F467</f>
        <v>0</v>
      </c>
      <c r="H713" s="9">
        <f>'Пр.3 Рд,пр, ЦС,ВР 22'!G467</f>
        <v>0</v>
      </c>
    </row>
    <row r="714" spans="1:8" ht="31.5" hidden="1" x14ac:dyDescent="0.25">
      <c r="A714" s="29" t="s">
        <v>302</v>
      </c>
      <c r="B714" s="346" t="s">
        <v>910</v>
      </c>
      <c r="C714" s="341" t="s">
        <v>168</v>
      </c>
      <c r="D714" s="341" t="s">
        <v>159</v>
      </c>
      <c r="E714" s="2">
        <v>850</v>
      </c>
      <c r="F714" s="2">
        <v>908</v>
      </c>
      <c r="G714" s="9">
        <f>G713</f>
        <v>0</v>
      </c>
      <c r="H714" s="9">
        <f>H713</f>
        <v>0</v>
      </c>
    </row>
    <row r="715" spans="1:8" ht="15.75" hidden="1" x14ac:dyDescent="0.25">
      <c r="A715" s="345" t="s">
        <v>276</v>
      </c>
      <c r="B715" s="346" t="s">
        <v>814</v>
      </c>
      <c r="C715" s="341" t="s">
        <v>168</v>
      </c>
      <c r="D715" s="341" t="s">
        <v>159</v>
      </c>
      <c r="E715" s="2"/>
      <c r="F715" s="2"/>
      <c r="G715" s="9">
        <f t="shared" ref="G715:H715" si="92">G716</f>
        <v>0</v>
      </c>
      <c r="H715" s="9">
        <f t="shared" si="92"/>
        <v>0</v>
      </c>
    </row>
    <row r="716" spans="1:8" ht="31.5" hidden="1" x14ac:dyDescent="0.25">
      <c r="A716" s="345" t="s">
        <v>123</v>
      </c>
      <c r="B716" s="346" t="s">
        <v>814</v>
      </c>
      <c r="C716" s="341" t="s">
        <v>168</v>
      </c>
      <c r="D716" s="341" t="s">
        <v>159</v>
      </c>
      <c r="E716" s="2">
        <v>200</v>
      </c>
      <c r="F716" s="2"/>
      <c r="G716" s="9">
        <f>G717</f>
        <v>0</v>
      </c>
      <c r="H716" s="9">
        <f>H717</f>
        <v>0</v>
      </c>
    </row>
    <row r="717" spans="1:8" ht="31.5" hidden="1" x14ac:dyDescent="0.25">
      <c r="A717" s="345" t="s">
        <v>125</v>
      </c>
      <c r="B717" s="346" t="s">
        <v>814</v>
      </c>
      <c r="C717" s="341" t="s">
        <v>168</v>
      </c>
      <c r="D717" s="341" t="s">
        <v>159</v>
      </c>
      <c r="E717" s="2">
        <v>240</v>
      </c>
      <c r="F717" s="2"/>
      <c r="G717" s="9">
        <f>'Пр.4 ведом.22'!G1219</f>
        <v>0</v>
      </c>
      <c r="H717" s="9">
        <f>'Пр.4 ведом.22'!H1219</f>
        <v>0</v>
      </c>
    </row>
    <row r="718" spans="1:8" ht="37.5" hidden="1" customHeight="1" x14ac:dyDescent="0.25">
      <c r="A718" s="29" t="s">
        <v>302</v>
      </c>
      <c r="B718" s="346" t="s">
        <v>814</v>
      </c>
      <c r="C718" s="341" t="s">
        <v>168</v>
      </c>
      <c r="D718" s="341" t="s">
        <v>159</v>
      </c>
      <c r="E718" s="2">
        <v>240</v>
      </c>
      <c r="F718" s="2">
        <v>908</v>
      </c>
      <c r="G718" s="9">
        <f>G717</f>
        <v>0</v>
      </c>
      <c r="H718" s="9">
        <f>H717</f>
        <v>0</v>
      </c>
    </row>
    <row r="719" spans="1:8" ht="15.75" x14ac:dyDescent="0.25">
      <c r="A719" s="345" t="s">
        <v>277</v>
      </c>
      <c r="B719" s="346" t="s">
        <v>800</v>
      </c>
      <c r="C719" s="341" t="s">
        <v>168</v>
      </c>
      <c r="D719" s="341" t="s">
        <v>159</v>
      </c>
      <c r="E719" s="2"/>
      <c r="F719" s="2"/>
      <c r="G719" s="9">
        <f t="shared" ref="G719:H720" si="93">G720</f>
        <v>50</v>
      </c>
      <c r="H719" s="9">
        <f t="shared" si="93"/>
        <v>50</v>
      </c>
    </row>
    <row r="720" spans="1:8" ht="31.5" x14ac:dyDescent="0.25">
      <c r="A720" s="345" t="s">
        <v>123</v>
      </c>
      <c r="B720" s="346" t="s">
        <v>800</v>
      </c>
      <c r="C720" s="341" t="s">
        <v>168</v>
      </c>
      <c r="D720" s="341" t="s">
        <v>159</v>
      </c>
      <c r="E720" s="2">
        <v>200</v>
      </c>
      <c r="F720" s="2"/>
      <c r="G720" s="9">
        <f t="shared" si="93"/>
        <v>50</v>
      </c>
      <c r="H720" s="9">
        <f t="shared" si="93"/>
        <v>50</v>
      </c>
    </row>
    <row r="721" spans="1:8" ht="31.5" x14ac:dyDescent="0.25">
      <c r="A721" s="345" t="s">
        <v>125</v>
      </c>
      <c r="B721" s="346" t="s">
        <v>800</v>
      </c>
      <c r="C721" s="341" t="s">
        <v>168</v>
      </c>
      <c r="D721" s="341" t="s">
        <v>159</v>
      </c>
      <c r="E721" s="2">
        <v>240</v>
      </c>
      <c r="F721" s="2"/>
      <c r="G721" s="9">
        <f>'Пр.4.1 ведом.23-24 '!G1104</f>
        <v>50</v>
      </c>
      <c r="H721" s="9">
        <f>'Пр.4.1 ведом.23-24 '!H1104</f>
        <v>50</v>
      </c>
    </row>
    <row r="722" spans="1:8" ht="39.200000000000003" customHeight="1" x14ac:dyDescent="0.25">
      <c r="A722" s="29" t="s">
        <v>302</v>
      </c>
      <c r="B722" s="346" t="s">
        <v>800</v>
      </c>
      <c r="C722" s="341" t="s">
        <v>168</v>
      </c>
      <c r="D722" s="341" t="s">
        <v>159</v>
      </c>
      <c r="E722" s="2">
        <v>240</v>
      </c>
      <c r="F722" s="2">
        <v>908</v>
      </c>
      <c r="G722" s="9">
        <f>G721</f>
        <v>50</v>
      </c>
      <c r="H722" s="9">
        <f>H721</f>
        <v>50</v>
      </c>
    </row>
    <row r="723" spans="1:8" ht="31.5" x14ac:dyDescent="0.25">
      <c r="A723" s="204" t="s">
        <v>922</v>
      </c>
      <c r="B723" s="346" t="s">
        <v>801</v>
      </c>
      <c r="C723" s="341" t="s">
        <v>168</v>
      </c>
      <c r="D723" s="341" t="s">
        <v>159</v>
      </c>
      <c r="E723" s="2"/>
      <c r="F723" s="2"/>
      <c r="G723" s="9">
        <f>G724+G727</f>
        <v>375</v>
      </c>
      <c r="H723" s="9">
        <f>H724+H727</f>
        <v>375</v>
      </c>
    </row>
    <row r="724" spans="1:8" ht="31.5" x14ac:dyDescent="0.25">
      <c r="A724" s="345" t="s">
        <v>123</v>
      </c>
      <c r="B724" s="346" t="s">
        <v>801</v>
      </c>
      <c r="C724" s="341" t="s">
        <v>168</v>
      </c>
      <c r="D724" s="341" t="s">
        <v>159</v>
      </c>
      <c r="E724" s="2">
        <v>200</v>
      </c>
      <c r="F724" s="2"/>
      <c r="G724" s="9">
        <f t="shared" ref="G724:H724" si="94">G725</f>
        <v>375</v>
      </c>
      <c r="H724" s="9">
        <f t="shared" si="94"/>
        <v>375</v>
      </c>
    </row>
    <row r="725" spans="1:8" ht="31.5" x14ac:dyDescent="0.25">
      <c r="A725" s="345" t="s">
        <v>125</v>
      </c>
      <c r="B725" s="346" t="s">
        <v>801</v>
      </c>
      <c r="C725" s="341" t="s">
        <v>168</v>
      </c>
      <c r="D725" s="341" t="s">
        <v>159</v>
      </c>
      <c r="E725" s="2">
        <v>240</v>
      </c>
      <c r="F725" s="2"/>
      <c r="G725" s="9">
        <f>'Пр.4.1 ведом.23-24 '!G1107</f>
        <v>375</v>
      </c>
      <c r="H725" s="9">
        <f>'Пр.4.1 ведом.23-24 '!H1107</f>
        <v>375</v>
      </c>
    </row>
    <row r="726" spans="1:8" ht="42" customHeight="1" x14ac:dyDescent="0.25">
      <c r="A726" s="29" t="s">
        <v>302</v>
      </c>
      <c r="B726" s="346" t="s">
        <v>801</v>
      </c>
      <c r="C726" s="341" t="s">
        <v>168</v>
      </c>
      <c r="D726" s="341" t="s">
        <v>159</v>
      </c>
      <c r="E726" s="2">
        <v>240</v>
      </c>
      <c r="F726" s="2">
        <v>908</v>
      </c>
      <c r="G726" s="9">
        <f>G725</f>
        <v>375</v>
      </c>
      <c r="H726" s="9">
        <f>H725</f>
        <v>375</v>
      </c>
    </row>
    <row r="727" spans="1:8" ht="15.75" hidden="1" x14ac:dyDescent="0.25">
      <c r="A727" s="20" t="s">
        <v>127</v>
      </c>
      <c r="B727" s="346" t="s">
        <v>801</v>
      </c>
      <c r="C727" s="341" t="s">
        <v>168</v>
      </c>
      <c r="D727" s="341" t="s">
        <v>159</v>
      </c>
      <c r="E727" s="2">
        <v>800</v>
      </c>
      <c r="F727" s="2"/>
      <c r="G727" s="9">
        <f>G728</f>
        <v>0</v>
      </c>
      <c r="H727" s="9">
        <f>H728</f>
        <v>0</v>
      </c>
    </row>
    <row r="728" spans="1:8" ht="15.75" hidden="1" x14ac:dyDescent="0.25">
      <c r="A728" s="345" t="s">
        <v>338</v>
      </c>
      <c r="B728" s="346" t="s">
        <v>801</v>
      </c>
      <c r="C728" s="341" t="s">
        <v>168</v>
      </c>
      <c r="D728" s="341" t="s">
        <v>159</v>
      </c>
      <c r="E728" s="2">
        <v>850</v>
      </c>
      <c r="F728" s="2"/>
      <c r="G728" s="9">
        <f>'Пр.4 ведом.22'!G1227</f>
        <v>0</v>
      </c>
      <c r="H728" s="9">
        <f>'Пр.4 ведом.22'!H1227</f>
        <v>0</v>
      </c>
    </row>
    <row r="729" spans="1:8" ht="31.5" x14ac:dyDescent="0.25">
      <c r="A729" s="29" t="s">
        <v>302</v>
      </c>
      <c r="B729" s="346" t="s">
        <v>801</v>
      </c>
      <c r="C729" s="341" t="s">
        <v>168</v>
      </c>
      <c r="D729" s="341" t="s">
        <v>159</v>
      </c>
      <c r="E729" s="2">
        <v>850</v>
      </c>
      <c r="F729" s="2">
        <v>908</v>
      </c>
      <c r="G729" s="9">
        <f>G728</f>
        <v>0</v>
      </c>
      <c r="H729" s="9">
        <f>H728</f>
        <v>0</v>
      </c>
    </row>
    <row r="730" spans="1:8" ht="15.75" hidden="1" customHeight="1" x14ac:dyDescent="0.25">
      <c r="A730" s="29" t="s">
        <v>278</v>
      </c>
      <c r="B730" s="346" t="s">
        <v>802</v>
      </c>
      <c r="C730" s="341" t="s">
        <v>168</v>
      </c>
      <c r="D730" s="341" t="s">
        <v>159</v>
      </c>
      <c r="E730" s="2"/>
      <c r="F730" s="2"/>
      <c r="G730" s="9">
        <f t="shared" ref="G730:H731" si="95">G731</f>
        <v>0</v>
      </c>
      <c r="H730" s="9">
        <f t="shared" si="95"/>
        <v>0</v>
      </c>
    </row>
    <row r="731" spans="1:8" ht="31.7" hidden="1" customHeight="1" x14ac:dyDescent="0.25">
      <c r="A731" s="345" t="s">
        <v>123</v>
      </c>
      <c r="B731" s="346" t="s">
        <v>802</v>
      </c>
      <c r="C731" s="341" t="s">
        <v>168</v>
      </c>
      <c r="D731" s="341" t="s">
        <v>159</v>
      </c>
      <c r="E731" s="2">
        <v>200</v>
      </c>
      <c r="F731" s="2"/>
      <c r="G731" s="9">
        <f t="shared" si="95"/>
        <v>0</v>
      </c>
      <c r="H731" s="9">
        <f t="shared" si="95"/>
        <v>0</v>
      </c>
    </row>
    <row r="732" spans="1:8" ht="31.7" hidden="1" customHeight="1" x14ac:dyDescent="0.25">
      <c r="A732" s="345" t="s">
        <v>125</v>
      </c>
      <c r="B732" s="346" t="s">
        <v>802</v>
      </c>
      <c r="C732" s="341" t="s">
        <v>168</v>
      </c>
      <c r="D732" s="341" t="s">
        <v>159</v>
      </c>
      <c r="E732" s="2">
        <v>240</v>
      </c>
      <c r="F732" s="2"/>
      <c r="G732" s="9">
        <f>'Пр.3 Рд,пр, ЦС,ВР 22'!F481</f>
        <v>0</v>
      </c>
      <c r="H732" s="9">
        <f>'Пр.3 Рд,пр, ЦС,ВР 22'!G481</f>
        <v>0</v>
      </c>
    </row>
    <row r="733" spans="1:8" ht="31.5" hidden="1" x14ac:dyDescent="0.25">
      <c r="A733" s="29" t="s">
        <v>302</v>
      </c>
      <c r="B733" s="346" t="s">
        <v>802</v>
      </c>
      <c r="C733" s="341" t="s">
        <v>168</v>
      </c>
      <c r="D733" s="341" t="s">
        <v>159</v>
      </c>
      <c r="E733" s="2">
        <v>850</v>
      </c>
      <c r="F733" s="2">
        <v>908</v>
      </c>
      <c r="G733" s="9">
        <f>G732</f>
        <v>0</v>
      </c>
      <c r="H733" s="9">
        <f>H732</f>
        <v>0</v>
      </c>
    </row>
    <row r="734" spans="1:8" ht="31.5" x14ac:dyDescent="0.25">
      <c r="A734" s="148" t="s">
        <v>640</v>
      </c>
      <c r="B734" s="346" t="s">
        <v>803</v>
      </c>
      <c r="C734" s="341" t="s">
        <v>168</v>
      </c>
      <c r="D734" s="341" t="s">
        <v>159</v>
      </c>
      <c r="E734" s="2"/>
      <c r="F734" s="2"/>
      <c r="G734" s="9">
        <f>G735</f>
        <v>50</v>
      </c>
      <c r="H734" s="9">
        <f>H735</f>
        <v>50</v>
      </c>
    </row>
    <row r="735" spans="1:8" ht="31.5" x14ac:dyDescent="0.25">
      <c r="A735" s="345" t="s">
        <v>123</v>
      </c>
      <c r="B735" s="346" t="s">
        <v>803</v>
      </c>
      <c r="C735" s="341" t="s">
        <v>168</v>
      </c>
      <c r="D735" s="341" t="s">
        <v>159</v>
      </c>
      <c r="E735" s="2">
        <v>200</v>
      </c>
      <c r="F735" s="2"/>
      <c r="G735" s="9">
        <f>G736</f>
        <v>50</v>
      </c>
      <c r="H735" s="9">
        <f>H736</f>
        <v>50</v>
      </c>
    </row>
    <row r="736" spans="1:8" ht="31.5" x14ac:dyDescent="0.25">
      <c r="A736" s="345" t="s">
        <v>125</v>
      </c>
      <c r="B736" s="346" t="s">
        <v>803</v>
      </c>
      <c r="C736" s="341" t="s">
        <v>168</v>
      </c>
      <c r="D736" s="341" t="s">
        <v>159</v>
      </c>
      <c r="E736" s="2">
        <v>240</v>
      </c>
      <c r="F736" s="2"/>
      <c r="G736" s="9">
        <f>'Пр.4.1 ведом.23-24 '!G1115</f>
        <v>50</v>
      </c>
      <c r="H736" s="9">
        <f>'Пр.4.1 ведом.23-24 '!H1115</f>
        <v>50</v>
      </c>
    </row>
    <row r="737" spans="1:8" ht="36.75" customHeight="1" x14ac:dyDescent="0.25">
      <c r="A737" s="29" t="s">
        <v>302</v>
      </c>
      <c r="B737" s="346" t="s">
        <v>803</v>
      </c>
      <c r="C737" s="341" t="s">
        <v>168</v>
      </c>
      <c r="D737" s="341" t="s">
        <v>159</v>
      </c>
      <c r="E737" s="2">
        <v>240</v>
      </c>
      <c r="F737" s="2">
        <v>908</v>
      </c>
      <c r="G737" s="9">
        <f>G736</f>
        <v>50</v>
      </c>
      <c r="H737" s="9">
        <f>H736</f>
        <v>50</v>
      </c>
    </row>
    <row r="738" spans="1:8" ht="31.5" x14ac:dyDescent="0.25">
      <c r="A738" s="298" t="s">
        <v>462</v>
      </c>
      <c r="B738" s="299" t="s">
        <v>813</v>
      </c>
      <c r="C738" s="6"/>
      <c r="D738" s="6"/>
      <c r="E738" s="3"/>
      <c r="F738" s="3"/>
      <c r="G738" s="35">
        <f>G739</f>
        <v>2145.8000000000002</v>
      </c>
      <c r="H738" s="35">
        <f>H739</f>
        <v>2145.8000000000002</v>
      </c>
    </row>
    <row r="739" spans="1:8" ht="15.75" x14ac:dyDescent="0.25">
      <c r="A739" s="45" t="s">
        <v>231</v>
      </c>
      <c r="B739" s="346" t="s">
        <v>813</v>
      </c>
      <c r="C739" s="341" t="s">
        <v>168</v>
      </c>
      <c r="D739" s="341"/>
      <c r="E739" s="2"/>
      <c r="F739" s="2"/>
      <c r="G739" s="9">
        <f t="shared" ref="G739:H739" si="96">G740</f>
        <v>2145.8000000000002</v>
      </c>
      <c r="H739" s="9">
        <f t="shared" si="96"/>
        <v>2145.8000000000002</v>
      </c>
    </row>
    <row r="740" spans="1:8" ht="15.75" x14ac:dyDescent="0.25">
      <c r="A740" s="45" t="s">
        <v>272</v>
      </c>
      <c r="B740" s="346" t="s">
        <v>813</v>
      </c>
      <c r="C740" s="341" t="s">
        <v>168</v>
      </c>
      <c r="D740" s="341" t="s">
        <v>159</v>
      </c>
      <c r="E740" s="2"/>
      <c r="F740" s="2"/>
      <c r="G740" s="9">
        <f>G741+G745</f>
        <v>2145.8000000000002</v>
      </c>
      <c r="H740" s="9">
        <f>H741+H745</f>
        <v>2145.8000000000002</v>
      </c>
    </row>
    <row r="741" spans="1:8" ht="31.5" hidden="1" x14ac:dyDescent="0.25">
      <c r="A741" s="345" t="s">
        <v>332</v>
      </c>
      <c r="B741" s="346" t="s">
        <v>835</v>
      </c>
      <c r="C741" s="341" t="s">
        <v>168</v>
      </c>
      <c r="D741" s="341" t="s">
        <v>159</v>
      </c>
      <c r="E741" s="2"/>
      <c r="F741" s="2"/>
      <c r="G741" s="9">
        <f>G742</f>
        <v>0</v>
      </c>
      <c r="H741" s="9">
        <f>H742</f>
        <v>0</v>
      </c>
    </row>
    <row r="742" spans="1:8" ht="31.5" hidden="1" x14ac:dyDescent="0.25">
      <c r="A742" s="345" t="s">
        <v>123</v>
      </c>
      <c r="B742" s="346" t="s">
        <v>835</v>
      </c>
      <c r="C742" s="341" t="s">
        <v>168</v>
      </c>
      <c r="D742" s="341" t="s">
        <v>159</v>
      </c>
      <c r="E742" s="346" t="s">
        <v>124</v>
      </c>
      <c r="F742" s="2"/>
      <c r="G742" s="9">
        <f>G743</f>
        <v>0</v>
      </c>
      <c r="H742" s="9">
        <f>H743</f>
        <v>0</v>
      </c>
    </row>
    <row r="743" spans="1:8" ht="31.5" hidden="1" x14ac:dyDescent="0.25">
      <c r="A743" s="345" t="s">
        <v>125</v>
      </c>
      <c r="B743" s="346" t="s">
        <v>835</v>
      </c>
      <c r="C743" s="341" t="s">
        <v>168</v>
      </c>
      <c r="D743" s="341" t="s">
        <v>159</v>
      </c>
      <c r="E743" s="346" t="s">
        <v>126</v>
      </c>
      <c r="F743" s="2"/>
      <c r="G743" s="9">
        <f>'Пр.3 Рд,пр, ЦС,ВР 22'!F488</f>
        <v>0</v>
      </c>
      <c r="H743" s="9">
        <f>'Пр.3 Рд,пр, ЦС,ВР 22'!G488</f>
        <v>0</v>
      </c>
    </row>
    <row r="744" spans="1:8" ht="31.5" hidden="1" x14ac:dyDescent="0.25">
      <c r="A744" s="29" t="s">
        <v>302</v>
      </c>
      <c r="B744" s="346" t="s">
        <v>835</v>
      </c>
      <c r="C744" s="341" t="s">
        <v>168</v>
      </c>
      <c r="D744" s="341" t="s">
        <v>159</v>
      </c>
      <c r="E744" s="346" t="s">
        <v>126</v>
      </c>
      <c r="F744" s="2">
        <v>908</v>
      </c>
      <c r="G744" s="9">
        <f>G743</f>
        <v>0</v>
      </c>
      <c r="H744" s="9">
        <f>H743</f>
        <v>0</v>
      </c>
    </row>
    <row r="745" spans="1:8" ht="63" x14ac:dyDescent="0.25">
      <c r="A745" s="345" t="s">
        <v>625</v>
      </c>
      <c r="B745" s="346" t="s">
        <v>812</v>
      </c>
      <c r="C745" s="341" t="s">
        <v>168</v>
      </c>
      <c r="D745" s="341" t="s">
        <v>159</v>
      </c>
      <c r="E745" s="346"/>
      <c r="F745" s="2"/>
      <c r="G745" s="9">
        <f>G746</f>
        <v>2145.8000000000002</v>
      </c>
      <c r="H745" s="9">
        <f>H746</f>
        <v>2145.8000000000002</v>
      </c>
    </row>
    <row r="746" spans="1:8" ht="31.5" x14ac:dyDescent="0.25">
      <c r="A746" s="345" t="s">
        <v>123</v>
      </c>
      <c r="B746" s="346" t="s">
        <v>812</v>
      </c>
      <c r="C746" s="341" t="s">
        <v>168</v>
      </c>
      <c r="D746" s="341" t="s">
        <v>159</v>
      </c>
      <c r="E746" s="346" t="s">
        <v>124</v>
      </c>
      <c r="F746" s="2"/>
      <c r="G746" s="9">
        <f>G747</f>
        <v>2145.8000000000002</v>
      </c>
      <c r="H746" s="9">
        <f>H747</f>
        <v>2145.8000000000002</v>
      </c>
    </row>
    <row r="747" spans="1:8" ht="31.5" x14ac:dyDescent="0.25">
      <c r="A747" s="345" t="s">
        <v>125</v>
      </c>
      <c r="B747" s="346" t="s">
        <v>812</v>
      </c>
      <c r="C747" s="341" t="s">
        <v>168</v>
      </c>
      <c r="D747" s="341" t="s">
        <v>159</v>
      </c>
      <c r="E747" s="346" t="s">
        <v>126</v>
      </c>
      <c r="F747" s="2"/>
      <c r="G747" s="9">
        <f>'Пр.4.1 ведом.23-24 '!G1122</f>
        <v>2145.8000000000002</v>
      </c>
      <c r="H747" s="9">
        <f>'Пр.4.1 ведом.23-24 '!H1122</f>
        <v>2145.8000000000002</v>
      </c>
    </row>
    <row r="748" spans="1:8" ht="38.25" customHeight="1" x14ac:dyDescent="0.25">
      <c r="A748" s="29" t="s">
        <v>302</v>
      </c>
      <c r="B748" s="346" t="s">
        <v>812</v>
      </c>
      <c r="C748" s="341" t="s">
        <v>168</v>
      </c>
      <c r="D748" s="341" t="s">
        <v>159</v>
      </c>
      <c r="E748" s="346" t="s">
        <v>126</v>
      </c>
      <c r="F748" s="2">
        <v>908</v>
      </c>
      <c r="G748" s="9">
        <f>G747</f>
        <v>2145.8000000000002</v>
      </c>
      <c r="H748" s="9">
        <f>H747</f>
        <v>2145.8000000000002</v>
      </c>
    </row>
    <row r="749" spans="1:8" ht="31.5" hidden="1" x14ac:dyDescent="0.25">
      <c r="A749" s="24" t="s">
        <v>1054</v>
      </c>
      <c r="B749" s="299" t="s">
        <v>1055</v>
      </c>
      <c r="C749" s="6"/>
      <c r="D749" s="6"/>
      <c r="E749" s="299"/>
      <c r="F749" s="3"/>
      <c r="G749" s="35">
        <f t="shared" ref="G749:H753" si="97">G750</f>
        <v>0</v>
      </c>
      <c r="H749" s="35">
        <f t="shared" si="97"/>
        <v>0</v>
      </c>
    </row>
    <row r="750" spans="1:8" ht="15.75" hidden="1" x14ac:dyDescent="0.25">
      <c r="A750" s="45" t="s">
        <v>231</v>
      </c>
      <c r="B750" s="346" t="s">
        <v>1055</v>
      </c>
      <c r="C750" s="341" t="s">
        <v>168</v>
      </c>
      <c r="D750" s="341"/>
      <c r="E750" s="346"/>
      <c r="F750" s="2"/>
      <c r="G750" s="9">
        <f t="shared" si="97"/>
        <v>0</v>
      </c>
      <c r="H750" s="9">
        <f t="shared" si="97"/>
        <v>0</v>
      </c>
    </row>
    <row r="751" spans="1:8" ht="15.75" hidden="1" x14ac:dyDescent="0.25">
      <c r="A751" s="45" t="s">
        <v>272</v>
      </c>
      <c r="B751" s="346" t="s">
        <v>1055</v>
      </c>
      <c r="C751" s="341" t="s">
        <v>168</v>
      </c>
      <c r="D751" s="341" t="s">
        <v>159</v>
      </c>
      <c r="E751" s="346"/>
      <c r="F751" s="2"/>
      <c r="G751" s="9">
        <f t="shared" si="97"/>
        <v>0</v>
      </c>
      <c r="H751" s="9">
        <f t="shared" si="97"/>
        <v>0</v>
      </c>
    </row>
    <row r="752" spans="1:8" ht="31.5" hidden="1" x14ac:dyDescent="0.25">
      <c r="A752" s="22" t="s">
        <v>1053</v>
      </c>
      <c r="B752" s="346" t="s">
        <v>1056</v>
      </c>
      <c r="C752" s="341" t="s">
        <v>168</v>
      </c>
      <c r="D752" s="341" t="s">
        <v>159</v>
      </c>
      <c r="E752" s="346"/>
      <c r="F752" s="2"/>
      <c r="G752" s="9">
        <f t="shared" si="97"/>
        <v>0</v>
      </c>
      <c r="H752" s="9">
        <f t="shared" si="97"/>
        <v>0</v>
      </c>
    </row>
    <row r="753" spans="1:8" ht="31.5" hidden="1" x14ac:dyDescent="0.25">
      <c r="A753" s="345" t="s">
        <v>123</v>
      </c>
      <c r="B753" s="346" t="s">
        <v>1056</v>
      </c>
      <c r="C753" s="341" t="s">
        <v>168</v>
      </c>
      <c r="D753" s="341" t="s">
        <v>159</v>
      </c>
      <c r="E753" s="346" t="s">
        <v>124</v>
      </c>
      <c r="F753" s="2"/>
      <c r="G753" s="9">
        <f t="shared" si="97"/>
        <v>0</v>
      </c>
      <c r="H753" s="9">
        <f t="shared" si="97"/>
        <v>0</v>
      </c>
    </row>
    <row r="754" spans="1:8" ht="31.5" hidden="1" x14ac:dyDescent="0.25">
      <c r="A754" s="345" t="s">
        <v>125</v>
      </c>
      <c r="B754" s="346" t="s">
        <v>1056</v>
      </c>
      <c r="C754" s="341" t="s">
        <v>168</v>
      </c>
      <c r="D754" s="341" t="s">
        <v>159</v>
      </c>
      <c r="E754" s="346" t="s">
        <v>126</v>
      </c>
      <c r="F754" s="2"/>
      <c r="G754" s="9">
        <f>'Пр.4 ведом.22'!G1244</f>
        <v>0</v>
      </c>
      <c r="H754" s="9">
        <f>'Пр.4 ведом.22'!H1244</f>
        <v>0</v>
      </c>
    </row>
    <row r="755" spans="1:8" ht="31.5" hidden="1" x14ac:dyDescent="0.25">
      <c r="A755" s="29" t="s">
        <v>302</v>
      </c>
      <c r="B755" s="346" t="s">
        <v>1056</v>
      </c>
      <c r="C755" s="341" t="s">
        <v>168</v>
      </c>
      <c r="D755" s="341" t="s">
        <v>159</v>
      </c>
      <c r="E755" s="346" t="s">
        <v>126</v>
      </c>
      <c r="F755" s="2">
        <v>908</v>
      </c>
      <c r="G755" s="9">
        <f>G754</f>
        <v>0</v>
      </c>
      <c r="H755" s="9">
        <f>H754</f>
        <v>0</v>
      </c>
    </row>
    <row r="756" spans="1:8" s="397" customFormat="1" ht="37.5" customHeight="1" x14ac:dyDescent="0.25">
      <c r="A756" s="405" t="s">
        <v>1080</v>
      </c>
      <c r="B756" s="406" t="s">
        <v>1079</v>
      </c>
      <c r="C756" s="399"/>
      <c r="D756" s="399"/>
      <c r="E756" s="406"/>
      <c r="F756" s="407"/>
      <c r="G756" s="403">
        <f t="shared" ref="G756:H760" si="98">G757</f>
        <v>4487.6399999999994</v>
      </c>
      <c r="H756" s="403">
        <f t="shared" si="98"/>
        <v>4487.6399999999994</v>
      </c>
    </row>
    <row r="757" spans="1:8" s="397" customFormat="1" ht="15.75" x14ac:dyDescent="0.25">
      <c r="A757" s="408" t="s">
        <v>231</v>
      </c>
      <c r="B757" s="394" t="s">
        <v>1079</v>
      </c>
      <c r="C757" s="395" t="s">
        <v>168</v>
      </c>
      <c r="D757" s="395"/>
      <c r="E757" s="394"/>
      <c r="F757" s="402"/>
      <c r="G757" s="392">
        <f t="shared" si="98"/>
        <v>4487.6399999999994</v>
      </c>
      <c r="H757" s="392">
        <f t="shared" si="98"/>
        <v>4487.6399999999994</v>
      </c>
    </row>
    <row r="758" spans="1:8" s="397" customFormat="1" ht="15.75" x14ac:dyDescent="0.25">
      <c r="A758" s="408" t="s">
        <v>272</v>
      </c>
      <c r="B758" s="394" t="s">
        <v>1079</v>
      </c>
      <c r="C758" s="395" t="s">
        <v>168</v>
      </c>
      <c r="D758" s="395" t="s">
        <v>159</v>
      </c>
      <c r="E758" s="394"/>
      <c r="F758" s="402"/>
      <c r="G758" s="392">
        <f t="shared" si="98"/>
        <v>4487.6399999999994</v>
      </c>
      <c r="H758" s="392">
        <f t="shared" si="98"/>
        <v>4487.6399999999994</v>
      </c>
    </row>
    <row r="759" spans="1:8" s="397" customFormat="1" ht="15.75" x14ac:dyDescent="0.25">
      <c r="A759" s="393" t="s">
        <v>1146</v>
      </c>
      <c r="B759" s="394" t="s">
        <v>1088</v>
      </c>
      <c r="C759" s="395" t="s">
        <v>168</v>
      </c>
      <c r="D759" s="395" t="s">
        <v>159</v>
      </c>
      <c r="E759" s="394"/>
      <c r="F759" s="402"/>
      <c r="G759" s="392">
        <f t="shared" si="98"/>
        <v>4487.6399999999994</v>
      </c>
      <c r="H759" s="392">
        <f t="shared" si="98"/>
        <v>4487.6399999999994</v>
      </c>
    </row>
    <row r="760" spans="1:8" s="397" customFormat="1" ht="31.5" x14ac:dyDescent="0.25">
      <c r="A760" s="391" t="s">
        <v>123</v>
      </c>
      <c r="B760" s="394" t="s">
        <v>1088</v>
      </c>
      <c r="C760" s="395" t="s">
        <v>168</v>
      </c>
      <c r="D760" s="395" t="s">
        <v>159</v>
      </c>
      <c r="E760" s="394" t="s">
        <v>124</v>
      </c>
      <c r="F760" s="402"/>
      <c r="G760" s="392">
        <f t="shared" si="98"/>
        <v>4487.6399999999994</v>
      </c>
      <c r="H760" s="392">
        <f t="shared" si="98"/>
        <v>4487.6399999999994</v>
      </c>
    </row>
    <row r="761" spans="1:8" s="397" customFormat="1" ht="31.5" x14ac:dyDescent="0.25">
      <c r="A761" s="391" t="s">
        <v>125</v>
      </c>
      <c r="B761" s="394" t="s">
        <v>1088</v>
      </c>
      <c r="C761" s="395" t="s">
        <v>168</v>
      </c>
      <c r="D761" s="395" t="s">
        <v>159</v>
      </c>
      <c r="E761" s="394" t="s">
        <v>126</v>
      </c>
      <c r="F761" s="402"/>
      <c r="G761" s="392">
        <f>'Пр.4.1 ведом.23-24 '!G1130</f>
        <v>4487.6399999999994</v>
      </c>
      <c r="H761" s="392">
        <f>'Пр.4.1 ведом.23-24 '!H1130</f>
        <v>4487.6399999999994</v>
      </c>
    </row>
    <row r="762" spans="1:8" s="397" customFormat="1" ht="31.5" x14ac:dyDescent="0.25">
      <c r="A762" s="398" t="s">
        <v>302</v>
      </c>
      <c r="B762" s="394" t="s">
        <v>1088</v>
      </c>
      <c r="C762" s="395" t="s">
        <v>168</v>
      </c>
      <c r="D762" s="395" t="s">
        <v>159</v>
      </c>
      <c r="E762" s="394" t="s">
        <v>126</v>
      </c>
      <c r="F762" s="402">
        <v>908</v>
      </c>
      <c r="G762" s="392">
        <f>G761</f>
        <v>4487.6399999999994</v>
      </c>
      <c r="H762" s="392">
        <f>H761</f>
        <v>4487.6399999999994</v>
      </c>
    </row>
    <row r="763" spans="1:8" ht="39.75" customHeight="1" x14ac:dyDescent="0.25">
      <c r="A763" s="24" t="s">
        <v>848</v>
      </c>
      <c r="B763" s="119" t="s">
        <v>147</v>
      </c>
      <c r="C763" s="6"/>
      <c r="D763" s="6"/>
      <c r="E763" s="6"/>
      <c r="F763" s="3"/>
      <c r="G763" s="35">
        <f>G764+G771</f>
        <v>19.199999999999989</v>
      </c>
      <c r="H763" s="35">
        <f>H764+H771</f>
        <v>274.2</v>
      </c>
    </row>
    <row r="764" spans="1:8" ht="31.5" x14ac:dyDescent="0.25">
      <c r="A764" s="24" t="s">
        <v>567</v>
      </c>
      <c r="B764" s="119" t="s">
        <v>451</v>
      </c>
      <c r="C764" s="6"/>
      <c r="D764" s="6"/>
      <c r="E764" s="6"/>
      <c r="F764" s="3"/>
      <c r="G764" s="35">
        <f>G765</f>
        <v>19.199999999999989</v>
      </c>
      <c r="H764" s="35">
        <f>H765</f>
        <v>274.2</v>
      </c>
    </row>
    <row r="765" spans="1:8" ht="15.75" x14ac:dyDescent="0.25">
      <c r="A765" s="20" t="s">
        <v>166</v>
      </c>
      <c r="B765" s="4" t="s">
        <v>451</v>
      </c>
      <c r="C765" s="341" t="s">
        <v>139</v>
      </c>
      <c r="D765" s="341"/>
      <c r="E765" s="341"/>
      <c r="F765" s="2"/>
      <c r="G765" s="9">
        <f t="shared" ref="G765:H768" si="99">G766</f>
        <v>19.199999999999989</v>
      </c>
      <c r="H765" s="9">
        <f t="shared" si="99"/>
        <v>274.2</v>
      </c>
    </row>
    <row r="766" spans="1:8" ht="15.75" x14ac:dyDescent="0.25">
      <c r="A766" s="20" t="s">
        <v>167</v>
      </c>
      <c r="B766" s="21" t="s">
        <v>451</v>
      </c>
      <c r="C766" s="341" t="s">
        <v>139</v>
      </c>
      <c r="D766" s="341" t="s">
        <v>168</v>
      </c>
      <c r="E766" s="341"/>
      <c r="F766" s="2"/>
      <c r="G766" s="9">
        <f>G767</f>
        <v>19.199999999999989</v>
      </c>
      <c r="H766" s="9">
        <f>H767</f>
        <v>274.2</v>
      </c>
    </row>
    <row r="767" spans="1:8" ht="31.5" x14ac:dyDescent="0.25">
      <c r="A767" s="345" t="s">
        <v>169</v>
      </c>
      <c r="B767" s="346" t="s">
        <v>467</v>
      </c>
      <c r="C767" s="341" t="s">
        <v>139</v>
      </c>
      <c r="D767" s="341" t="s">
        <v>168</v>
      </c>
      <c r="E767" s="341"/>
      <c r="F767" s="2"/>
      <c r="G767" s="9">
        <f t="shared" si="99"/>
        <v>19.199999999999989</v>
      </c>
      <c r="H767" s="9">
        <f t="shared" si="99"/>
        <v>274.2</v>
      </c>
    </row>
    <row r="768" spans="1:8" ht="15.75" x14ac:dyDescent="0.25">
      <c r="A768" s="20" t="s">
        <v>127</v>
      </c>
      <c r="B768" s="346" t="s">
        <v>467</v>
      </c>
      <c r="C768" s="341" t="s">
        <v>139</v>
      </c>
      <c r="D768" s="341" t="s">
        <v>168</v>
      </c>
      <c r="E768" s="341" t="s">
        <v>134</v>
      </c>
      <c r="F768" s="2"/>
      <c r="G768" s="9">
        <f t="shared" si="99"/>
        <v>19.199999999999989</v>
      </c>
      <c r="H768" s="9">
        <f t="shared" si="99"/>
        <v>274.2</v>
      </c>
    </row>
    <row r="769" spans="1:8" ht="47.25" x14ac:dyDescent="0.25">
      <c r="A769" s="20" t="s">
        <v>148</v>
      </c>
      <c r="B769" s="346" t="s">
        <v>467</v>
      </c>
      <c r="C769" s="341" t="s">
        <v>139</v>
      </c>
      <c r="D769" s="341" t="s">
        <v>168</v>
      </c>
      <c r="E769" s="341" t="s">
        <v>142</v>
      </c>
      <c r="F769" s="2"/>
      <c r="G769" s="9">
        <f>'Пр.4.1 ведом.23-24 '!G207</f>
        <v>19.199999999999989</v>
      </c>
      <c r="H769" s="9">
        <f>'Пр.4.1 ведом.23-24 '!H207</f>
        <v>274.2</v>
      </c>
    </row>
    <row r="770" spans="1:8" ht="23.25" customHeight="1" x14ac:dyDescent="0.25">
      <c r="A770" s="20" t="s">
        <v>137</v>
      </c>
      <c r="B770" s="346" t="s">
        <v>467</v>
      </c>
      <c r="C770" s="341" t="s">
        <v>139</v>
      </c>
      <c r="D770" s="341" t="s">
        <v>168</v>
      </c>
      <c r="E770" s="341" t="s">
        <v>142</v>
      </c>
      <c r="F770" s="2">
        <v>902</v>
      </c>
      <c r="G770" s="9">
        <f>G769</f>
        <v>19.199999999999989</v>
      </c>
      <c r="H770" s="9">
        <f>H769</f>
        <v>274.2</v>
      </c>
    </row>
    <row r="771" spans="1:8" ht="47.25" hidden="1" x14ac:dyDescent="0.25">
      <c r="A771" s="135" t="s">
        <v>568</v>
      </c>
      <c r="B771" s="299" t="s">
        <v>453</v>
      </c>
      <c r="C771" s="341"/>
      <c r="D771" s="341"/>
      <c r="E771" s="341"/>
      <c r="F771" s="2"/>
      <c r="G771" s="9">
        <f t="shared" ref="G771:H775" si="100">G772</f>
        <v>0</v>
      </c>
      <c r="H771" s="9">
        <f t="shared" si="100"/>
        <v>0</v>
      </c>
    </row>
    <row r="772" spans="1:8" ht="15.75" hidden="1" x14ac:dyDescent="0.25">
      <c r="A772" s="20" t="s">
        <v>166</v>
      </c>
      <c r="B772" s="346" t="s">
        <v>453</v>
      </c>
      <c r="C772" s="341" t="s">
        <v>139</v>
      </c>
      <c r="D772" s="341"/>
      <c r="E772" s="341"/>
      <c r="F772" s="2"/>
      <c r="G772" s="9">
        <f t="shared" si="100"/>
        <v>0</v>
      </c>
      <c r="H772" s="9">
        <f t="shared" si="100"/>
        <v>0</v>
      </c>
    </row>
    <row r="773" spans="1:8" ht="15.75" hidden="1" x14ac:dyDescent="0.25">
      <c r="A773" s="20" t="s">
        <v>167</v>
      </c>
      <c r="B773" s="346" t="s">
        <v>453</v>
      </c>
      <c r="C773" s="341" t="s">
        <v>139</v>
      </c>
      <c r="D773" s="341" t="s">
        <v>168</v>
      </c>
      <c r="E773" s="341"/>
      <c r="F773" s="2"/>
      <c r="G773" s="9">
        <f t="shared" si="100"/>
        <v>0</v>
      </c>
      <c r="H773" s="9">
        <f t="shared" si="100"/>
        <v>0</v>
      </c>
    </row>
    <row r="774" spans="1:8" ht="15.75" hidden="1" x14ac:dyDescent="0.25">
      <c r="A774" s="345" t="s">
        <v>452</v>
      </c>
      <c r="B774" s="4" t="s">
        <v>468</v>
      </c>
      <c r="C774" s="341" t="s">
        <v>139</v>
      </c>
      <c r="D774" s="341" t="s">
        <v>168</v>
      </c>
      <c r="E774" s="341"/>
      <c r="F774" s="2"/>
      <c r="G774" s="9">
        <f t="shared" si="100"/>
        <v>0</v>
      </c>
      <c r="H774" s="9">
        <f t="shared" si="100"/>
        <v>0</v>
      </c>
    </row>
    <row r="775" spans="1:8" ht="15.75" hidden="1" x14ac:dyDescent="0.25">
      <c r="A775" s="20" t="s">
        <v>127</v>
      </c>
      <c r="B775" s="4" t="s">
        <v>468</v>
      </c>
      <c r="C775" s="341" t="s">
        <v>139</v>
      </c>
      <c r="D775" s="341" t="s">
        <v>168</v>
      </c>
      <c r="E775" s="341" t="s">
        <v>134</v>
      </c>
      <c r="F775" s="2"/>
      <c r="G775" s="9">
        <f t="shared" si="100"/>
        <v>0</v>
      </c>
      <c r="H775" s="9">
        <f t="shared" si="100"/>
        <v>0</v>
      </c>
    </row>
    <row r="776" spans="1:8" ht="47.25" hidden="1" x14ac:dyDescent="0.25">
      <c r="A776" s="20" t="s">
        <v>148</v>
      </c>
      <c r="B776" s="4" t="s">
        <v>468</v>
      </c>
      <c r="C776" s="341" t="s">
        <v>139</v>
      </c>
      <c r="D776" s="341" t="s">
        <v>168</v>
      </c>
      <c r="E776" s="341" t="s">
        <v>142</v>
      </c>
      <c r="F776" s="2"/>
      <c r="G776" s="9">
        <f>'Пр.3 Рд,пр, ЦС,ВР 22'!F305</f>
        <v>0</v>
      </c>
      <c r="H776" s="9">
        <f>'Пр.3 Рд,пр, ЦС,ВР 22'!G305</f>
        <v>0</v>
      </c>
    </row>
    <row r="777" spans="1:8" ht="19.5" hidden="1" customHeight="1" x14ac:dyDescent="0.25">
      <c r="A777" s="20" t="s">
        <v>137</v>
      </c>
      <c r="B777" s="4" t="s">
        <v>468</v>
      </c>
      <c r="C777" s="341" t="s">
        <v>139</v>
      </c>
      <c r="D777" s="341" t="s">
        <v>168</v>
      </c>
      <c r="E777" s="341" t="s">
        <v>142</v>
      </c>
      <c r="F777" s="2">
        <v>902</v>
      </c>
      <c r="G777" s="9">
        <f>G776</f>
        <v>0</v>
      </c>
      <c r="H777" s="9">
        <f>H776</f>
        <v>0</v>
      </c>
    </row>
    <row r="778" spans="1:8" ht="52.5" customHeight="1" x14ac:dyDescent="0.25">
      <c r="A778" s="340" t="s">
        <v>982</v>
      </c>
      <c r="B778" s="6" t="s">
        <v>263</v>
      </c>
      <c r="C778" s="6"/>
      <c r="D778" s="6"/>
      <c r="E778" s="44"/>
      <c r="F778" s="3"/>
      <c r="G778" s="35">
        <f>G779+G786+G793+G800+G807+G814+G821</f>
        <v>1315.96</v>
      </c>
      <c r="H778" s="35">
        <f>H779+H786+H793+H800+H807+H814+H821</f>
        <v>700</v>
      </c>
    </row>
    <row r="779" spans="1:8" ht="31.7" customHeight="1" x14ac:dyDescent="0.25">
      <c r="A779" s="298" t="s">
        <v>526</v>
      </c>
      <c r="B779" s="299" t="s">
        <v>528</v>
      </c>
      <c r="C779" s="341"/>
      <c r="D779" s="341"/>
      <c r="E779" s="341"/>
      <c r="F779" s="2"/>
      <c r="G779" s="35">
        <f>G780</f>
        <v>700</v>
      </c>
      <c r="H779" s="35">
        <f>H780</f>
        <v>700</v>
      </c>
    </row>
    <row r="780" spans="1:8" ht="18" customHeight="1" x14ac:dyDescent="0.25">
      <c r="A780" s="20" t="s">
        <v>231</v>
      </c>
      <c r="B780" s="341" t="s">
        <v>528</v>
      </c>
      <c r="C780" s="341" t="s">
        <v>168</v>
      </c>
      <c r="D780" s="341"/>
      <c r="E780" s="45"/>
      <c r="F780" s="2"/>
      <c r="G780" s="9">
        <f t="shared" ref="G780:H780" si="101">G781</f>
        <v>700</v>
      </c>
      <c r="H780" s="9">
        <f t="shared" si="101"/>
        <v>700</v>
      </c>
    </row>
    <row r="781" spans="1:8" ht="19.5" customHeight="1" x14ac:dyDescent="0.25">
      <c r="A781" s="20" t="s">
        <v>262</v>
      </c>
      <c r="B781" s="341" t="s">
        <v>528</v>
      </c>
      <c r="C781" s="341" t="s">
        <v>168</v>
      </c>
      <c r="D781" s="341" t="s">
        <v>158</v>
      </c>
      <c r="E781" s="45"/>
      <c r="F781" s="2"/>
      <c r="G781" s="9">
        <f>G782</f>
        <v>700</v>
      </c>
      <c r="H781" s="9">
        <f>H782</f>
        <v>700</v>
      </c>
    </row>
    <row r="782" spans="1:8" ht="15.75" x14ac:dyDescent="0.25">
      <c r="A782" s="29" t="s">
        <v>264</v>
      </c>
      <c r="B782" s="346" t="s">
        <v>529</v>
      </c>
      <c r="C782" s="341" t="s">
        <v>168</v>
      </c>
      <c r="D782" s="341" t="s">
        <v>158</v>
      </c>
      <c r="E782" s="341"/>
      <c r="F782" s="2"/>
      <c r="G782" s="9">
        <f t="shared" ref="G782:H783" si="102">G783</f>
        <v>700</v>
      </c>
      <c r="H782" s="9">
        <f t="shared" si="102"/>
        <v>700</v>
      </c>
    </row>
    <row r="783" spans="1:8" ht="31.5" x14ac:dyDescent="0.25">
      <c r="A783" s="22" t="s">
        <v>123</v>
      </c>
      <c r="B783" s="346" t="s">
        <v>529</v>
      </c>
      <c r="C783" s="341" t="s">
        <v>168</v>
      </c>
      <c r="D783" s="341" t="s">
        <v>158</v>
      </c>
      <c r="E783" s="341" t="s">
        <v>124</v>
      </c>
      <c r="F783" s="2"/>
      <c r="G783" s="9">
        <f t="shared" si="102"/>
        <v>700</v>
      </c>
      <c r="H783" s="9">
        <f t="shared" si="102"/>
        <v>700</v>
      </c>
    </row>
    <row r="784" spans="1:8" ht="31.5" x14ac:dyDescent="0.25">
      <c r="A784" s="22" t="s">
        <v>125</v>
      </c>
      <c r="B784" s="346" t="s">
        <v>529</v>
      </c>
      <c r="C784" s="341" t="s">
        <v>168</v>
      </c>
      <c r="D784" s="341" t="s">
        <v>158</v>
      </c>
      <c r="E784" s="341" t="s">
        <v>126</v>
      </c>
      <c r="F784" s="2"/>
      <c r="G784" s="9">
        <f>'Пр.4.1 ведом.23-24 '!G1048</f>
        <v>700</v>
      </c>
      <c r="H784" s="9">
        <f>'Пр.4.1 ведом.23-24 '!H1048</f>
        <v>700</v>
      </c>
    </row>
    <row r="785" spans="1:8" ht="36.75" customHeight="1" x14ac:dyDescent="0.25">
      <c r="A785" s="29" t="s">
        <v>302</v>
      </c>
      <c r="B785" s="346" t="s">
        <v>529</v>
      </c>
      <c r="C785" s="341" t="s">
        <v>168</v>
      </c>
      <c r="D785" s="341" t="s">
        <v>158</v>
      </c>
      <c r="E785" s="341" t="s">
        <v>126</v>
      </c>
      <c r="F785" s="2">
        <v>908</v>
      </c>
      <c r="G785" s="295">
        <f>G784</f>
        <v>700</v>
      </c>
      <c r="H785" s="295">
        <f>H784</f>
        <v>700</v>
      </c>
    </row>
    <row r="786" spans="1:8" ht="31.5" hidden="1" x14ac:dyDescent="0.25">
      <c r="A786" s="24" t="s">
        <v>530</v>
      </c>
      <c r="B786" s="299" t="s">
        <v>531</v>
      </c>
      <c r="C786" s="341"/>
      <c r="D786" s="341"/>
      <c r="E786" s="341"/>
      <c r="F786" s="2"/>
      <c r="G786" s="35">
        <f>G787</f>
        <v>30</v>
      </c>
      <c r="H786" s="35">
        <f>H787</f>
        <v>0</v>
      </c>
    </row>
    <row r="787" spans="1:8" ht="15.75" hidden="1" x14ac:dyDescent="0.25">
      <c r="A787" s="20" t="s">
        <v>231</v>
      </c>
      <c r="B787" s="341" t="s">
        <v>531</v>
      </c>
      <c r="C787" s="341" t="s">
        <v>168</v>
      </c>
      <c r="D787" s="341"/>
      <c r="E787" s="45"/>
      <c r="F787" s="2"/>
      <c r="G787" s="9">
        <f t="shared" ref="G787:H787" si="103">G788</f>
        <v>30</v>
      </c>
      <c r="H787" s="9">
        <f t="shared" si="103"/>
        <v>0</v>
      </c>
    </row>
    <row r="788" spans="1:8" ht="15.75" hidden="1" x14ac:dyDescent="0.25">
      <c r="A788" s="20" t="s">
        <v>262</v>
      </c>
      <c r="B788" s="341" t="s">
        <v>531</v>
      </c>
      <c r="C788" s="341" t="s">
        <v>168</v>
      </c>
      <c r="D788" s="341" t="s">
        <v>158</v>
      </c>
      <c r="E788" s="45"/>
      <c r="F788" s="2"/>
      <c r="G788" s="9">
        <f>G789</f>
        <v>30</v>
      </c>
      <c r="H788" s="9">
        <f>H789</f>
        <v>0</v>
      </c>
    </row>
    <row r="789" spans="1:8" ht="15.75" hidden="1" customHeight="1" x14ac:dyDescent="0.25">
      <c r="A789" s="29" t="s">
        <v>265</v>
      </c>
      <c r="B789" s="346" t="s">
        <v>534</v>
      </c>
      <c r="C789" s="341" t="s">
        <v>168</v>
      </c>
      <c r="D789" s="341" t="s">
        <v>158</v>
      </c>
      <c r="E789" s="341"/>
      <c r="F789" s="2"/>
      <c r="G789" s="9">
        <f>G790</f>
        <v>30</v>
      </c>
      <c r="H789" s="9">
        <f>H790</f>
        <v>0</v>
      </c>
    </row>
    <row r="790" spans="1:8" ht="31.7" hidden="1" customHeight="1" x14ac:dyDescent="0.25">
      <c r="A790" s="22" t="s">
        <v>123</v>
      </c>
      <c r="B790" s="346" t="s">
        <v>534</v>
      </c>
      <c r="C790" s="341" t="s">
        <v>168</v>
      </c>
      <c r="D790" s="341" t="s">
        <v>158</v>
      </c>
      <c r="E790" s="341" t="s">
        <v>124</v>
      </c>
      <c r="F790" s="2"/>
      <c r="G790" s="9">
        <f t="shared" ref="G790:H790" si="104">G791</f>
        <v>30</v>
      </c>
      <c r="H790" s="9">
        <f t="shared" si="104"/>
        <v>0</v>
      </c>
    </row>
    <row r="791" spans="1:8" ht="31.7" hidden="1" customHeight="1" x14ac:dyDescent="0.25">
      <c r="A791" s="22" t="s">
        <v>125</v>
      </c>
      <c r="B791" s="346" t="s">
        <v>534</v>
      </c>
      <c r="C791" s="341" t="s">
        <v>168</v>
      </c>
      <c r="D791" s="341" t="s">
        <v>158</v>
      </c>
      <c r="E791" s="341" t="s">
        <v>126</v>
      </c>
      <c r="F791" s="2"/>
      <c r="G791" s="9">
        <f>'Пр.3 Рд,пр, ЦС,ВР 22'!F415</f>
        <v>30</v>
      </c>
      <c r="H791" s="9">
        <f>'Пр.3 Рд,пр, ЦС,ВР 22'!G415</f>
        <v>0</v>
      </c>
    </row>
    <row r="792" spans="1:8" ht="31.7" hidden="1" customHeight="1" x14ac:dyDescent="0.25">
      <c r="A792" s="29" t="s">
        <v>302</v>
      </c>
      <c r="B792" s="346" t="s">
        <v>534</v>
      </c>
      <c r="C792" s="341" t="s">
        <v>168</v>
      </c>
      <c r="D792" s="341" t="s">
        <v>158</v>
      </c>
      <c r="E792" s="341" t="s">
        <v>126</v>
      </c>
      <c r="F792" s="2">
        <v>908</v>
      </c>
      <c r="G792" s="295">
        <f>G791</f>
        <v>30</v>
      </c>
      <c r="H792" s="295">
        <f>H791</f>
        <v>0</v>
      </c>
    </row>
    <row r="793" spans="1:8" ht="35.450000000000003" hidden="1" customHeight="1" x14ac:dyDescent="0.25">
      <c r="A793" s="34" t="s">
        <v>532</v>
      </c>
      <c r="B793" s="299" t="s">
        <v>533</v>
      </c>
      <c r="C793" s="341"/>
      <c r="D793" s="341"/>
      <c r="E793" s="341"/>
      <c r="F793" s="2"/>
      <c r="G793" s="35">
        <f>G794</f>
        <v>500</v>
      </c>
      <c r="H793" s="35">
        <f>H794</f>
        <v>0</v>
      </c>
    </row>
    <row r="794" spans="1:8" ht="15.75" hidden="1" customHeight="1" x14ac:dyDescent="0.25">
      <c r="A794" s="20" t="s">
        <v>231</v>
      </c>
      <c r="B794" s="341" t="s">
        <v>533</v>
      </c>
      <c r="C794" s="341" t="s">
        <v>168</v>
      </c>
      <c r="D794" s="341"/>
      <c r="E794" s="45"/>
      <c r="F794" s="2"/>
      <c r="G794" s="9">
        <f t="shared" ref="G794:H794" si="105">G795</f>
        <v>500</v>
      </c>
      <c r="H794" s="9">
        <f t="shared" si="105"/>
        <v>0</v>
      </c>
    </row>
    <row r="795" spans="1:8" ht="15.75" hidden="1" customHeight="1" x14ac:dyDescent="0.25">
      <c r="A795" s="20" t="s">
        <v>262</v>
      </c>
      <c r="B795" s="341" t="s">
        <v>533</v>
      </c>
      <c r="C795" s="341" t="s">
        <v>168</v>
      </c>
      <c r="D795" s="341" t="s">
        <v>158</v>
      </c>
      <c r="E795" s="45"/>
      <c r="F795" s="2"/>
      <c r="G795" s="9">
        <f>G796</f>
        <v>500</v>
      </c>
      <c r="H795" s="9">
        <f>H796</f>
        <v>0</v>
      </c>
    </row>
    <row r="796" spans="1:8" ht="15.75" hidden="1" customHeight="1" x14ac:dyDescent="0.25">
      <c r="A796" s="29" t="s">
        <v>266</v>
      </c>
      <c r="B796" s="346" t="s">
        <v>535</v>
      </c>
      <c r="C796" s="341" t="s">
        <v>168</v>
      </c>
      <c r="D796" s="341" t="s">
        <v>158</v>
      </c>
      <c r="E796" s="341"/>
      <c r="F796" s="2"/>
      <c r="G796" s="9">
        <f>G797</f>
        <v>500</v>
      </c>
      <c r="H796" s="9">
        <f>H797</f>
        <v>0</v>
      </c>
    </row>
    <row r="797" spans="1:8" ht="31.7" hidden="1" customHeight="1" x14ac:dyDescent="0.25">
      <c r="A797" s="22" t="s">
        <v>123</v>
      </c>
      <c r="B797" s="346" t="s">
        <v>535</v>
      </c>
      <c r="C797" s="341" t="s">
        <v>168</v>
      </c>
      <c r="D797" s="341" t="s">
        <v>158</v>
      </c>
      <c r="E797" s="341" t="s">
        <v>124</v>
      </c>
      <c r="F797" s="2"/>
      <c r="G797" s="9">
        <f t="shared" ref="G797:H797" si="106">G798</f>
        <v>500</v>
      </c>
      <c r="H797" s="9">
        <f t="shared" si="106"/>
        <v>0</v>
      </c>
    </row>
    <row r="798" spans="1:8" ht="31.7" hidden="1" customHeight="1" x14ac:dyDescent="0.25">
      <c r="A798" s="22" t="s">
        <v>125</v>
      </c>
      <c r="B798" s="346" t="s">
        <v>535</v>
      </c>
      <c r="C798" s="341" t="s">
        <v>168</v>
      </c>
      <c r="D798" s="341" t="s">
        <v>158</v>
      </c>
      <c r="E798" s="341" t="s">
        <v>126</v>
      </c>
      <c r="F798" s="2"/>
      <c r="G798" s="9">
        <f>'Пр.3 Рд,пр, ЦС,ВР 22'!F421</f>
        <v>500</v>
      </c>
      <c r="H798" s="9">
        <f>'Пр.3 Рд,пр, ЦС,ВР 22'!G421</f>
        <v>0</v>
      </c>
    </row>
    <row r="799" spans="1:8" ht="31.7" hidden="1" customHeight="1" x14ac:dyDescent="0.25">
      <c r="A799" s="29" t="s">
        <v>302</v>
      </c>
      <c r="B799" s="346" t="s">
        <v>535</v>
      </c>
      <c r="C799" s="341" t="s">
        <v>168</v>
      </c>
      <c r="D799" s="341" t="s">
        <v>158</v>
      </c>
      <c r="E799" s="341" t="s">
        <v>126</v>
      </c>
      <c r="F799" s="2">
        <v>908</v>
      </c>
      <c r="G799" s="295">
        <f>G798</f>
        <v>500</v>
      </c>
      <c r="H799" s="295">
        <f>H798</f>
        <v>0</v>
      </c>
    </row>
    <row r="800" spans="1:8" ht="35.450000000000003" hidden="1" customHeight="1" x14ac:dyDescent="0.25">
      <c r="A800" s="34" t="s">
        <v>536</v>
      </c>
      <c r="B800" s="299" t="s">
        <v>537</v>
      </c>
      <c r="C800" s="341"/>
      <c r="D800" s="341"/>
      <c r="E800" s="341"/>
      <c r="F800" s="2"/>
      <c r="G800" s="35">
        <f t="shared" ref="G800:H802" si="107">G801</f>
        <v>0</v>
      </c>
      <c r="H800" s="35">
        <f t="shared" si="107"/>
        <v>0</v>
      </c>
    </row>
    <row r="801" spans="1:8" ht="15.75" hidden="1" customHeight="1" x14ac:dyDescent="0.25">
      <c r="A801" s="20" t="s">
        <v>231</v>
      </c>
      <c r="B801" s="341" t="s">
        <v>537</v>
      </c>
      <c r="C801" s="341" t="s">
        <v>168</v>
      </c>
      <c r="D801" s="341"/>
      <c r="E801" s="45"/>
      <c r="F801" s="2"/>
      <c r="G801" s="9">
        <f t="shared" si="107"/>
        <v>0</v>
      </c>
      <c r="H801" s="9">
        <f t="shared" si="107"/>
        <v>0</v>
      </c>
    </row>
    <row r="802" spans="1:8" ht="15.75" hidden="1" customHeight="1" x14ac:dyDescent="0.25">
      <c r="A802" s="20" t="s">
        <v>262</v>
      </c>
      <c r="B802" s="341" t="s">
        <v>537</v>
      </c>
      <c r="C802" s="341" t="s">
        <v>168</v>
      </c>
      <c r="D802" s="341" t="s">
        <v>158</v>
      </c>
      <c r="E802" s="45"/>
      <c r="F802" s="2"/>
      <c r="G802" s="9">
        <f t="shared" si="107"/>
        <v>0</v>
      </c>
      <c r="H802" s="9">
        <f t="shared" si="107"/>
        <v>0</v>
      </c>
    </row>
    <row r="803" spans="1:8" ht="15.75" hidden="1" x14ac:dyDescent="0.25">
      <c r="A803" s="29" t="s">
        <v>267</v>
      </c>
      <c r="B803" s="346" t="s">
        <v>538</v>
      </c>
      <c r="C803" s="341" t="s">
        <v>168</v>
      </c>
      <c r="D803" s="341" t="s">
        <v>158</v>
      </c>
      <c r="E803" s="341"/>
      <c r="F803" s="2"/>
      <c r="G803" s="9">
        <f t="shared" ref="G803:H804" si="108">G804</f>
        <v>0</v>
      </c>
      <c r="H803" s="9">
        <f t="shared" si="108"/>
        <v>0</v>
      </c>
    </row>
    <row r="804" spans="1:8" ht="31.5" hidden="1" x14ac:dyDescent="0.25">
      <c r="A804" s="22" t="s">
        <v>123</v>
      </c>
      <c r="B804" s="346" t="s">
        <v>538</v>
      </c>
      <c r="C804" s="341" t="s">
        <v>168</v>
      </c>
      <c r="D804" s="341" t="s">
        <v>158</v>
      </c>
      <c r="E804" s="341" t="s">
        <v>124</v>
      </c>
      <c r="F804" s="2"/>
      <c r="G804" s="9">
        <f t="shared" si="108"/>
        <v>0</v>
      </c>
      <c r="H804" s="9">
        <f t="shared" si="108"/>
        <v>0</v>
      </c>
    </row>
    <row r="805" spans="1:8" ht="31.5" hidden="1" x14ac:dyDescent="0.25">
      <c r="A805" s="22" t="s">
        <v>125</v>
      </c>
      <c r="B805" s="346" t="s">
        <v>538</v>
      </c>
      <c r="C805" s="341" t="s">
        <v>168</v>
      </c>
      <c r="D805" s="341" t="s">
        <v>158</v>
      </c>
      <c r="E805" s="341" t="s">
        <v>126</v>
      </c>
      <c r="F805" s="2"/>
      <c r="G805" s="9">
        <f>'Пр.3 Рд,пр, ЦС,ВР 22'!F425</f>
        <v>0</v>
      </c>
      <c r="H805" s="9">
        <f>'Пр.3 Рд,пр, ЦС,ВР 22'!G425</f>
        <v>0</v>
      </c>
    </row>
    <row r="806" spans="1:8" ht="39.200000000000003" hidden="1" customHeight="1" x14ac:dyDescent="0.25">
      <c r="A806" s="29" t="s">
        <v>302</v>
      </c>
      <c r="B806" s="346" t="s">
        <v>538</v>
      </c>
      <c r="C806" s="341" t="s">
        <v>168</v>
      </c>
      <c r="D806" s="341" t="s">
        <v>158</v>
      </c>
      <c r="E806" s="341" t="s">
        <v>126</v>
      </c>
      <c r="F806" s="2">
        <v>908</v>
      </c>
      <c r="G806" s="295">
        <f>G805</f>
        <v>0</v>
      </c>
      <c r="H806" s="295">
        <f>H805</f>
        <v>0</v>
      </c>
    </row>
    <row r="807" spans="1:8" ht="31.5" hidden="1" x14ac:dyDescent="0.25">
      <c r="A807" s="24" t="s">
        <v>575</v>
      </c>
      <c r="B807" s="299" t="s">
        <v>576</v>
      </c>
      <c r="C807" s="341"/>
      <c r="D807" s="341"/>
      <c r="E807" s="341"/>
      <c r="F807" s="2"/>
      <c r="G807" s="35">
        <f>G808</f>
        <v>85.960000000000036</v>
      </c>
      <c r="H807" s="35">
        <f>H808</f>
        <v>0</v>
      </c>
    </row>
    <row r="808" spans="1:8" ht="15.75" hidden="1" x14ac:dyDescent="0.25">
      <c r="A808" s="20" t="s">
        <v>231</v>
      </c>
      <c r="B808" s="341" t="s">
        <v>263</v>
      </c>
      <c r="C808" s="341" t="s">
        <v>168</v>
      </c>
      <c r="D808" s="341"/>
      <c r="E808" s="45"/>
      <c r="F808" s="2"/>
      <c r="G808" s="9">
        <f t="shared" ref="G808:H808" si="109">G809</f>
        <v>85.960000000000036</v>
      </c>
      <c r="H808" s="9">
        <f t="shared" si="109"/>
        <v>0</v>
      </c>
    </row>
    <row r="809" spans="1:8" ht="15.75" hidden="1" x14ac:dyDescent="0.25">
      <c r="A809" s="20" t="s">
        <v>262</v>
      </c>
      <c r="B809" s="341" t="s">
        <v>263</v>
      </c>
      <c r="C809" s="341" t="s">
        <v>168</v>
      </c>
      <c r="D809" s="341" t="s">
        <v>158</v>
      </c>
      <c r="E809" s="45"/>
      <c r="F809" s="2"/>
      <c r="G809" s="9">
        <f>G810</f>
        <v>85.960000000000036</v>
      </c>
      <c r="H809" s="9">
        <f>H810</f>
        <v>0</v>
      </c>
    </row>
    <row r="810" spans="1:8" ht="15.75" hidden="1" customHeight="1" x14ac:dyDescent="0.25">
      <c r="A810" s="29" t="s">
        <v>268</v>
      </c>
      <c r="B810" s="346" t="s">
        <v>579</v>
      </c>
      <c r="C810" s="341" t="s">
        <v>168</v>
      </c>
      <c r="D810" s="341" t="s">
        <v>158</v>
      </c>
      <c r="E810" s="341"/>
      <c r="F810" s="2"/>
      <c r="G810" s="9">
        <f t="shared" ref="G810:H811" si="110">G811</f>
        <v>85.960000000000036</v>
      </c>
      <c r="H810" s="9">
        <f t="shared" si="110"/>
        <v>0</v>
      </c>
    </row>
    <row r="811" spans="1:8" ht="31.7" hidden="1" customHeight="1" x14ac:dyDescent="0.25">
      <c r="A811" s="22" t="s">
        <v>123</v>
      </c>
      <c r="B811" s="346" t="s">
        <v>579</v>
      </c>
      <c r="C811" s="341" t="s">
        <v>168</v>
      </c>
      <c r="D811" s="341" t="s">
        <v>158</v>
      </c>
      <c r="E811" s="341" t="s">
        <v>124</v>
      </c>
      <c r="F811" s="2"/>
      <c r="G811" s="9">
        <f t="shared" si="110"/>
        <v>85.960000000000036</v>
      </c>
      <c r="H811" s="9">
        <f t="shared" si="110"/>
        <v>0</v>
      </c>
    </row>
    <row r="812" spans="1:8" ht="31.7" hidden="1" customHeight="1" x14ac:dyDescent="0.25">
      <c r="A812" s="22" t="s">
        <v>125</v>
      </c>
      <c r="B812" s="346" t="s">
        <v>579</v>
      </c>
      <c r="C812" s="341" t="s">
        <v>168</v>
      </c>
      <c r="D812" s="341" t="s">
        <v>158</v>
      </c>
      <c r="E812" s="341" t="s">
        <v>126</v>
      </c>
      <c r="F812" s="2"/>
      <c r="G812" s="9">
        <f>'Пр.3 Рд,пр, ЦС,ВР 22'!F429</f>
        <v>85.960000000000036</v>
      </c>
      <c r="H812" s="9">
        <f>'Пр.3 Рд,пр, ЦС,ВР 22'!G429</f>
        <v>0</v>
      </c>
    </row>
    <row r="813" spans="1:8" ht="31.7" hidden="1" customHeight="1" x14ac:dyDescent="0.25">
      <c r="A813" s="29" t="s">
        <v>302</v>
      </c>
      <c r="B813" s="346" t="s">
        <v>579</v>
      </c>
      <c r="C813" s="341" t="s">
        <v>168</v>
      </c>
      <c r="D813" s="341" t="s">
        <v>158</v>
      </c>
      <c r="E813" s="341" t="s">
        <v>126</v>
      </c>
      <c r="F813" s="2">
        <v>908</v>
      </c>
      <c r="G813" s="295">
        <f>G812</f>
        <v>85.960000000000036</v>
      </c>
      <c r="H813" s="295">
        <f>H812</f>
        <v>0</v>
      </c>
    </row>
    <row r="814" spans="1:8" ht="31.7" hidden="1" customHeight="1" x14ac:dyDescent="0.25">
      <c r="A814" s="141" t="s">
        <v>577</v>
      </c>
      <c r="B814" s="299" t="s">
        <v>578</v>
      </c>
      <c r="C814" s="341"/>
      <c r="D814" s="341"/>
      <c r="E814" s="341"/>
      <c r="F814" s="2"/>
      <c r="G814" s="35">
        <f>G815</f>
        <v>0</v>
      </c>
      <c r="H814" s="35">
        <f>H815</f>
        <v>0</v>
      </c>
    </row>
    <row r="815" spans="1:8" ht="16.5" hidden="1" customHeight="1" x14ac:dyDescent="0.25">
      <c r="A815" s="20" t="s">
        <v>231</v>
      </c>
      <c r="B815" s="341" t="s">
        <v>263</v>
      </c>
      <c r="C815" s="341" t="s">
        <v>168</v>
      </c>
      <c r="D815" s="341"/>
      <c r="E815" s="45"/>
      <c r="F815" s="2"/>
      <c r="G815" s="9">
        <f t="shared" ref="G815:H815" si="111">G816</f>
        <v>0</v>
      </c>
      <c r="H815" s="9">
        <f t="shared" si="111"/>
        <v>0</v>
      </c>
    </row>
    <row r="816" spans="1:8" ht="19.5" hidden="1" customHeight="1" x14ac:dyDescent="0.25">
      <c r="A816" s="20" t="s">
        <v>262</v>
      </c>
      <c r="B816" s="341" t="s">
        <v>263</v>
      </c>
      <c r="C816" s="341" t="s">
        <v>168</v>
      </c>
      <c r="D816" s="341" t="s">
        <v>158</v>
      </c>
      <c r="E816" s="45"/>
      <c r="F816" s="2"/>
      <c r="G816" s="9">
        <f>G817</f>
        <v>0</v>
      </c>
      <c r="H816" s="9">
        <f>H817</f>
        <v>0</v>
      </c>
    </row>
    <row r="817" spans="1:8" ht="31.7" hidden="1" customHeight="1" x14ac:dyDescent="0.25">
      <c r="A817" s="100" t="s">
        <v>269</v>
      </c>
      <c r="B817" s="346" t="s">
        <v>580</v>
      </c>
      <c r="C817" s="341" t="s">
        <v>168</v>
      </c>
      <c r="D817" s="341" t="s">
        <v>158</v>
      </c>
      <c r="E817" s="341"/>
      <c r="F817" s="2"/>
      <c r="G817" s="9">
        <f t="shared" ref="G817:H818" si="112">G818</f>
        <v>0</v>
      </c>
      <c r="H817" s="9">
        <f t="shared" si="112"/>
        <v>0</v>
      </c>
    </row>
    <row r="818" spans="1:8" ht="31.7" hidden="1" customHeight="1" x14ac:dyDescent="0.25">
      <c r="A818" s="22" t="s">
        <v>123</v>
      </c>
      <c r="B818" s="346" t="s">
        <v>580</v>
      </c>
      <c r="C818" s="341" t="s">
        <v>168</v>
      </c>
      <c r="D818" s="341" t="s">
        <v>158</v>
      </c>
      <c r="E818" s="341" t="s">
        <v>124</v>
      </c>
      <c r="F818" s="2"/>
      <c r="G818" s="9">
        <f t="shared" si="112"/>
        <v>0</v>
      </c>
      <c r="H818" s="9">
        <f t="shared" si="112"/>
        <v>0</v>
      </c>
    </row>
    <row r="819" spans="1:8" ht="31.7" hidden="1" customHeight="1" x14ac:dyDescent="0.25">
      <c r="A819" s="22" t="s">
        <v>125</v>
      </c>
      <c r="B819" s="346" t="s">
        <v>580</v>
      </c>
      <c r="C819" s="341" t="s">
        <v>168</v>
      </c>
      <c r="D819" s="341" t="s">
        <v>158</v>
      </c>
      <c r="E819" s="341" t="s">
        <v>126</v>
      </c>
      <c r="F819" s="2"/>
      <c r="G819" s="9">
        <f>'Пр.3 Рд,пр, ЦС,ВР 22'!F433</f>
        <v>0</v>
      </c>
      <c r="H819" s="9">
        <f>'Пр.3 Рд,пр, ЦС,ВР 22'!G433</f>
        <v>0</v>
      </c>
    </row>
    <row r="820" spans="1:8" ht="31.7" hidden="1" customHeight="1" x14ac:dyDescent="0.25">
      <c r="A820" s="29" t="s">
        <v>302</v>
      </c>
      <c r="B820" s="346" t="s">
        <v>580</v>
      </c>
      <c r="C820" s="341" t="s">
        <v>168</v>
      </c>
      <c r="D820" s="341" t="s">
        <v>158</v>
      </c>
      <c r="E820" s="341" t="s">
        <v>126</v>
      </c>
      <c r="F820" s="2">
        <v>908</v>
      </c>
      <c r="G820" s="295">
        <f>G819</f>
        <v>0</v>
      </c>
      <c r="H820" s="295">
        <f>H819</f>
        <v>0</v>
      </c>
    </row>
    <row r="821" spans="1:8" ht="31.7" hidden="1" customHeight="1" x14ac:dyDescent="0.25">
      <c r="A821" s="141" t="s">
        <v>540</v>
      </c>
      <c r="B821" s="299" t="s">
        <v>541</v>
      </c>
      <c r="C821" s="341"/>
      <c r="D821" s="341"/>
      <c r="E821" s="341"/>
      <c r="F821" s="2"/>
      <c r="G821" s="35">
        <f t="shared" ref="G821:H823" si="113">G822</f>
        <v>0</v>
      </c>
      <c r="H821" s="35">
        <f t="shared" si="113"/>
        <v>0</v>
      </c>
    </row>
    <row r="822" spans="1:8" ht="17.45" hidden="1" customHeight="1" x14ac:dyDescent="0.25">
      <c r="A822" s="20" t="s">
        <v>231</v>
      </c>
      <c r="B822" s="341" t="s">
        <v>263</v>
      </c>
      <c r="C822" s="341" t="s">
        <v>168</v>
      </c>
      <c r="D822" s="341"/>
      <c r="E822" s="45"/>
      <c r="F822" s="2"/>
      <c r="G822" s="9">
        <f t="shared" si="113"/>
        <v>0</v>
      </c>
      <c r="H822" s="9">
        <f t="shared" si="113"/>
        <v>0</v>
      </c>
    </row>
    <row r="823" spans="1:8" ht="20.25" hidden="1" customHeight="1" x14ac:dyDescent="0.25">
      <c r="A823" s="20" t="s">
        <v>262</v>
      </c>
      <c r="B823" s="341" t="s">
        <v>263</v>
      </c>
      <c r="C823" s="341" t="s">
        <v>168</v>
      </c>
      <c r="D823" s="341" t="s">
        <v>158</v>
      </c>
      <c r="E823" s="45"/>
      <c r="F823" s="2"/>
      <c r="G823" s="9">
        <f t="shared" si="113"/>
        <v>0</v>
      </c>
      <c r="H823" s="9">
        <f t="shared" si="113"/>
        <v>0</v>
      </c>
    </row>
    <row r="824" spans="1:8" ht="15.75" hidden="1" x14ac:dyDescent="0.25">
      <c r="A824" s="100" t="s">
        <v>270</v>
      </c>
      <c r="B824" s="346" t="s">
        <v>539</v>
      </c>
      <c r="C824" s="341" t="s">
        <v>168</v>
      </c>
      <c r="D824" s="341" t="s">
        <v>158</v>
      </c>
      <c r="E824" s="341"/>
      <c r="F824" s="2"/>
      <c r="G824" s="9">
        <f t="shared" ref="G824:H825" si="114">G825</f>
        <v>0</v>
      </c>
      <c r="H824" s="9">
        <f t="shared" si="114"/>
        <v>0</v>
      </c>
    </row>
    <row r="825" spans="1:8" ht="31.5" hidden="1" x14ac:dyDescent="0.3">
      <c r="A825" s="345" t="s">
        <v>123</v>
      </c>
      <c r="B825" s="346" t="s">
        <v>539</v>
      </c>
      <c r="C825" s="341" t="s">
        <v>168</v>
      </c>
      <c r="D825" s="341" t="s">
        <v>158</v>
      </c>
      <c r="E825" s="2">
        <v>200</v>
      </c>
      <c r="F825" s="47"/>
      <c r="G825" s="295">
        <f t="shared" si="114"/>
        <v>0</v>
      </c>
      <c r="H825" s="295">
        <f t="shared" si="114"/>
        <v>0</v>
      </c>
    </row>
    <row r="826" spans="1:8" ht="31.5" hidden="1" x14ac:dyDescent="0.3">
      <c r="A826" s="345" t="s">
        <v>125</v>
      </c>
      <c r="B826" s="346" t="s">
        <v>539</v>
      </c>
      <c r="C826" s="341" t="s">
        <v>168</v>
      </c>
      <c r="D826" s="341" t="s">
        <v>158</v>
      </c>
      <c r="E826" s="2">
        <v>240</v>
      </c>
      <c r="F826" s="47"/>
      <c r="G826" s="295">
        <f>'Пр.3 Рд,пр, ЦС,ВР 22'!F437</f>
        <v>0</v>
      </c>
      <c r="H826" s="295">
        <f>'Пр.3 Рд,пр, ЦС,ВР 22'!G437</f>
        <v>0</v>
      </c>
    </row>
    <row r="827" spans="1:8" ht="38.25" hidden="1" customHeight="1" x14ac:dyDescent="0.25">
      <c r="A827" s="29" t="s">
        <v>302</v>
      </c>
      <c r="B827" s="346" t="s">
        <v>539</v>
      </c>
      <c r="C827" s="341" t="s">
        <v>168</v>
      </c>
      <c r="D827" s="341" t="s">
        <v>158</v>
      </c>
      <c r="E827" s="2">
        <v>240</v>
      </c>
      <c r="F827" s="2">
        <v>908</v>
      </c>
      <c r="G827" s="295">
        <f>G826</f>
        <v>0</v>
      </c>
      <c r="H827" s="295">
        <f>H826</f>
        <v>0</v>
      </c>
    </row>
    <row r="828" spans="1:8" ht="39.4" customHeight="1" x14ac:dyDescent="0.25">
      <c r="A828" s="298" t="s">
        <v>853</v>
      </c>
      <c r="B828" s="299" t="s">
        <v>209</v>
      </c>
      <c r="C828" s="6"/>
      <c r="D828" s="6"/>
      <c r="E828" s="3"/>
      <c r="F828" s="3"/>
      <c r="G828" s="294">
        <f t="shared" ref="G828:H830" si="115">G829</f>
        <v>120</v>
      </c>
      <c r="H828" s="294">
        <f t="shared" si="115"/>
        <v>120</v>
      </c>
    </row>
    <row r="829" spans="1:8" ht="31.5" x14ac:dyDescent="0.25">
      <c r="A829" s="298" t="s">
        <v>608</v>
      </c>
      <c r="B829" s="299" t="s">
        <v>609</v>
      </c>
      <c r="C829" s="6"/>
      <c r="D829" s="6"/>
      <c r="E829" s="3"/>
      <c r="F829" s="3"/>
      <c r="G829" s="294">
        <f t="shared" si="115"/>
        <v>120</v>
      </c>
      <c r="H829" s="294">
        <f t="shared" si="115"/>
        <v>120</v>
      </c>
    </row>
    <row r="830" spans="1:8" ht="15.75" x14ac:dyDescent="0.25">
      <c r="A830" s="20" t="s">
        <v>115</v>
      </c>
      <c r="B830" s="346" t="s">
        <v>609</v>
      </c>
      <c r="C830" s="341" t="s">
        <v>116</v>
      </c>
      <c r="D830" s="341"/>
      <c r="E830" s="2"/>
      <c r="F830" s="2"/>
      <c r="G830" s="295">
        <f t="shared" si="115"/>
        <v>120</v>
      </c>
      <c r="H830" s="295">
        <f t="shared" si="115"/>
        <v>120</v>
      </c>
    </row>
    <row r="831" spans="1:8" ht="15.75" x14ac:dyDescent="0.25">
      <c r="A831" s="20" t="s">
        <v>131</v>
      </c>
      <c r="B831" s="346" t="s">
        <v>609</v>
      </c>
      <c r="C831" s="341" t="s">
        <v>116</v>
      </c>
      <c r="D831" s="341" t="s">
        <v>132</v>
      </c>
      <c r="E831" s="2"/>
      <c r="F831" s="2"/>
      <c r="G831" s="295">
        <f>G832+G839+G843+G847+G851</f>
        <v>120</v>
      </c>
      <c r="H831" s="295">
        <f>H832+H839+H843+H847+H851</f>
        <v>120</v>
      </c>
    </row>
    <row r="832" spans="1:8" ht="31.5" x14ac:dyDescent="0.25">
      <c r="A832" s="345" t="s">
        <v>210</v>
      </c>
      <c r="B832" s="346" t="s">
        <v>610</v>
      </c>
      <c r="C832" s="341" t="s">
        <v>116</v>
      </c>
      <c r="D832" s="341" t="s">
        <v>132</v>
      </c>
      <c r="E832" s="2"/>
      <c r="F832" s="2"/>
      <c r="G832" s="295">
        <f>G833+G836</f>
        <v>100</v>
      </c>
      <c r="H832" s="295">
        <f>H833+H836</f>
        <v>100</v>
      </c>
    </row>
    <row r="833" spans="1:8" ht="31.5" x14ac:dyDescent="0.25">
      <c r="A833" s="345" t="s">
        <v>123</v>
      </c>
      <c r="B833" s="346" t="s">
        <v>610</v>
      </c>
      <c r="C833" s="341" t="s">
        <v>116</v>
      </c>
      <c r="D833" s="341" t="s">
        <v>132</v>
      </c>
      <c r="E833" s="2">
        <v>200</v>
      </c>
      <c r="F833" s="2"/>
      <c r="G833" s="295">
        <f t="shared" ref="G833:H833" si="116">G834</f>
        <v>100</v>
      </c>
      <c r="H833" s="295">
        <f t="shared" si="116"/>
        <v>0</v>
      </c>
    </row>
    <row r="834" spans="1:8" ht="31.5" x14ac:dyDescent="0.25">
      <c r="A834" s="345" t="s">
        <v>125</v>
      </c>
      <c r="B834" s="346" t="s">
        <v>610</v>
      </c>
      <c r="C834" s="341" t="s">
        <v>116</v>
      </c>
      <c r="D834" s="341" t="s">
        <v>132</v>
      </c>
      <c r="E834" s="2">
        <v>240</v>
      </c>
      <c r="F834" s="2"/>
      <c r="G834" s="295">
        <f>'Пр.4.1 ведом.23-24 '!G615</f>
        <v>100</v>
      </c>
      <c r="H834" s="295">
        <f>'Пр.4.1 ведом.23-24 '!H615</f>
        <v>0</v>
      </c>
    </row>
    <row r="835" spans="1:8" ht="31.5" x14ac:dyDescent="0.25">
      <c r="A835" s="20" t="s">
        <v>235</v>
      </c>
      <c r="B835" s="346" t="s">
        <v>610</v>
      </c>
      <c r="C835" s="341" t="s">
        <v>116</v>
      </c>
      <c r="D835" s="341" t="s">
        <v>132</v>
      </c>
      <c r="E835" s="2">
        <v>240</v>
      </c>
      <c r="F835" s="2">
        <v>906</v>
      </c>
      <c r="G835" s="295">
        <f>G834</f>
        <v>100</v>
      </c>
      <c r="H835" s="295">
        <f>H834</f>
        <v>0</v>
      </c>
    </row>
    <row r="836" spans="1:8" ht="31.5" x14ac:dyDescent="0.25">
      <c r="A836" s="345" t="s">
        <v>123</v>
      </c>
      <c r="B836" s="346" t="s">
        <v>610</v>
      </c>
      <c r="C836" s="341" t="s">
        <v>116</v>
      </c>
      <c r="D836" s="341" t="s">
        <v>132</v>
      </c>
      <c r="E836" s="2">
        <v>200</v>
      </c>
      <c r="F836" s="2"/>
      <c r="G836" s="295">
        <f t="shared" ref="G836:H836" si="117">G837</f>
        <v>0</v>
      </c>
      <c r="H836" s="295">
        <f t="shared" si="117"/>
        <v>100</v>
      </c>
    </row>
    <row r="837" spans="1:8" ht="31.5" x14ac:dyDescent="0.25">
      <c r="A837" s="345" t="s">
        <v>125</v>
      </c>
      <c r="B837" s="346" t="s">
        <v>610</v>
      </c>
      <c r="C837" s="341" t="s">
        <v>116</v>
      </c>
      <c r="D837" s="341" t="s">
        <v>132</v>
      </c>
      <c r="E837" s="2">
        <v>240</v>
      </c>
      <c r="F837" s="2"/>
      <c r="G837" s="295">
        <f>'Пр.4.1 ведом.23-24 '!G850</f>
        <v>0</v>
      </c>
      <c r="H837" s="295">
        <f>'Пр.4.1 ведом.23-24 '!H850</f>
        <v>100</v>
      </c>
    </row>
    <row r="838" spans="1:8" ht="31.5" x14ac:dyDescent="0.25">
      <c r="A838" s="29" t="s">
        <v>248</v>
      </c>
      <c r="B838" s="346" t="s">
        <v>610</v>
      </c>
      <c r="C838" s="341" t="s">
        <v>116</v>
      </c>
      <c r="D838" s="341" t="s">
        <v>132</v>
      </c>
      <c r="E838" s="2">
        <v>240</v>
      </c>
      <c r="F838" s="2">
        <v>907</v>
      </c>
      <c r="G838" s="295">
        <f>G837</f>
        <v>0</v>
      </c>
      <c r="H838" s="295">
        <f>H837</f>
        <v>100</v>
      </c>
    </row>
    <row r="839" spans="1:8" ht="23.25" customHeight="1" x14ac:dyDescent="0.25">
      <c r="A839" s="345" t="s">
        <v>211</v>
      </c>
      <c r="B839" s="346" t="s">
        <v>611</v>
      </c>
      <c r="C839" s="341" t="s">
        <v>116</v>
      </c>
      <c r="D839" s="341" t="s">
        <v>132</v>
      </c>
      <c r="E839" s="2"/>
      <c r="F839" s="2"/>
      <c r="G839" s="295">
        <f t="shared" ref="G839:H840" si="118">G840</f>
        <v>20</v>
      </c>
      <c r="H839" s="295">
        <f t="shared" si="118"/>
        <v>20</v>
      </c>
    </row>
    <row r="840" spans="1:8" ht="31.5" x14ac:dyDescent="0.25">
      <c r="A840" s="345" t="s">
        <v>123</v>
      </c>
      <c r="B840" s="346" t="s">
        <v>611</v>
      </c>
      <c r="C840" s="341" t="s">
        <v>116</v>
      </c>
      <c r="D840" s="341" t="s">
        <v>132</v>
      </c>
      <c r="E840" s="2">
        <v>200</v>
      </c>
      <c r="F840" s="2"/>
      <c r="G840" s="295">
        <f t="shared" si="118"/>
        <v>20</v>
      </c>
      <c r="H840" s="295">
        <f t="shared" si="118"/>
        <v>20</v>
      </c>
    </row>
    <row r="841" spans="1:8" ht="31.5" x14ac:dyDescent="0.25">
      <c r="A841" s="345" t="s">
        <v>125</v>
      </c>
      <c r="B841" s="346" t="s">
        <v>611</v>
      </c>
      <c r="C841" s="341" t="s">
        <v>116</v>
      </c>
      <c r="D841" s="341" t="s">
        <v>132</v>
      </c>
      <c r="E841" s="2">
        <v>240</v>
      </c>
      <c r="F841" s="2"/>
      <c r="G841" s="295">
        <f>'Пр.4.1 ведом.23-24 '!G268</f>
        <v>20</v>
      </c>
      <c r="H841" s="295">
        <f>'Пр.4.1 ведом.23-24 '!H268</f>
        <v>20</v>
      </c>
    </row>
    <row r="842" spans="1:8" ht="47.25" x14ac:dyDescent="0.25">
      <c r="A842" s="29" t="s">
        <v>185</v>
      </c>
      <c r="B842" s="346" t="s">
        <v>611</v>
      </c>
      <c r="C842" s="341" t="s">
        <v>116</v>
      </c>
      <c r="D842" s="341" t="s">
        <v>132</v>
      </c>
      <c r="E842" s="2">
        <v>240</v>
      </c>
      <c r="F842" s="2">
        <v>903</v>
      </c>
      <c r="G842" s="295">
        <f>G841</f>
        <v>20</v>
      </c>
      <c r="H842" s="295">
        <f>H841</f>
        <v>20</v>
      </c>
    </row>
    <row r="843" spans="1:8" ht="47.25" hidden="1" x14ac:dyDescent="0.25">
      <c r="A843" s="22" t="s">
        <v>349</v>
      </c>
      <c r="B843" s="346" t="s">
        <v>612</v>
      </c>
      <c r="C843" s="341" t="s">
        <v>116</v>
      </c>
      <c r="D843" s="341" t="s">
        <v>132</v>
      </c>
      <c r="E843" s="2"/>
      <c r="F843" s="2"/>
      <c r="G843" s="295">
        <f t="shared" ref="G843:H844" si="119">G844</f>
        <v>0</v>
      </c>
      <c r="H843" s="295">
        <f t="shared" si="119"/>
        <v>0</v>
      </c>
    </row>
    <row r="844" spans="1:8" ht="31.5" hidden="1" x14ac:dyDescent="0.25">
      <c r="A844" s="345" t="s">
        <v>123</v>
      </c>
      <c r="B844" s="346" t="s">
        <v>612</v>
      </c>
      <c r="C844" s="346" t="s">
        <v>116</v>
      </c>
      <c r="D844" s="346" t="s">
        <v>132</v>
      </c>
      <c r="E844" s="346" t="s">
        <v>124</v>
      </c>
      <c r="F844" s="103"/>
      <c r="G844" s="295">
        <f t="shared" si="119"/>
        <v>0</v>
      </c>
      <c r="H844" s="295">
        <f t="shared" si="119"/>
        <v>0</v>
      </c>
    </row>
    <row r="845" spans="1:8" ht="31.5" hidden="1" x14ac:dyDescent="0.25">
      <c r="A845" s="345" t="s">
        <v>125</v>
      </c>
      <c r="B845" s="346" t="s">
        <v>612</v>
      </c>
      <c r="C845" s="346" t="s">
        <v>116</v>
      </c>
      <c r="D845" s="346" t="s">
        <v>132</v>
      </c>
      <c r="E845" s="346" t="s">
        <v>126</v>
      </c>
      <c r="F845" s="103"/>
      <c r="G845" s="295">
        <f>'Пр.4 ведом.22'!G300</f>
        <v>0</v>
      </c>
      <c r="H845" s="295">
        <f>'Пр.4 ведом.22'!H300</f>
        <v>0</v>
      </c>
    </row>
    <row r="846" spans="1:8" ht="47.25" hidden="1" x14ac:dyDescent="0.25">
      <c r="A846" s="29" t="s">
        <v>185</v>
      </c>
      <c r="B846" s="346" t="s">
        <v>612</v>
      </c>
      <c r="C846" s="341" t="s">
        <v>116</v>
      </c>
      <c r="D846" s="341" t="s">
        <v>132</v>
      </c>
      <c r="E846" s="2">
        <v>240</v>
      </c>
      <c r="F846" s="2">
        <v>903</v>
      </c>
      <c r="G846" s="295">
        <f>G845</f>
        <v>0</v>
      </c>
      <c r="H846" s="295">
        <f>H845</f>
        <v>0</v>
      </c>
    </row>
    <row r="847" spans="1:8" ht="31.5" hidden="1" x14ac:dyDescent="0.25">
      <c r="A847" s="345" t="s">
        <v>331</v>
      </c>
      <c r="B847" s="346" t="s">
        <v>613</v>
      </c>
      <c r="C847" s="341" t="s">
        <v>116</v>
      </c>
      <c r="D847" s="341" t="s">
        <v>132</v>
      </c>
      <c r="E847" s="2"/>
      <c r="F847" s="103"/>
      <c r="G847" s="295">
        <f t="shared" ref="G847:H848" si="120">G848</f>
        <v>0</v>
      </c>
      <c r="H847" s="295">
        <f t="shared" si="120"/>
        <v>0</v>
      </c>
    </row>
    <row r="848" spans="1:8" ht="31.5" hidden="1" x14ac:dyDescent="0.25">
      <c r="A848" s="345" t="s">
        <v>123</v>
      </c>
      <c r="B848" s="346" t="s">
        <v>613</v>
      </c>
      <c r="C848" s="341" t="s">
        <v>116</v>
      </c>
      <c r="D848" s="341" t="s">
        <v>132</v>
      </c>
      <c r="E848" s="2">
        <v>200</v>
      </c>
      <c r="F848" s="103"/>
      <c r="G848" s="295">
        <f t="shared" si="120"/>
        <v>0</v>
      </c>
      <c r="H848" s="295">
        <f t="shared" si="120"/>
        <v>0</v>
      </c>
    </row>
    <row r="849" spans="1:9" ht="31.5" hidden="1" x14ac:dyDescent="0.25">
      <c r="A849" s="345" t="s">
        <v>125</v>
      </c>
      <c r="B849" s="346" t="s">
        <v>613</v>
      </c>
      <c r="C849" s="341" t="s">
        <v>116</v>
      </c>
      <c r="D849" s="341" t="s">
        <v>132</v>
      </c>
      <c r="E849" s="2">
        <v>240</v>
      </c>
      <c r="F849" s="103"/>
      <c r="G849" s="295">
        <f>'Пр.4 ведом.22'!G303</f>
        <v>0</v>
      </c>
      <c r="H849" s="295">
        <f>'Пр.4 ведом.22'!H303</f>
        <v>0</v>
      </c>
    </row>
    <row r="850" spans="1:9" ht="47.25" hidden="1" x14ac:dyDescent="0.25">
      <c r="A850" s="29" t="s">
        <v>185</v>
      </c>
      <c r="B850" s="346" t="s">
        <v>613</v>
      </c>
      <c r="C850" s="341" t="s">
        <v>116</v>
      </c>
      <c r="D850" s="341" t="s">
        <v>132</v>
      </c>
      <c r="E850" s="2">
        <v>240</v>
      </c>
      <c r="F850" s="2">
        <v>903</v>
      </c>
      <c r="G850" s="295">
        <f>G849</f>
        <v>0</v>
      </c>
      <c r="H850" s="295">
        <f>H849</f>
        <v>0</v>
      </c>
    </row>
    <row r="851" spans="1:9" ht="31.7" hidden="1" customHeight="1" x14ac:dyDescent="0.25">
      <c r="A851" s="22" t="s">
        <v>350</v>
      </c>
      <c r="B851" s="346" t="s">
        <v>614</v>
      </c>
      <c r="C851" s="346" t="s">
        <v>116</v>
      </c>
      <c r="D851" s="346" t="s">
        <v>132</v>
      </c>
      <c r="E851" s="346"/>
      <c r="F851" s="103"/>
      <c r="G851" s="295">
        <f t="shared" ref="G851:H852" si="121">G852</f>
        <v>0</v>
      </c>
      <c r="H851" s="295">
        <f t="shared" si="121"/>
        <v>0</v>
      </c>
    </row>
    <row r="852" spans="1:9" ht="31.7" hidden="1" customHeight="1" x14ac:dyDescent="0.25">
      <c r="A852" s="345" t="s">
        <v>123</v>
      </c>
      <c r="B852" s="346" t="s">
        <v>614</v>
      </c>
      <c r="C852" s="346" t="s">
        <v>116</v>
      </c>
      <c r="D852" s="346" t="s">
        <v>132</v>
      </c>
      <c r="E852" s="346" t="s">
        <v>124</v>
      </c>
      <c r="F852" s="103"/>
      <c r="G852" s="295">
        <f t="shared" si="121"/>
        <v>0</v>
      </c>
      <c r="H852" s="295">
        <f t="shared" si="121"/>
        <v>0</v>
      </c>
    </row>
    <row r="853" spans="1:9" ht="31.7" hidden="1" customHeight="1" x14ac:dyDescent="0.25">
      <c r="A853" s="345" t="s">
        <v>125</v>
      </c>
      <c r="B853" s="346" t="s">
        <v>614</v>
      </c>
      <c r="C853" s="346" t="s">
        <v>116</v>
      </c>
      <c r="D853" s="346" t="s">
        <v>132</v>
      </c>
      <c r="E853" s="346" t="s">
        <v>126</v>
      </c>
      <c r="F853" s="103"/>
      <c r="G853" s="295">
        <f>'Пр.4 ведом.22'!G306</f>
        <v>0</v>
      </c>
      <c r="H853" s="295">
        <f>'Пр.4 ведом.22'!H306</f>
        <v>0</v>
      </c>
    </row>
    <row r="854" spans="1:9" ht="47.25" hidden="1" x14ac:dyDescent="0.25">
      <c r="A854" s="29" t="s">
        <v>185</v>
      </c>
      <c r="B854" s="346" t="s">
        <v>614</v>
      </c>
      <c r="C854" s="346" t="s">
        <v>116</v>
      </c>
      <c r="D854" s="346" t="s">
        <v>132</v>
      </c>
      <c r="E854" s="346" t="s">
        <v>126</v>
      </c>
      <c r="F854" s="2">
        <v>903</v>
      </c>
      <c r="G854" s="295">
        <f>G853</f>
        <v>0</v>
      </c>
      <c r="H854" s="295">
        <f>H853</f>
        <v>0</v>
      </c>
    </row>
    <row r="855" spans="1:9" ht="48.75" customHeight="1" x14ac:dyDescent="0.25">
      <c r="A855" s="340" t="s">
        <v>856</v>
      </c>
      <c r="B855" s="299" t="s">
        <v>339</v>
      </c>
      <c r="C855" s="6"/>
      <c r="D855" s="6"/>
      <c r="E855" s="3"/>
      <c r="F855" s="3"/>
      <c r="G855" s="294">
        <f>G856+G867+G910+G917</f>
        <v>3826.6399999999994</v>
      </c>
      <c r="H855" s="294">
        <f>H856+H867+H910+H917</f>
        <v>3826.6399999999994</v>
      </c>
      <c r="I855" s="15">
        <f>H855-G855</f>
        <v>0</v>
      </c>
    </row>
    <row r="856" spans="1:9" ht="48.75" customHeight="1" x14ac:dyDescent="0.25">
      <c r="A856" s="339" t="s">
        <v>420</v>
      </c>
      <c r="B856" s="299" t="s">
        <v>426</v>
      </c>
      <c r="C856" s="6"/>
      <c r="D856" s="6"/>
      <c r="E856" s="3"/>
      <c r="F856" s="3"/>
      <c r="G856" s="294">
        <f>G857</f>
        <v>43</v>
      </c>
      <c r="H856" s="294">
        <f>H857</f>
        <v>43</v>
      </c>
      <c r="I856" s="15"/>
    </row>
    <row r="857" spans="1:9" s="74" customFormat="1" ht="15.75" x14ac:dyDescent="0.25">
      <c r="A857" s="20" t="s">
        <v>115</v>
      </c>
      <c r="B857" s="346" t="s">
        <v>426</v>
      </c>
      <c r="C857" s="341" t="s">
        <v>116</v>
      </c>
      <c r="D857" s="341"/>
      <c r="E857" s="2"/>
      <c r="F857" s="2"/>
      <c r="G857" s="295">
        <f t="shared" ref="G857:H857" si="122">G858</f>
        <v>43</v>
      </c>
      <c r="H857" s="295">
        <f t="shared" si="122"/>
        <v>43</v>
      </c>
    </row>
    <row r="858" spans="1:9" s="74" customFormat="1" ht="15.75" x14ac:dyDescent="0.25">
      <c r="A858" s="20" t="s">
        <v>131</v>
      </c>
      <c r="B858" s="346" t="s">
        <v>426</v>
      </c>
      <c r="C858" s="341" t="s">
        <v>116</v>
      </c>
      <c r="D858" s="341" t="s">
        <v>132</v>
      </c>
      <c r="E858" s="2"/>
      <c r="F858" s="2"/>
      <c r="G858" s="295">
        <f>G859+G863</f>
        <v>43</v>
      </c>
      <c r="H858" s="295">
        <f>H859+H863</f>
        <v>43</v>
      </c>
    </row>
    <row r="859" spans="1:9" ht="31.5" x14ac:dyDescent="0.25">
      <c r="A859" s="67" t="s">
        <v>353</v>
      </c>
      <c r="B859" s="346" t="s">
        <v>421</v>
      </c>
      <c r="C859" s="341" t="s">
        <v>116</v>
      </c>
      <c r="D859" s="341" t="s">
        <v>132</v>
      </c>
      <c r="E859" s="2"/>
      <c r="F859" s="2"/>
      <c r="G859" s="295">
        <f t="shared" ref="G859:H860" si="123">G860</f>
        <v>37</v>
      </c>
      <c r="H859" s="295">
        <f t="shared" si="123"/>
        <v>37</v>
      </c>
    </row>
    <row r="860" spans="1:9" ht="31.5" x14ac:dyDescent="0.25">
      <c r="A860" s="345" t="s">
        <v>123</v>
      </c>
      <c r="B860" s="346" t="s">
        <v>421</v>
      </c>
      <c r="C860" s="341" t="s">
        <v>116</v>
      </c>
      <c r="D860" s="341" t="s">
        <v>132</v>
      </c>
      <c r="E860" s="2">
        <v>200</v>
      </c>
      <c r="F860" s="2"/>
      <c r="G860" s="295">
        <f t="shared" si="123"/>
        <v>37</v>
      </c>
      <c r="H860" s="295">
        <f t="shared" si="123"/>
        <v>37</v>
      </c>
    </row>
    <row r="861" spans="1:9" ht="31.5" x14ac:dyDescent="0.25">
      <c r="A861" s="345" t="s">
        <v>125</v>
      </c>
      <c r="B861" s="346" t="s">
        <v>421</v>
      </c>
      <c r="C861" s="341" t="s">
        <v>116</v>
      </c>
      <c r="D861" s="341" t="s">
        <v>132</v>
      </c>
      <c r="E861" s="2">
        <v>240</v>
      </c>
      <c r="F861" s="2"/>
      <c r="G861" s="295">
        <f>'Пр.4.1 ведом.23-24 '!G144</f>
        <v>37</v>
      </c>
      <c r="H861" s="295">
        <f>'Пр.4.1 ведом.23-24 '!H144</f>
        <v>37</v>
      </c>
    </row>
    <row r="862" spans="1:9" ht="19.5" customHeight="1" x14ac:dyDescent="0.25">
      <c r="A862" s="20" t="s">
        <v>137</v>
      </c>
      <c r="B862" s="346" t="s">
        <v>421</v>
      </c>
      <c r="C862" s="341" t="s">
        <v>116</v>
      </c>
      <c r="D862" s="341" t="s">
        <v>132</v>
      </c>
      <c r="E862" s="2">
        <v>240</v>
      </c>
      <c r="F862" s="2">
        <v>902</v>
      </c>
      <c r="G862" s="295">
        <f>G861</f>
        <v>37</v>
      </c>
      <c r="H862" s="295">
        <f>H861</f>
        <v>37</v>
      </c>
    </row>
    <row r="863" spans="1:9" ht="31.5" x14ac:dyDescent="0.25">
      <c r="A863" s="67" t="s">
        <v>353</v>
      </c>
      <c r="B863" s="346" t="s">
        <v>421</v>
      </c>
      <c r="C863" s="341" t="s">
        <v>116</v>
      </c>
      <c r="D863" s="341" t="s">
        <v>132</v>
      </c>
      <c r="E863" s="2"/>
      <c r="F863" s="2"/>
      <c r="G863" s="295">
        <f>G864</f>
        <v>6</v>
      </c>
      <c r="H863" s="295">
        <f>H864</f>
        <v>6</v>
      </c>
    </row>
    <row r="864" spans="1:9" ht="31.5" x14ac:dyDescent="0.25">
      <c r="A864" s="345" t="s">
        <v>123</v>
      </c>
      <c r="B864" s="346" t="s">
        <v>421</v>
      </c>
      <c r="C864" s="341" t="s">
        <v>116</v>
      </c>
      <c r="D864" s="341" t="s">
        <v>132</v>
      </c>
      <c r="E864" s="2">
        <v>200</v>
      </c>
      <c r="F864" s="2"/>
      <c r="G864" s="295">
        <f>G865</f>
        <v>6</v>
      </c>
      <c r="H864" s="295">
        <f>H865</f>
        <v>6</v>
      </c>
    </row>
    <row r="865" spans="1:14" ht="31.5" x14ac:dyDescent="0.25">
      <c r="A865" s="345" t="s">
        <v>125</v>
      </c>
      <c r="B865" s="346" t="s">
        <v>421</v>
      </c>
      <c r="C865" s="341" t="s">
        <v>116</v>
      </c>
      <c r="D865" s="341" t="s">
        <v>132</v>
      </c>
      <c r="E865" s="2">
        <v>240</v>
      </c>
      <c r="F865" s="2"/>
      <c r="G865" s="295">
        <f>'Пр.4.1 ведом.23-24 '!G282</f>
        <v>6</v>
      </c>
      <c r="H865" s="295">
        <f>'Пр.4.1 ведом.23-24 '!H282</f>
        <v>6</v>
      </c>
    </row>
    <row r="866" spans="1:14" ht="47.25" x14ac:dyDescent="0.25">
      <c r="A866" s="29" t="s">
        <v>185</v>
      </c>
      <c r="B866" s="346" t="s">
        <v>421</v>
      </c>
      <c r="C866" s="341" t="s">
        <v>116</v>
      </c>
      <c r="D866" s="341" t="s">
        <v>132</v>
      </c>
      <c r="E866" s="2">
        <v>240</v>
      </c>
      <c r="F866" s="2">
        <v>903</v>
      </c>
      <c r="G866" s="295">
        <f>G865</f>
        <v>6</v>
      </c>
      <c r="H866" s="295">
        <f>H865</f>
        <v>6</v>
      </c>
    </row>
    <row r="867" spans="1:14" ht="47.25" x14ac:dyDescent="0.25">
      <c r="A867" s="340" t="s">
        <v>461</v>
      </c>
      <c r="B867" s="299" t="s">
        <v>459</v>
      </c>
      <c r="C867" s="341"/>
      <c r="D867" s="341"/>
      <c r="E867" s="2"/>
      <c r="F867" s="2"/>
      <c r="G867" s="294">
        <f>G868+G888+G898+G904</f>
        <v>3768.6399999999994</v>
      </c>
      <c r="H867" s="294">
        <f>H868+H888+H898+H904</f>
        <v>3768.6399999999994</v>
      </c>
      <c r="K867" s="15"/>
      <c r="N867" s="151"/>
    </row>
    <row r="868" spans="1:14" ht="15.75" x14ac:dyDescent="0.25">
      <c r="A868" s="20" t="s">
        <v>186</v>
      </c>
      <c r="B868" s="346" t="s">
        <v>459</v>
      </c>
      <c r="C868" s="341" t="s">
        <v>187</v>
      </c>
      <c r="D868" s="341"/>
      <c r="E868" s="2"/>
      <c r="F868" s="2"/>
      <c r="G868" s="295">
        <f>G869+G875+G879</f>
        <v>2235.9399999999996</v>
      </c>
      <c r="H868" s="295">
        <f>H869+H875+H879</f>
        <v>2235.9399999999996</v>
      </c>
    </row>
    <row r="869" spans="1:14" ht="15.75" x14ac:dyDescent="0.25">
      <c r="A869" s="20" t="s">
        <v>236</v>
      </c>
      <c r="B869" s="346" t="s">
        <v>459</v>
      </c>
      <c r="C869" s="341" t="s">
        <v>187</v>
      </c>
      <c r="D869" s="341" t="s">
        <v>116</v>
      </c>
      <c r="E869" s="2"/>
      <c r="F869" s="2"/>
      <c r="G869" s="295">
        <f t="shared" ref="G869:H871" si="124">G870</f>
        <v>571.79999999999995</v>
      </c>
      <c r="H869" s="295">
        <f t="shared" si="124"/>
        <v>571.79999999999995</v>
      </c>
    </row>
    <row r="870" spans="1:14" ht="47.25" x14ac:dyDescent="0.25">
      <c r="A870" s="29" t="s">
        <v>357</v>
      </c>
      <c r="B870" s="346" t="s">
        <v>504</v>
      </c>
      <c r="C870" s="341" t="s">
        <v>187</v>
      </c>
      <c r="D870" s="341" t="s">
        <v>116</v>
      </c>
      <c r="E870" s="2"/>
      <c r="F870" s="2"/>
      <c r="G870" s="295">
        <f t="shared" si="124"/>
        <v>571.79999999999995</v>
      </c>
      <c r="H870" s="295">
        <f t="shared" si="124"/>
        <v>571.79999999999995</v>
      </c>
      <c r="N870" s="151"/>
    </row>
    <row r="871" spans="1:14" ht="31.5" x14ac:dyDescent="0.25">
      <c r="A871" s="20" t="s">
        <v>191</v>
      </c>
      <c r="B871" s="346" t="s">
        <v>504</v>
      </c>
      <c r="C871" s="341" t="s">
        <v>187</v>
      </c>
      <c r="D871" s="341" t="s">
        <v>116</v>
      </c>
      <c r="E871" s="2">
        <v>600</v>
      </c>
      <c r="F871" s="2"/>
      <c r="G871" s="295">
        <f t="shared" si="124"/>
        <v>571.79999999999995</v>
      </c>
      <c r="H871" s="295">
        <f t="shared" si="124"/>
        <v>571.79999999999995</v>
      </c>
    </row>
    <row r="872" spans="1:14" ht="15.75" x14ac:dyDescent="0.25">
      <c r="A872" s="108" t="s">
        <v>193</v>
      </c>
      <c r="B872" s="346" t="s">
        <v>504</v>
      </c>
      <c r="C872" s="341" t="s">
        <v>187</v>
      </c>
      <c r="D872" s="341" t="s">
        <v>116</v>
      </c>
      <c r="E872" s="2">
        <v>610</v>
      </c>
      <c r="F872" s="2"/>
      <c r="G872" s="295">
        <f>'Пр.4.1 ведом.23-24 '!G678</f>
        <v>571.79999999999995</v>
      </c>
      <c r="H872" s="295">
        <f>'Пр.4.1 ведом.23-24 '!H678</f>
        <v>571.79999999999995</v>
      </c>
    </row>
    <row r="873" spans="1:14" ht="31.5" x14ac:dyDescent="0.25">
      <c r="A873" s="20" t="s">
        <v>235</v>
      </c>
      <c r="B873" s="346" t="s">
        <v>504</v>
      </c>
      <c r="C873" s="341" t="s">
        <v>187</v>
      </c>
      <c r="D873" s="341" t="s">
        <v>116</v>
      </c>
      <c r="E873" s="2">
        <v>610</v>
      </c>
      <c r="F873" s="2">
        <v>906</v>
      </c>
      <c r="G873" s="295">
        <f>G872</f>
        <v>571.79999999999995</v>
      </c>
      <c r="H873" s="295">
        <f>H872</f>
        <v>571.79999999999995</v>
      </c>
    </row>
    <row r="874" spans="1:14" ht="15.75" x14ac:dyDescent="0.25">
      <c r="A874" s="29" t="s">
        <v>239</v>
      </c>
      <c r="B874" s="346" t="s">
        <v>459</v>
      </c>
      <c r="C874" s="341" t="s">
        <v>187</v>
      </c>
      <c r="D874" s="341" t="s">
        <v>158</v>
      </c>
      <c r="E874" s="2"/>
      <c r="F874" s="2"/>
      <c r="G874" s="295">
        <f t="shared" ref="G874:H876" si="125">G875</f>
        <v>870.84</v>
      </c>
      <c r="H874" s="295">
        <f t="shared" si="125"/>
        <v>870.84</v>
      </c>
    </row>
    <row r="875" spans="1:14" ht="47.25" x14ac:dyDescent="0.25">
      <c r="A875" s="29" t="s">
        <v>357</v>
      </c>
      <c r="B875" s="346" t="s">
        <v>504</v>
      </c>
      <c r="C875" s="341" t="s">
        <v>187</v>
      </c>
      <c r="D875" s="341" t="s">
        <v>158</v>
      </c>
      <c r="E875" s="2"/>
      <c r="F875" s="2"/>
      <c r="G875" s="295">
        <f t="shared" si="125"/>
        <v>870.84</v>
      </c>
      <c r="H875" s="295">
        <f t="shared" si="125"/>
        <v>870.84</v>
      </c>
    </row>
    <row r="876" spans="1:14" ht="31.5" x14ac:dyDescent="0.25">
      <c r="A876" s="20" t="s">
        <v>191</v>
      </c>
      <c r="B876" s="346" t="s">
        <v>504</v>
      </c>
      <c r="C876" s="341" t="s">
        <v>187</v>
      </c>
      <c r="D876" s="341" t="s">
        <v>158</v>
      </c>
      <c r="E876" s="2">
        <v>600</v>
      </c>
      <c r="F876" s="2"/>
      <c r="G876" s="295">
        <f t="shared" si="125"/>
        <v>870.84</v>
      </c>
      <c r="H876" s="295">
        <f t="shared" si="125"/>
        <v>870.84</v>
      </c>
    </row>
    <row r="877" spans="1:14" ht="15.75" x14ac:dyDescent="0.25">
      <c r="A877" s="108" t="s">
        <v>193</v>
      </c>
      <c r="B877" s="346" t="s">
        <v>504</v>
      </c>
      <c r="C877" s="341" t="s">
        <v>187</v>
      </c>
      <c r="D877" s="341" t="s">
        <v>158</v>
      </c>
      <c r="E877" s="2">
        <v>610</v>
      </c>
      <c r="F877" s="2"/>
      <c r="G877" s="295">
        <f>'Пр.4.1 ведом.23-24 '!G767</f>
        <v>870.84</v>
      </c>
      <c r="H877" s="295">
        <f>'Пр.4.1 ведом.23-24 '!H767</f>
        <v>870.84</v>
      </c>
    </row>
    <row r="878" spans="1:14" ht="31.5" x14ac:dyDescent="0.25">
      <c r="A878" s="20" t="s">
        <v>235</v>
      </c>
      <c r="B878" s="346" t="s">
        <v>504</v>
      </c>
      <c r="C878" s="341" t="s">
        <v>187</v>
      </c>
      <c r="D878" s="341" t="s">
        <v>158</v>
      </c>
      <c r="E878" s="2">
        <v>610</v>
      </c>
      <c r="F878" s="2">
        <v>906</v>
      </c>
      <c r="G878" s="295">
        <f>G877</f>
        <v>870.84</v>
      </c>
      <c r="H878" s="295">
        <f>H877</f>
        <v>870.84</v>
      </c>
    </row>
    <row r="879" spans="1:14" ht="15.75" x14ac:dyDescent="0.25">
      <c r="A879" s="29" t="s">
        <v>188</v>
      </c>
      <c r="B879" s="346" t="s">
        <v>459</v>
      </c>
      <c r="C879" s="341" t="s">
        <v>187</v>
      </c>
      <c r="D879" s="341" t="s">
        <v>159</v>
      </c>
      <c r="E879" s="2"/>
      <c r="F879" s="2"/>
      <c r="G879" s="295">
        <f>G884+G880</f>
        <v>793.3</v>
      </c>
      <c r="H879" s="295">
        <f>H884+H880</f>
        <v>793.3</v>
      </c>
    </row>
    <row r="880" spans="1:14" ht="31.5" x14ac:dyDescent="0.25">
      <c r="A880" s="67" t="s">
        <v>565</v>
      </c>
      <c r="B880" s="346" t="s">
        <v>460</v>
      </c>
      <c r="C880" s="341" t="s">
        <v>187</v>
      </c>
      <c r="D880" s="341" t="s">
        <v>159</v>
      </c>
      <c r="E880" s="2"/>
      <c r="F880" s="2"/>
      <c r="G880" s="295">
        <f>G881</f>
        <v>490.9</v>
      </c>
      <c r="H880" s="295">
        <f>H881</f>
        <v>490.9</v>
      </c>
    </row>
    <row r="881" spans="1:8" ht="31.5" x14ac:dyDescent="0.25">
      <c r="A881" s="345" t="s">
        <v>123</v>
      </c>
      <c r="B881" s="346" t="s">
        <v>460</v>
      </c>
      <c r="C881" s="341" t="s">
        <v>187</v>
      </c>
      <c r="D881" s="341" t="s">
        <v>159</v>
      </c>
      <c r="E881" s="2">
        <v>200</v>
      </c>
      <c r="F881" s="2"/>
      <c r="G881" s="295">
        <f>G882</f>
        <v>490.9</v>
      </c>
      <c r="H881" s="295">
        <f>H882</f>
        <v>490.9</v>
      </c>
    </row>
    <row r="882" spans="1:8" ht="31.5" x14ac:dyDescent="0.25">
      <c r="A882" s="345" t="s">
        <v>125</v>
      </c>
      <c r="B882" s="346" t="s">
        <v>460</v>
      </c>
      <c r="C882" s="341" t="s">
        <v>187</v>
      </c>
      <c r="D882" s="341" t="s">
        <v>159</v>
      </c>
      <c r="E882" s="2">
        <v>240</v>
      </c>
      <c r="F882" s="2"/>
      <c r="G882" s="295">
        <f>'Пр.4.1 ведом.23-24 '!G346</f>
        <v>490.9</v>
      </c>
      <c r="H882" s="295">
        <f>'Пр.4.1 ведом.23-24 '!H346</f>
        <v>490.9</v>
      </c>
    </row>
    <row r="883" spans="1:8" ht="47.25" x14ac:dyDescent="0.25">
      <c r="A883" s="29" t="s">
        <v>185</v>
      </c>
      <c r="B883" s="346" t="s">
        <v>460</v>
      </c>
      <c r="C883" s="341" t="s">
        <v>187</v>
      </c>
      <c r="D883" s="341" t="s">
        <v>159</v>
      </c>
      <c r="E883" s="2">
        <v>240</v>
      </c>
      <c r="F883" s="2">
        <v>903</v>
      </c>
      <c r="G883" s="295">
        <f>G882</f>
        <v>490.9</v>
      </c>
      <c r="H883" s="295">
        <f>H882</f>
        <v>490.9</v>
      </c>
    </row>
    <row r="884" spans="1:8" ht="47.25" x14ac:dyDescent="0.25">
      <c r="A884" s="29" t="s">
        <v>357</v>
      </c>
      <c r="B884" s="346" t="s">
        <v>504</v>
      </c>
      <c r="C884" s="341" t="s">
        <v>187</v>
      </c>
      <c r="D884" s="341" t="s">
        <v>159</v>
      </c>
      <c r="E884" s="2"/>
      <c r="F884" s="2"/>
      <c r="G884" s="295">
        <f>G885</f>
        <v>302.39999999999998</v>
      </c>
      <c r="H884" s="295">
        <f>H885</f>
        <v>302.39999999999998</v>
      </c>
    </row>
    <row r="885" spans="1:8" ht="31.5" x14ac:dyDescent="0.25">
      <c r="A885" s="20" t="s">
        <v>191</v>
      </c>
      <c r="B885" s="346" t="s">
        <v>504</v>
      </c>
      <c r="C885" s="341" t="s">
        <v>187</v>
      </c>
      <c r="D885" s="341" t="s">
        <v>159</v>
      </c>
      <c r="E885" s="2">
        <v>600</v>
      </c>
      <c r="F885" s="2"/>
      <c r="G885" s="295">
        <f>G886</f>
        <v>302.39999999999998</v>
      </c>
      <c r="H885" s="295">
        <f>H886</f>
        <v>302.39999999999998</v>
      </c>
    </row>
    <row r="886" spans="1:8" ht="15.75" x14ac:dyDescent="0.25">
      <c r="A886" s="108" t="s">
        <v>193</v>
      </c>
      <c r="B886" s="346" t="s">
        <v>504</v>
      </c>
      <c r="C886" s="341" t="s">
        <v>187</v>
      </c>
      <c r="D886" s="341" t="s">
        <v>159</v>
      </c>
      <c r="E886" s="2">
        <v>610</v>
      </c>
      <c r="F886" s="2"/>
      <c r="G886" s="295">
        <f>'Пр.4.1 ведом.23-24 '!G800</f>
        <v>302.39999999999998</v>
      </c>
      <c r="H886" s="295">
        <f>'Пр.4.1 ведом.23-24 '!H800</f>
        <v>302.39999999999998</v>
      </c>
    </row>
    <row r="887" spans="1:8" ht="31.5" x14ac:dyDescent="0.25">
      <c r="A887" s="20" t="s">
        <v>235</v>
      </c>
      <c r="B887" s="346" t="s">
        <v>504</v>
      </c>
      <c r="C887" s="341" t="s">
        <v>187</v>
      </c>
      <c r="D887" s="341" t="s">
        <v>159</v>
      </c>
      <c r="E887" s="2">
        <v>610</v>
      </c>
      <c r="F887" s="2">
        <v>906</v>
      </c>
      <c r="G887" s="295">
        <f>G886</f>
        <v>302.39999999999998</v>
      </c>
      <c r="H887" s="295">
        <f>H886</f>
        <v>302.39999999999998</v>
      </c>
    </row>
    <row r="888" spans="1:8" ht="15.75" x14ac:dyDescent="0.25">
      <c r="A888" s="345" t="s">
        <v>202</v>
      </c>
      <c r="B888" s="346" t="s">
        <v>459</v>
      </c>
      <c r="C888" s="341" t="s">
        <v>203</v>
      </c>
      <c r="D888" s="341"/>
      <c r="E888" s="2"/>
      <c r="F888" s="2"/>
      <c r="G888" s="295">
        <f t="shared" ref="G888:H891" si="126">G889</f>
        <v>878.7</v>
      </c>
      <c r="H888" s="295">
        <f t="shared" si="126"/>
        <v>878.7</v>
      </c>
    </row>
    <row r="889" spans="1:8" ht="15.75" x14ac:dyDescent="0.25">
      <c r="A889" s="345" t="s">
        <v>204</v>
      </c>
      <c r="B889" s="346" t="s">
        <v>459</v>
      </c>
      <c r="C889" s="341" t="s">
        <v>203</v>
      </c>
      <c r="D889" s="341" t="s">
        <v>116</v>
      </c>
      <c r="E889" s="2"/>
      <c r="F889" s="2"/>
      <c r="G889" s="295">
        <f>G890+G894</f>
        <v>878.7</v>
      </c>
      <c r="H889" s="295">
        <f>H890+H894</f>
        <v>878.7</v>
      </c>
    </row>
    <row r="890" spans="1:8" ht="31.5" x14ac:dyDescent="0.25">
      <c r="A890" s="29" t="s">
        <v>355</v>
      </c>
      <c r="B890" s="346" t="s">
        <v>460</v>
      </c>
      <c r="C890" s="341" t="s">
        <v>203</v>
      </c>
      <c r="D890" s="341" t="s">
        <v>116</v>
      </c>
      <c r="E890" s="2"/>
      <c r="F890" s="2"/>
      <c r="G890" s="295">
        <f t="shared" si="126"/>
        <v>506.80000000000007</v>
      </c>
      <c r="H890" s="295">
        <f t="shared" si="126"/>
        <v>506.80000000000007</v>
      </c>
    </row>
    <row r="891" spans="1:8" ht="31.5" x14ac:dyDescent="0.25">
      <c r="A891" s="345" t="s">
        <v>123</v>
      </c>
      <c r="B891" s="346" t="s">
        <v>460</v>
      </c>
      <c r="C891" s="341" t="s">
        <v>203</v>
      </c>
      <c r="D891" s="341" t="s">
        <v>116</v>
      </c>
      <c r="E891" s="2">
        <v>200</v>
      </c>
      <c r="F891" s="2"/>
      <c r="G891" s="295">
        <f t="shared" si="126"/>
        <v>506.80000000000007</v>
      </c>
      <c r="H891" s="295">
        <f t="shared" si="126"/>
        <v>506.80000000000007</v>
      </c>
    </row>
    <row r="892" spans="1:8" ht="31.5" x14ac:dyDescent="0.25">
      <c r="A892" s="345" t="s">
        <v>125</v>
      </c>
      <c r="B892" s="346" t="s">
        <v>460</v>
      </c>
      <c r="C892" s="341" t="s">
        <v>203</v>
      </c>
      <c r="D892" s="341" t="s">
        <v>116</v>
      </c>
      <c r="E892" s="2">
        <v>240</v>
      </c>
      <c r="F892" s="2"/>
      <c r="G892" s="295">
        <f>'Пр.4.1 ведом.23-24 '!G451</f>
        <v>506.80000000000007</v>
      </c>
      <c r="H892" s="295">
        <f>'Пр.4.1 ведом.23-24 '!H451</f>
        <v>506.80000000000007</v>
      </c>
    </row>
    <row r="893" spans="1:8" ht="47.25" x14ac:dyDescent="0.25">
      <c r="A893" s="29" t="s">
        <v>185</v>
      </c>
      <c r="B893" s="346" t="s">
        <v>460</v>
      </c>
      <c r="C893" s="341" t="s">
        <v>203</v>
      </c>
      <c r="D893" s="341" t="s">
        <v>116</v>
      </c>
      <c r="E893" s="2">
        <v>240</v>
      </c>
      <c r="F893" s="2">
        <v>903</v>
      </c>
      <c r="G893" s="295">
        <f>G892</f>
        <v>506.80000000000007</v>
      </c>
      <c r="H893" s="295">
        <f>H892</f>
        <v>506.80000000000007</v>
      </c>
    </row>
    <row r="894" spans="1:8" ht="47.25" x14ac:dyDescent="0.25">
      <c r="A894" s="345" t="s">
        <v>357</v>
      </c>
      <c r="B894" s="346" t="s">
        <v>504</v>
      </c>
      <c r="C894" s="341" t="s">
        <v>203</v>
      </c>
      <c r="D894" s="341" t="s">
        <v>116</v>
      </c>
      <c r="E894" s="2"/>
      <c r="F894" s="2"/>
      <c r="G894" s="295">
        <f>G895</f>
        <v>371.9</v>
      </c>
      <c r="H894" s="295">
        <f>H895</f>
        <v>371.9</v>
      </c>
    </row>
    <row r="895" spans="1:8" ht="31.5" x14ac:dyDescent="0.25">
      <c r="A895" s="345" t="s">
        <v>191</v>
      </c>
      <c r="B895" s="346" t="s">
        <v>504</v>
      </c>
      <c r="C895" s="341" t="s">
        <v>203</v>
      </c>
      <c r="D895" s="341" t="s">
        <v>116</v>
      </c>
      <c r="E895" s="2">
        <v>600</v>
      </c>
      <c r="F895" s="2"/>
      <c r="G895" s="295">
        <f>G896</f>
        <v>371.9</v>
      </c>
      <c r="H895" s="295">
        <f>H896</f>
        <v>371.9</v>
      </c>
    </row>
    <row r="896" spans="1:8" ht="15.75" x14ac:dyDescent="0.25">
      <c r="A896" s="345" t="s">
        <v>193</v>
      </c>
      <c r="B896" s="346" t="s">
        <v>504</v>
      </c>
      <c r="C896" s="341" t="s">
        <v>203</v>
      </c>
      <c r="D896" s="341" t="s">
        <v>116</v>
      </c>
      <c r="E896" s="2">
        <v>610</v>
      </c>
      <c r="F896" s="2"/>
      <c r="G896" s="295">
        <f>'Пр.4.1 ведом.23-24 '!G454</f>
        <v>371.9</v>
      </c>
      <c r="H896" s="295">
        <f>'Пр.4.1 ведом.23-24 '!H454</f>
        <v>371.9</v>
      </c>
    </row>
    <row r="897" spans="1:8" ht="47.25" x14ac:dyDescent="0.25">
      <c r="A897" s="29" t="s">
        <v>185</v>
      </c>
      <c r="B897" s="346" t="s">
        <v>504</v>
      </c>
      <c r="C897" s="341" t="s">
        <v>203</v>
      </c>
      <c r="D897" s="341" t="s">
        <v>116</v>
      </c>
      <c r="E897" s="2">
        <v>610</v>
      </c>
      <c r="F897" s="2">
        <v>903</v>
      </c>
      <c r="G897" s="295">
        <f>G896</f>
        <v>371.9</v>
      </c>
      <c r="H897" s="295">
        <f>H896</f>
        <v>371.9</v>
      </c>
    </row>
    <row r="898" spans="1:8" ht="15.75" x14ac:dyDescent="0.25">
      <c r="A898" s="345" t="s">
        <v>250</v>
      </c>
      <c r="B898" s="346" t="s">
        <v>459</v>
      </c>
      <c r="C898" s="341" t="s">
        <v>251</v>
      </c>
      <c r="D898" s="341"/>
      <c r="E898" s="2"/>
      <c r="F898" s="2"/>
      <c r="G898" s="295">
        <f t="shared" ref="G898:H901" si="127">G899</f>
        <v>579.1</v>
      </c>
      <c r="H898" s="295">
        <f t="shared" si="127"/>
        <v>579.1</v>
      </c>
    </row>
    <row r="899" spans="1:8" ht="15.75" x14ac:dyDescent="0.25">
      <c r="A899" s="345" t="s">
        <v>630</v>
      </c>
      <c r="B899" s="346" t="s">
        <v>459</v>
      </c>
      <c r="C899" s="341" t="s">
        <v>251</v>
      </c>
      <c r="D899" s="341" t="s">
        <v>116</v>
      </c>
      <c r="E899" s="2"/>
      <c r="F899" s="2"/>
      <c r="G899" s="295">
        <f t="shared" si="127"/>
        <v>579.1</v>
      </c>
      <c r="H899" s="295">
        <f t="shared" si="127"/>
        <v>579.1</v>
      </c>
    </row>
    <row r="900" spans="1:8" ht="47.25" x14ac:dyDescent="0.25">
      <c r="A900" s="29" t="s">
        <v>357</v>
      </c>
      <c r="B900" s="346" t="s">
        <v>504</v>
      </c>
      <c r="C900" s="341" t="s">
        <v>251</v>
      </c>
      <c r="D900" s="341" t="s">
        <v>116</v>
      </c>
      <c r="E900" s="2"/>
      <c r="F900" s="2"/>
      <c r="G900" s="295">
        <f t="shared" si="127"/>
        <v>579.1</v>
      </c>
      <c r="H900" s="295">
        <f t="shared" si="127"/>
        <v>579.1</v>
      </c>
    </row>
    <row r="901" spans="1:8" ht="31.5" x14ac:dyDescent="0.25">
      <c r="A901" s="20" t="s">
        <v>191</v>
      </c>
      <c r="B901" s="346" t="s">
        <v>504</v>
      </c>
      <c r="C901" s="341" t="s">
        <v>251</v>
      </c>
      <c r="D901" s="341" t="s">
        <v>116</v>
      </c>
      <c r="E901" s="2">
        <v>600</v>
      </c>
      <c r="F901" s="2"/>
      <c r="G901" s="295">
        <f t="shared" si="127"/>
        <v>579.1</v>
      </c>
      <c r="H901" s="295">
        <f t="shared" si="127"/>
        <v>579.1</v>
      </c>
    </row>
    <row r="902" spans="1:8" ht="15.75" x14ac:dyDescent="0.25">
      <c r="A902" s="108" t="s">
        <v>193</v>
      </c>
      <c r="B902" s="346" t="s">
        <v>504</v>
      </c>
      <c r="C902" s="341" t="s">
        <v>251</v>
      </c>
      <c r="D902" s="341" t="s">
        <v>116</v>
      </c>
      <c r="E902" s="2">
        <v>610</v>
      </c>
      <c r="F902" s="2"/>
      <c r="G902" s="295">
        <f>'Пр.4.1 ведом.23-24 '!G898</f>
        <v>579.1</v>
      </c>
      <c r="H902" s="295">
        <f>'Пр.4.1 ведом.23-24 '!H898</f>
        <v>579.1</v>
      </c>
    </row>
    <row r="903" spans="1:8" ht="31.5" x14ac:dyDescent="0.25">
      <c r="A903" s="29" t="s">
        <v>248</v>
      </c>
      <c r="B903" s="346" t="s">
        <v>504</v>
      </c>
      <c r="C903" s="341" t="s">
        <v>251</v>
      </c>
      <c r="D903" s="341" t="s">
        <v>116</v>
      </c>
      <c r="E903" s="2">
        <v>610</v>
      </c>
      <c r="F903" s="2">
        <v>907</v>
      </c>
      <c r="G903" s="295">
        <f>G902</f>
        <v>579.1</v>
      </c>
      <c r="H903" s="295">
        <f>H902</f>
        <v>579.1</v>
      </c>
    </row>
    <row r="904" spans="1:8" ht="15.75" x14ac:dyDescent="0.25">
      <c r="A904" s="20" t="s">
        <v>288</v>
      </c>
      <c r="B904" s="346" t="s">
        <v>459</v>
      </c>
      <c r="C904" s="341" t="s">
        <v>171</v>
      </c>
      <c r="D904" s="341"/>
      <c r="E904" s="2"/>
      <c r="F904" s="2"/>
      <c r="G904" s="295">
        <f t="shared" ref="G904:H907" si="128">G905</f>
        <v>74.900000000000006</v>
      </c>
      <c r="H904" s="295">
        <f t="shared" si="128"/>
        <v>74.900000000000006</v>
      </c>
    </row>
    <row r="905" spans="1:8" ht="15.75" x14ac:dyDescent="0.25">
      <c r="A905" s="20" t="s">
        <v>289</v>
      </c>
      <c r="B905" s="346" t="s">
        <v>459</v>
      </c>
      <c r="C905" s="341" t="s">
        <v>171</v>
      </c>
      <c r="D905" s="341" t="s">
        <v>158</v>
      </c>
      <c r="E905" s="2"/>
      <c r="F905" s="2"/>
      <c r="G905" s="295">
        <f t="shared" si="128"/>
        <v>74.900000000000006</v>
      </c>
      <c r="H905" s="295">
        <f t="shared" si="128"/>
        <v>74.900000000000006</v>
      </c>
    </row>
    <row r="906" spans="1:8" ht="31.5" x14ac:dyDescent="0.25">
      <c r="A906" s="29" t="s">
        <v>355</v>
      </c>
      <c r="B906" s="346" t="s">
        <v>460</v>
      </c>
      <c r="C906" s="341" t="s">
        <v>171</v>
      </c>
      <c r="D906" s="341" t="s">
        <v>158</v>
      </c>
      <c r="E906" s="2"/>
      <c r="F906" s="2"/>
      <c r="G906" s="295">
        <f t="shared" si="128"/>
        <v>74.900000000000006</v>
      </c>
      <c r="H906" s="295">
        <f t="shared" si="128"/>
        <v>74.900000000000006</v>
      </c>
    </row>
    <row r="907" spans="1:8" ht="31.5" x14ac:dyDescent="0.25">
      <c r="A907" s="345" t="s">
        <v>123</v>
      </c>
      <c r="B907" s="346" t="s">
        <v>460</v>
      </c>
      <c r="C907" s="341" t="s">
        <v>171</v>
      </c>
      <c r="D907" s="341" t="s">
        <v>158</v>
      </c>
      <c r="E907" s="2">
        <v>200</v>
      </c>
      <c r="F907" s="2"/>
      <c r="G907" s="295">
        <f t="shared" si="128"/>
        <v>74.900000000000006</v>
      </c>
      <c r="H907" s="295">
        <f t="shared" si="128"/>
        <v>74.900000000000006</v>
      </c>
    </row>
    <row r="908" spans="1:8" ht="31.5" x14ac:dyDescent="0.25">
      <c r="A908" s="345" t="s">
        <v>125</v>
      </c>
      <c r="B908" s="346" t="s">
        <v>460</v>
      </c>
      <c r="C908" s="341" t="s">
        <v>171</v>
      </c>
      <c r="D908" s="341" t="s">
        <v>158</v>
      </c>
      <c r="E908" s="2">
        <v>240</v>
      </c>
      <c r="F908" s="2"/>
      <c r="G908" s="295">
        <f>'Пр.4.1 ведом.23-24 '!G540</f>
        <v>74.900000000000006</v>
      </c>
      <c r="H908" s="295">
        <f>'Пр.4.1 ведом.23-24 '!H540</f>
        <v>74.900000000000006</v>
      </c>
    </row>
    <row r="909" spans="1:8" ht="47.25" x14ac:dyDescent="0.25">
      <c r="A909" s="29" t="s">
        <v>185</v>
      </c>
      <c r="B909" s="346" t="s">
        <v>460</v>
      </c>
      <c r="C909" s="341" t="s">
        <v>171</v>
      </c>
      <c r="D909" s="341" t="s">
        <v>158</v>
      </c>
      <c r="E909" s="2">
        <v>240</v>
      </c>
      <c r="F909" s="2">
        <v>903</v>
      </c>
      <c r="G909" s="295">
        <f>G906</f>
        <v>74.900000000000006</v>
      </c>
      <c r="H909" s="295">
        <f>H906</f>
        <v>74.900000000000006</v>
      </c>
    </row>
    <row r="910" spans="1:8" ht="31.5" x14ac:dyDescent="0.25">
      <c r="A910" s="303" t="s">
        <v>584</v>
      </c>
      <c r="B910" s="299" t="s">
        <v>427</v>
      </c>
      <c r="C910" s="6"/>
      <c r="D910" s="6"/>
      <c r="E910" s="3"/>
      <c r="F910" s="3"/>
      <c r="G910" s="294">
        <f t="shared" ref="G910:H912" si="129">G911</f>
        <v>15</v>
      </c>
      <c r="H910" s="294">
        <f t="shared" si="129"/>
        <v>15</v>
      </c>
    </row>
    <row r="911" spans="1:8" ht="15.75" x14ac:dyDescent="0.25">
      <c r="A911" s="144" t="s">
        <v>115</v>
      </c>
      <c r="B911" s="346" t="s">
        <v>427</v>
      </c>
      <c r="C911" s="341" t="s">
        <v>116</v>
      </c>
      <c r="D911" s="341"/>
      <c r="E911" s="2"/>
      <c r="F911" s="2"/>
      <c r="G911" s="295">
        <f t="shared" si="129"/>
        <v>15</v>
      </c>
      <c r="H911" s="295">
        <f t="shared" si="129"/>
        <v>15</v>
      </c>
    </row>
    <row r="912" spans="1:8" ht="15.75" x14ac:dyDescent="0.25">
      <c r="A912" s="144" t="s">
        <v>131</v>
      </c>
      <c r="B912" s="346" t="s">
        <v>427</v>
      </c>
      <c r="C912" s="341" t="s">
        <v>116</v>
      </c>
      <c r="D912" s="341" t="s">
        <v>132</v>
      </c>
      <c r="E912" s="2"/>
      <c r="F912" s="2"/>
      <c r="G912" s="295">
        <f t="shared" si="129"/>
        <v>15</v>
      </c>
      <c r="H912" s="295">
        <f t="shared" si="129"/>
        <v>15</v>
      </c>
    </row>
    <row r="913" spans="1:8" ht="47.25" x14ac:dyDescent="0.25">
      <c r="A913" s="168" t="s">
        <v>566</v>
      </c>
      <c r="B913" s="346" t="s">
        <v>422</v>
      </c>
      <c r="C913" s="341" t="s">
        <v>116</v>
      </c>
      <c r="D913" s="341" t="s">
        <v>132</v>
      </c>
      <c r="E913" s="2"/>
      <c r="F913" s="2"/>
      <c r="G913" s="295">
        <f t="shared" ref="G913:H914" si="130">G914</f>
        <v>15</v>
      </c>
      <c r="H913" s="295">
        <f t="shared" si="130"/>
        <v>15</v>
      </c>
    </row>
    <row r="914" spans="1:8" ht="31.5" x14ac:dyDescent="0.25">
      <c r="A914" s="345" t="s">
        <v>123</v>
      </c>
      <c r="B914" s="346" t="s">
        <v>422</v>
      </c>
      <c r="C914" s="341" t="s">
        <v>116</v>
      </c>
      <c r="D914" s="341" t="s">
        <v>132</v>
      </c>
      <c r="E914" s="2">
        <v>200</v>
      </c>
      <c r="F914" s="2"/>
      <c r="G914" s="295">
        <f t="shared" si="130"/>
        <v>15</v>
      </c>
      <c r="H914" s="295">
        <f t="shared" si="130"/>
        <v>15</v>
      </c>
    </row>
    <row r="915" spans="1:8" ht="31.5" x14ac:dyDescent="0.25">
      <c r="A915" s="345" t="s">
        <v>125</v>
      </c>
      <c r="B915" s="346" t="s">
        <v>422</v>
      </c>
      <c r="C915" s="341" t="s">
        <v>116</v>
      </c>
      <c r="D915" s="341" t="s">
        <v>132</v>
      </c>
      <c r="E915" s="2">
        <v>240</v>
      </c>
      <c r="F915" s="2"/>
      <c r="G915" s="295">
        <f>'Пр.4.1 ведом.23-24 '!G148</f>
        <v>15</v>
      </c>
      <c r="H915" s="295">
        <f>'Пр.4.1 ведом.23-24 '!H148</f>
        <v>15</v>
      </c>
    </row>
    <row r="916" spans="1:8" ht="20.25" customHeight="1" x14ac:dyDescent="0.25">
      <c r="A916" s="20" t="s">
        <v>137</v>
      </c>
      <c r="B916" s="346" t="s">
        <v>422</v>
      </c>
      <c r="C916" s="341" t="s">
        <v>116</v>
      </c>
      <c r="D916" s="341" t="s">
        <v>132</v>
      </c>
      <c r="E916" s="2">
        <v>240</v>
      </c>
      <c r="F916" s="2">
        <v>902</v>
      </c>
      <c r="G916" s="295">
        <f>G915</f>
        <v>15</v>
      </c>
      <c r="H916" s="295">
        <f>H915</f>
        <v>15</v>
      </c>
    </row>
    <row r="917" spans="1:8" ht="33" hidden="1" customHeight="1" x14ac:dyDescent="0.25">
      <c r="A917" s="298" t="s">
        <v>1027</v>
      </c>
      <c r="B917" s="299" t="s">
        <v>1028</v>
      </c>
      <c r="C917" s="6"/>
      <c r="D917" s="6"/>
      <c r="E917" s="3"/>
      <c r="F917" s="3"/>
      <c r="G917" s="294">
        <f>G918</f>
        <v>0</v>
      </c>
      <c r="H917" s="294">
        <f>H918</f>
        <v>0</v>
      </c>
    </row>
    <row r="918" spans="1:8" ht="31.5" hidden="1" x14ac:dyDescent="0.25">
      <c r="A918" s="345" t="s">
        <v>163</v>
      </c>
      <c r="B918" s="346" t="s">
        <v>1028</v>
      </c>
      <c r="C918" s="341" t="s">
        <v>159</v>
      </c>
      <c r="D918" s="341"/>
      <c r="E918" s="2"/>
      <c r="F918" s="2"/>
      <c r="G918" s="295">
        <f>G919</f>
        <v>0</v>
      </c>
      <c r="H918" s="295">
        <f>H919</f>
        <v>0</v>
      </c>
    </row>
    <row r="919" spans="1:8" ht="47.25" hidden="1" x14ac:dyDescent="0.25">
      <c r="A919" s="345" t="s">
        <v>849</v>
      </c>
      <c r="B919" s="346" t="s">
        <v>1028</v>
      </c>
      <c r="C919" s="341" t="s">
        <v>159</v>
      </c>
      <c r="D919" s="341" t="s">
        <v>174</v>
      </c>
      <c r="E919" s="2"/>
      <c r="F919" s="2"/>
      <c r="G919" s="295">
        <f>G920+G924</f>
        <v>0</v>
      </c>
      <c r="H919" s="295">
        <f>H920+H924</f>
        <v>0</v>
      </c>
    </row>
    <row r="920" spans="1:8" ht="20.25" hidden="1" customHeight="1" x14ac:dyDescent="0.25">
      <c r="A920" s="345" t="s">
        <v>165</v>
      </c>
      <c r="B920" s="346" t="s">
        <v>1029</v>
      </c>
      <c r="C920" s="341" t="s">
        <v>159</v>
      </c>
      <c r="D920" s="341" t="s">
        <v>174</v>
      </c>
      <c r="E920" s="2"/>
      <c r="F920" s="2"/>
      <c r="G920" s="295">
        <f>G921</f>
        <v>0</v>
      </c>
      <c r="H920" s="295">
        <f>H921</f>
        <v>0</v>
      </c>
    </row>
    <row r="921" spans="1:8" ht="31.5" hidden="1" x14ac:dyDescent="0.25">
      <c r="A921" s="345" t="s">
        <v>123</v>
      </c>
      <c r="B921" s="346" t="s">
        <v>1029</v>
      </c>
      <c r="C921" s="341" t="s">
        <v>159</v>
      </c>
      <c r="D921" s="341" t="s">
        <v>174</v>
      </c>
      <c r="E921" s="2">
        <v>200</v>
      </c>
      <c r="F921" s="2"/>
      <c r="G921" s="295">
        <f>G922</f>
        <v>0</v>
      </c>
      <c r="H921" s="295">
        <f>H922</f>
        <v>0</v>
      </c>
    </row>
    <row r="922" spans="1:8" ht="31.5" hidden="1" x14ac:dyDescent="0.25">
      <c r="A922" s="345" t="s">
        <v>125</v>
      </c>
      <c r="B922" s="346" t="s">
        <v>1029</v>
      </c>
      <c r="C922" s="341" t="s">
        <v>159</v>
      </c>
      <c r="D922" s="341" t="s">
        <v>174</v>
      </c>
      <c r="E922" s="2">
        <v>240</v>
      </c>
      <c r="F922" s="2"/>
      <c r="G922" s="295">
        <f>'Пр.4 ведом.22'!G215</f>
        <v>0</v>
      </c>
      <c r="H922" s="295">
        <f>'Пр.4 ведом.22'!H215</f>
        <v>0</v>
      </c>
    </row>
    <row r="923" spans="1:8" ht="15.75" hidden="1" x14ac:dyDescent="0.25">
      <c r="A923" s="20" t="s">
        <v>137</v>
      </c>
      <c r="B923" s="346" t="s">
        <v>1029</v>
      </c>
      <c r="C923" s="341" t="s">
        <v>159</v>
      </c>
      <c r="D923" s="341" t="s">
        <v>174</v>
      </c>
      <c r="E923" s="2">
        <v>240</v>
      </c>
      <c r="F923" s="2">
        <v>902</v>
      </c>
      <c r="G923" s="295">
        <f>G922</f>
        <v>0</v>
      </c>
      <c r="H923" s="295">
        <f>H922</f>
        <v>0</v>
      </c>
    </row>
    <row r="924" spans="1:8" ht="47.25" hidden="1" x14ac:dyDescent="0.25">
      <c r="A924" s="345" t="s">
        <v>1062</v>
      </c>
      <c r="B924" s="346" t="s">
        <v>1063</v>
      </c>
      <c r="C924" s="341" t="s">
        <v>159</v>
      </c>
      <c r="D924" s="341" t="s">
        <v>174</v>
      </c>
      <c r="E924" s="2"/>
      <c r="F924" s="2"/>
      <c r="G924" s="295">
        <f>G925</f>
        <v>0</v>
      </c>
      <c r="H924" s="295">
        <f>H925</f>
        <v>0</v>
      </c>
    </row>
    <row r="925" spans="1:8" ht="15.75" hidden="1" x14ac:dyDescent="0.25">
      <c r="A925" s="345" t="s">
        <v>177</v>
      </c>
      <c r="B925" s="346" t="s">
        <v>1063</v>
      </c>
      <c r="C925" s="341" t="s">
        <v>159</v>
      </c>
      <c r="D925" s="341" t="s">
        <v>174</v>
      </c>
      <c r="E925" s="2" t="s">
        <v>178</v>
      </c>
      <c r="F925" s="2"/>
      <c r="G925" s="295">
        <f>G926</f>
        <v>0</v>
      </c>
      <c r="H925" s="295">
        <f>H926</f>
        <v>0</v>
      </c>
    </row>
    <row r="926" spans="1:8" ht="31.5" hidden="1" x14ac:dyDescent="0.25">
      <c r="A926" s="345" t="s">
        <v>179</v>
      </c>
      <c r="B926" s="346" t="s">
        <v>1063</v>
      </c>
      <c r="C926" s="341" t="s">
        <v>159</v>
      </c>
      <c r="D926" s="341" t="s">
        <v>174</v>
      </c>
      <c r="E926" s="2" t="s">
        <v>180</v>
      </c>
      <c r="F926" s="2"/>
      <c r="G926" s="295">
        <f>'Пр.4 ведом.22'!G221</f>
        <v>0</v>
      </c>
      <c r="H926" s="295">
        <f>'Пр.4 ведом.22'!H221</f>
        <v>0</v>
      </c>
    </row>
    <row r="927" spans="1:8" ht="15.75" hidden="1" x14ac:dyDescent="0.25">
      <c r="A927" s="20" t="s">
        <v>137</v>
      </c>
      <c r="B927" s="346" t="s">
        <v>1063</v>
      </c>
      <c r="C927" s="341" t="s">
        <v>159</v>
      </c>
      <c r="D927" s="341" t="s">
        <v>174</v>
      </c>
      <c r="E927" s="2">
        <v>320</v>
      </c>
      <c r="F927" s="2">
        <v>902</v>
      </c>
      <c r="G927" s="295">
        <f>G926</f>
        <v>0</v>
      </c>
      <c r="H927" s="295">
        <f>H926</f>
        <v>0</v>
      </c>
    </row>
    <row r="928" spans="1:8" ht="65.25" customHeight="1" x14ac:dyDescent="0.25">
      <c r="A928" s="298" t="s">
        <v>987</v>
      </c>
      <c r="B928" s="299" t="s">
        <v>341</v>
      </c>
      <c r="C928" s="6"/>
      <c r="D928" s="6"/>
      <c r="E928" s="3"/>
      <c r="F928" s="3"/>
      <c r="G928" s="294">
        <f>G929+G936</f>
        <v>500</v>
      </c>
      <c r="H928" s="294">
        <f>H929+H936</f>
        <v>500</v>
      </c>
    </row>
    <row r="929" spans="1:8" ht="31.5" x14ac:dyDescent="0.25">
      <c r="A929" s="298" t="s">
        <v>621</v>
      </c>
      <c r="B929" s="299" t="s">
        <v>639</v>
      </c>
      <c r="C929" s="6"/>
      <c r="D929" s="6"/>
      <c r="E929" s="3"/>
      <c r="F929" s="3"/>
      <c r="G929" s="294">
        <f>G930</f>
        <v>500</v>
      </c>
      <c r="H929" s="294">
        <f>H930</f>
        <v>500</v>
      </c>
    </row>
    <row r="930" spans="1:8" ht="15.75" x14ac:dyDescent="0.25">
      <c r="A930" s="345" t="s">
        <v>231</v>
      </c>
      <c r="B930" s="346" t="s">
        <v>410</v>
      </c>
      <c r="C930" s="341" t="s">
        <v>168</v>
      </c>
      <c r="D930" s="341"/>
      <c r="E930" s="2"/>
      <c r="F930" s="2"/>
      <c r="G930" s="295">
        <f t="shared" ref="G930:H933" si="131">G931</f>
        <v>500</v>
      </c>
      <c r="H930" s="295">
        <f t="shared" si="131"/>
        <v>500</v>
      </c>
    </row>
    <row r="931" spans="1:8" ht="15.75" x14ac:dyDescent="0.25">
      <c r="A931" s="345" t="s">
        <v>272</v>
      </c>
      <c r="B931" s="346" t="s">
        <v>410</v>
      </c>
      <c r="C931" s="341" t="s">
        <v>168</v>
      </c>
      <c r="D931" s="341" t="s">
        <v>159</v>
      </c>
      <c r="E931" s="2"/>
      <c r="F931" s="2"/>
      <c r="G931" s="295">
        <f t="shared" si="131"/>
        <v>500</v>
      </c>
      <c r="H931" s="295">
        <f t="shared" si="131"/>
        <v>500</v>
      </c>
    </row>
    <row r="932" spans="1:8" ht="47.25" x14ac:dyDescent="0.25">
      <c r="A932" s="49" t="s">
        <v>333</v>
      </c>
      <c r="B932" s="346" t="s">
        <v>410</v>
      </c>
      <c r="C932" s="341" t="s">
        <v>168</v>
      </c>
      <c r="D932" s="341" t="s">
        <v>159</v>
      </c>
      <c r="E932" s="2"/>
      <c r="F932" s="2"/>
      <c r="G932" s="295">
        <f t="shared" si="131"/>
        <v>500</v>
      </c>
      <c r="H932" s="295">
        <f t="shared" si="131"/>
        <v>500</v>
      </c>
    </row>
    <row r="933" spans="1:8" ht="31.5" x14ac:dyDescent="0.25">
      <c r="A933" s="345" t="s">
        <v>123</v>
      </c>
      <c r="B933" s="346" t="s">
        <v>410</v>
      </c>
      <c r="C933" s="341" t="s">
        <v>168</v>
      </c>
      <c r="D933" s="341" t="s">
        <v>159</v>
      </c>
      <c r="E933" s="2">
        <v>200</v>
      </c>
      <c r="F933" s="2"/>
      <c r="G933" s="295">
        <f t="shared" si="131"/>
        <v>500</v>
      </c>
      <c r="H933" s="295">
        <f t="shared" si="131"/>
        <v>500</v>
      </c>
    </row>
    <row r="934" spans="1:8" ht="31.5" x14ac:dyDescent="0.25">
      <c r="A934" s="345" t="s">
        <v>125</v>
      </c>
      <c r="B934" s="346" t="s">
        <v>410</v>
      </c>
      <c r="C934" s="341" t="s">
        <v>168</v>
      </c>
      <c r="D934" s="341" t="s">
        <v>159</v>
      </c>
      <c r="E934" s="2">
        <v>240</v>
      </c>
      <c r="F934" s="2"/>
      <c r="G934" s="295">
        <f>'Пр.4.1 ведом.23-24 '!G1135</f>
        <v>500</v>
      </c>
      <c r="H934" s="295">
        <f>'Пр.4.1 ведом.23-24 '!H1135</f>
        <v>500</v>
      </c>
    </row>
    <row r="935" spans="1:8" ht="34.5" customHeight="1" x14ac:dyDescent="0.25">
      <c r="A935" s="29" t="s">
        <v>302</v>
      </c>
      <c r="B935" s="346" t="s">
        <v>410</v>
      </c>
      <c r="C935" s="341" t="s">
        <v>168</v>
      </c>
      <c r="D935" s="341" t="s">
        <v>159</v>
      </c>
      <c r="E935" s="2">
        <v>240</v>
      </c>
      <c r="F935" s="2">
        <v>908</v>
      </c>
      <c r="G935" s="295">
        <f t="shared" ref="G935:H935" si="132">G928</f>
        <v>500</v>
      </c>
      <c r="H935" s="295">
        <f t="shared" si="132"/>
        <v>500</v>
      </c>
    </row>
    <row r="936" spans="1:8" s="397" customFormat="1" ht="110.25" hidden="1" x14ac:dyDescent="0.25">
      <c r="A936" s="409" t="s">
        <v>1083</v>
      </c>
      <c r="B936" s="406" t="s">
        <v>1084</v>
      </c>
      <c r="C936" s="399"/>
      <c r="D936" s="399"/>
      <c r="E936" s="407"/>
      <c r="F936" s="407"/>
      <c r="G936" s="400">
        <f>G937</f>
        <v>0</v>
      </c>
      <c r="H936" s="400">
        <f>H937</f>
        <v>0</v>
      </c>
    </row>
    <row r="937" spans="1:8" s="397" customFormat="1" ht="15.75" hidden="1" x14ac:dyDescent="0.25">
      <c r="A937" s="391" t="s">
        <v>231</v>
      </c>
      <c r="B937" s="394" t="s">
        <v>1085</v>
      </c>
      <c r="C937" s="395" t="s">
        <v>168</v>
      </c>
      <c r="D937" s="395"/>
      <c r="E937" s="402"/>
      <c r="F937" s="402"/>
      <c r="G937" s="401">
        <f t="shared" ref="G937:H940" si="133">G938</f>
        <v>0</v>
      </c>
      <c r="H937" s="401">
        <f t="shared" si="133"/>
        <v>0</v>
      </c>
    </row>
    <row r="938" spans="1:8" s="397" customFormat="1" ht="15.75" hidden="1" x14ac:dyDescent="0.25">
      <c r="A938" s="391" t="s">
        <v>272</v>
      </c>
      <c r="B938" s="394" t="s">
        <v>1085</v>
      </c>
      <c r="C938" s="395" t="s">
        <v>168</v>
      </c>
      <c r="D938" s="395" t="s">
        <v>159</v>
      </c>
      <c r="E938" s="402"/>
      <c r="F938" s="402"/>
      <c r="G938" s="401">
        <f t="shared" si="133"/>
        <v>0</v>
      </c>
      <c r="H938" s="401">
        <f t="shared" si="133"/>
        <v>0</v>
      </c>
    </row>
    <row r="939" spans="1:8" s="397" customFormat="1" ht="94.5" hidden="1" x14ac:dyDescent="0.25">
      <c r="A939" s="410" t="s">
        <v>1106</v>
      </c>
      <c r="B939" s="394" t="s">
        <v>1085</v>
      </c>
      <c r="C939" s="395" t="s">
        <v>168</v>
      </c>
      <c r="D939" s="395" t="s">
        <v>159</v>
      </c>
      <c r="E939" s="402"/>
      <c r="F939" s="402"/>
      <c r="G939" s="401">
        <f t="shared" si="133"/>
        <v>0</v>
      </c>
      <c r="H939" s="401">
        <f t="shared" si="133"/>
        <v>0</v>
      </c>
    </row>
    <row r="940" spans="1:8" s="397" customFormat="1" ht="31.5" hidden="1" x14ac:dyDescent="0.25">
      <c r="A940" s="391" t="s">
        <v>123</v>
      </c>
      <c r="B940" s="394" t="s">
        <v>1085</v>
      </c>
      <c r="C940" s="395" t="s">
        <v>168</v>
      </c>
      <c r="D940" s="395" t="s">
        <v>159</v>
      </c>
      <c r="E940" s="402">
        <v>200</v>
      </c>
      <c r="F940" s="402"/>
      <c r="G940" s="401">
        <f t="shared" si="133"/>
        <v>0</v>
      </c>
      <c r="H940" s="401">
        <f t="shared" si="133"/>
        <v>0</v>
      </c>
    </row>
    <row r="941" spans="1:8" s="397" customFormat="1" ht="31.5" hidden="1" x14ac:dyDescent="0.25">
      <c r="A941" s="391" t="s">
        <v>125</v>
      </c>
      <c r="B941" s="394" t="s">
        <v>1085</v>
      </c>
      <c r="C941" s="395" t="s">
        <v>168</v>
      </c>
      <c r="D941" s="395" t="s">
        <v>159</v>
      </c>
      <c r="E941" s="402">
        <v>240</v>
      </c>
      <c r="F941" s="402"/>
      <c r="G941" s="401">
        <f>'Пр.4 ведом.22'!G1265</f>
        <v>0</v>
      </c>
      <c r="H941" s="401">
        <f>'Пр.4 ведом.22'!H1265</f>
        <v>0</v>
      </c>
    </row>
    <row r="942" spans="1:8" s="397" customFormat="1" ht="34.5" hidden="1" customHeight="1" x14ac:dyDescent="0.25">
      <c r="A942" s="398" t="s">
        <v>302</v>
      </c>
      <c r="B942" s="394" t="s">
        <v>1085</v>
      </c>
      <c r="C942" s="395" t="s">
        <v>168</v>
      </c>
      <c r="D942" s="395" t="s">
        <v>159</v>
      </c>
      <c r="E942" s="402">
        <v>240</v>
      </c>
      <c r="F942" s="402">
        <v>908</v>
      </c>
      <c r="G942" s="401">
        <f>'Пр.4 ведом.22'!G1265</f>
        <v>0</v>
      </c>
      <c r="H942" s="401">
        <f>'Пр.4 ведом.22'!H1265</f>
        <v>0</v>
      </c>
    </row>
    <row r="943" spans="1:8" s="111" customFormat="1" ht="63" hidden="1" x14ac:dyDescent="0.25">
      <c r="A943" s="34" t="s">
        <v>985</v>
      </c>
      <c r="B943" s="299" t="s">
        <v>358</v>
      </c>
      <c r="C943" s="6"/>
      <c r="D943" s="6"/>
      <c r="E943" s="3"/>
      <c r="F943" s="3"/>
      <c r="G943" s="294">
        <f>G945</f>
        <v>625.21350999999993</v>
      </c>
      <c r="H943" s="294">
        <f>H945</f>
        <v>0</v>
      </c>
    </row>
    <row r="944" spans="1:8" s="111" customFormat="1" ht="31.5" hidden="1" x14ac:dyDescent="0.25">
      <c r="A944" s="298" t="s">
        <v>499</v>
      </c>
      <c r="B944" s="299" t="s">
        <v>581</v>
      </c>
      <c r="C944" s="6"/>
      <c r="D944" s="6"/>
      <c r="E944" s="3"/>
      <c r="F944" s="3"/>
      <c r="G944" s="294">
        <f t="shared" ref="G944:H948" si="134">G945</f>
        <v>625.21350999999993</v>
      </c>
      <c r="H944" s="294">
        <f t="shared" si="134"/>
        <v>0</v>
      </c>
    </row>
    <row r="945" spans="1:8" ht="15.75" hidden="1" x14ac:dyDescent="0.25">
      <c r="A945" s="29" t="s">
        <v>115</v>
      </c>
      <c r="B945" s="346" t="s">
        <v>581</v>
      </c>
      <c r="C945" s="341" t="s">
        <v>116</v>
      </c>
      <c r="D945" s="341"/>
      <c r="E945" s="2"/>
      <c r="F945" s="2"/>
      <c r="G945" s="295">
        <f t="shared" si="134"/>
        <v>625.21350999999993</v>
      </c>
      <c r="H945" s="295">
        <f t="shared" si="134"/>
        <v>0</v>
      </c>
    </row>
    <row r="946" spans="1:8" ht="15.75" hidden="1" x14ac:dyDescent="0.25">
      <c r="A946" s="29" t="s">
        <v>131</v>
      </c>
      <c r="B946" s="346" t="s">
        <v>581</v>
      </c>
      <c r="C946" s="341" t="s">
        <v>116</v>
      </c>
      <c r="D946" s="341" t="s">
        <v>132</v>
      </c>
      <c r="E946" s="2"/>
      <c r="F946" s="2"/>
      <c r="G946" s="295">
        <f t="shared" si="134"/>
        <v>625.21350999999993</v>
      </c>
      <c r="H946" s="295">
        <f t="shared" si="134"/>
        <v>0</v>
      </c>
    </row>
    <row r="947" spans="1:8" ht="31.5" hidden="1" x14ac:dyDescent="0.25">
      <c r="A947" s="29" t="s">
        <v>366</v>
      </c>
      <c r="B947" s="346" t="s">
        <v>582</v>
      </c>
      <c r="C947" s="341" t="s">
        <v>116</v>
      </c>
      <c r="D947" s="341" t="s">
        <v>132</v>
      </c>
      <c r="E947" s="2"/>
      <c r="F947" s="2"/>
      <c r="G947" s="295">
        <f t="shared" si="134"/>
        <v>625.21350999999993</v>
      </c>
      <c r="H947" s="295">
        <f t="shared" si="134"/>
        <v>0</v>
      </c>
    </row>
    <row r="948" spans="1:8" ht="31.5" hidden="1" x14ac:dyDescent="0.25">
      <c r="A948" s="29" t="s">
        <v>123</v>
      </c>
      <c r="B948" s="346" t="s">
        <v>582</v>
      </c>
      <c r="C948" s="341" t="s">
        <v>116</v>
      </c>
      <c r="D948" s="341" t="s">
        <v>132</v>
      </c>
      <c r="E948" s="2">
        <v>200</v>
      </c>
      <c r="F948" s="2"/>
      <c r="G948" s="295">
        <f t="shared" si="134"/>
        <v>625.21350999999993</v>
      </c>
      <c r="H948" s="295">
        <f t="shared" si="134"/>
        <v>0</v>
      </c>
    </row>
    <row r="949" spans="1:8" ht="31.5" hidden="1" x14ac:dyDescent="0.25">
      <c r="A949" s="29" t="s">
        <v>125</v>
      </c>
      <c r="B949" s="346" t="s">
        <v>582</v>
      </c>
      <c r="C949" s="341" t="s">
        <v>116</v>
      </c>
      <c r="D949" s="341" t="s">
        <v>132</v>
      </c>
      <c r="E949" s="2">
        <v>240</v>
      </c>
      <c r="F949" s="2"/>
      <c r="G949" s="295">
        <f>'Пр.4 ведом.22'!G657</f>
        <v>625.21350999999993</v>
      </c>
      <c r="H949" s="295">
        <f>'Пр.4 ведом.22'!H657</f>
        <v>0</v>
      </c>
    </row>
    <row r="950" spans="1:8" ht="36.75" hidden="1" customHeight="1" x14ac:dyDescent="0.25">
      <c r="A950" s="29" t="s">
        <v>880</v>
      </c>
      <c r="B950" s="346" t="s">
        <v>582</v>
      </c>
      <c r="C950" s="341" t="s">
        <v>116</v>
      </c>
      <c r="D950" s="341" t="s">
        <v>132</v>
      </c>
      <c r="E950" s="2">
        <v>240</v>
      </c>
      <c r="F950" s="2">
        <v>905</v>
      </c>
      <c r="G950" s="295">
        <f>G943</f>
        <v>625.21350999999993</v>
      </c>
      <c r="H950" s="295">
        <f>H943</f>
        <v>0</v>
      </c>
    </row>
    <row r="951" spans="1:8" ht="68.25" customHeight="1" x14ac:dyDescent="0.25">
      <c r="A951" s="340" t="s">
        <v>868</v>
      </c>
      <c r="B951" s="299" t="s">
        <v>393</v>
      </c>
      <c r="C951" s="6"/>
      <c r="D951" s="6"/>
      <c r="E951" s="3"/>
      <c r="F951" s="3"/>
      <c r="G951" s="294">
        <f>G953</f>
        <v>45</v>
      </c>
      <c r="H951" s="294">
        <f>H953</f>
        <v>45</v>
      </c>
    </row>
    <row r="952" spans="1:8" ht="47.25" x14ac:dyDescent="0.25">
      <c r="A952" s="134" t="s">
        <v>428</v>
      </c>
      <c r="B952" s="299" t="s">
        <v>628</v>
      </c>
      <c r="C952" s="6"/>
      <c r="D952" s="6"/>
      <c r="E952" s="3"/>
      <c r="F952" s="3"/>
      <c r="G952" s="294">
        <f t="shared" ref="G952:H956" si="135">G953</f>
        <v>45</v>
      </c>
      <c r="H952" s="294">
        <f t="shared" si="135"/>
        <v>45</v>
      </c>
    </row>
    <row r="953" spans="1:8" ht="15.75" x14ac:dyDescent="0.25">
      <c r="A953" s="29" t="s">
        <v>115</v>
      </c>
      <c r="B953" s="346" t="s">
        <v>628</v>
      </c>
      <c r="C953" s="341" t="s">
        <v>116</v>
      </c>
      <c r="D953" s="341"/>
      <c r="E953" s="2"/>
      <c r="F953" s="2"/>
      <c r="G953" s="295">
        <f t="shared" si="135"/>
        <v>45</v>
      </c>
      <c r="H953" s="295">
        <f t="shared" si="135"/>
        <v>45</v>
      </c>
    </row>
    <row r="954" spans="1:8" ht="15.75" x14ac:dyDescent="0.25">
      <c r="A954" s="29" t="s">
        <v>131</v>
      </c>
      <c r="B954" s="346" t="s">
        <v>628</v>
      </c>
      <c r="C954" s="341" t="s">
        <v>116</v>
      </c>
      <c r="D954" s="341" t="s">
        <v>132</v>
      </c>
      <c r="E954" s="2"/>
      <c r="F954" s="2"/>
      <c r="G954" s="295">
        <f t="shared" si="135"/>
        <v>45</v>
      </c>
      <c r="H954" s="295">
        <f t="shared" si="135"/>
        <v>45</v>
      </c>
    </row>
    <row r="955" spans="1:8" ht="31.5" x14ac:dyDescent="0.25">
      <c r="A955" s="66" t="s">
        <v>145</v>
      </c>
      <c r="B955" s="346" t="s">
        <v>429</v>
      </c>
      <c r="C955" s="341" t="s">
        <v>116</v>
      </c>
      <c r="D955" s="341" t="s">
        <v>132</v>
      </c>
      <c r="E955" s="2"/>
      <c r="F955" s="2"/>
      <c r="G955" s="295">
        <f t="shared" si="135"/>
        <v>45</v>
      </c>
      <c r="H955" s="295">
        <f t="shared" si="135"/>
        <v>45</v>
      </c>
    </row>
    <row r="956" spans="1:8" ht="31.5" x14ac:dyDescent="0.25">
      <c r="A956" s="29" t="s">
        <v>123</v>
      </c>
      <c r="B956" s="346" t="s">
        <v>429</v>
      </c>
      <c r="C956" s="341" t="s">
        <v>116</v>
      </c>
      <c r="D956" s="341" t="s">
        <v>132</v>
      </c>
      <c r="E956" s="2">
        <v>200</v>
      </c>
      <c r="F956" s="2"/>
      <c r="G956" s="295">
        <f t="shared" si="135"/>
        <v>45</v>
      </c>
      <c r="H956" s="295">
        <f t="shared" si="135"/>
        <v>45</v>
      </c>
    </row>
    <row r="957" spans="1:8" ht="31.5" x14ac:dyDescent="0.25">
      <c r="A957" s="29" t="s">
        <v>125</v>
      </c>
      <c r="B957" s="346" t="s">
        <v>429</v>
      </c>
      <c r="C957" s="341" t="s">
        <v>116</v>
      </c>
      <c r="D957" s="341" t="s">
        <v>132</v>
      </c>
      <c r="E957" s="2">
        <v>240</v>
      </c>
      <c r="F957" s="2"/>
      <c r="G957" s="295">
        <f>'Пр.4.1 ведом.23-24 '!G153</f>
        <v>45</v>
      </c>
      <c r="H957" s="295">
        <f>'Пр.4.1 ведом.23-24 '!H153</f>
        <v>45</v>
      </c>
    </row>
    <row r="958" spans="1:8" ht="23.25" customHeight="1" x14ac:dyDescent="0.25">
      <c r="A958" s="20" t="s">
        <v>137</v>
      </c>
      <c r="B958" s="346" t="s">
        <v>429</v>
      </c>
      <c r="C958" s="341" t="s">
        <v>116</v>
      </c>
      <c r="D958" s="341" t="s">
        <v>132</v>
      </c>
      <c r="E958" s="2">
        <v>240</v>
      </c>
      <c r="F958" s="2">
        <v>902</v>
      </c>
      <c r="G958" s="295">
        <f>G951</f>
        <v>45</v>
      </c>
      <c r="H958" s="295">
        <f>H951</f>
        <v>45</v>
      </c>
    </row>
    <row r="959" spans="1:8" ht="63" x14ac:dyDescent="0.25">
      <c r="A959" s="340" t="s">
        <v>1257</v>
      </c>
      <c r="B959" s="299" t="s">
        <v>1249</v>
      </c>
      <c r="C959" s="6"/>
      <c r="D959" s="6"/>
      <c r="E959" s="3"/>
      <c r="F959" s="3"/>
      <c r="G959" s="294">
        <f t="shared" ref="G959:H964" si="136">G960</f>
        <v>30</v>
      </c>
      <c r="H959" s="294">
        <f t="shared" si="136"/>
        <v>30</v>
      </c>
    </row>
    <row r="960" spans="1:8" ht="47.25" x14ac:dyDescent="0.25">
      <c r="A960" s="340" t="s">
        <v>1258</v>
      </c>
      <c r="B960" s="299" t="s">
        <v>1250</v>
      </c>
      <c r="C960" s="6"/>
      <c r="D960" s="6"/>
      <c r="E960" s="3"/>
      <c r="F960" s="3"/>
      <c r="G960" s="294">
        <f t="shared" si="136"/>
        <v>30</v>
      </c>
      <c r="H960" s="294">
        <f t="shared" si="136"/>
        <v>30</v>
      </c>
    </row>
    <row r="961" spans="1:8" ht="15.75" x14ac:dyDescent="0.25">
      <c r="A961" s="29" t="s">
        <v>115</v>
      </c>
      <c r="B961" s="346" t="s">
        <v>1250</v>
      </c>
      <c r="C961" s="341" t="s">
        <v>116</v>
      </c>
      <c r="D961" s="341"/>
      <c r="E961" s="2"/>
      <c r="F961" s="2"/>
      <c r="G961" s="295">
        <f t="shared" si="136"/>
        <v>30</v>
      </c>
      <c r="H961" s="295">
        <f t="shared" si="136"/>
        <v>30</v>
      </c>
    </row>
    <row r="962" spans="1:8" ht="15.75" x14ac:dyDescent="0.25">
      <c r="A962" s="29" t="s">
        <v>131</v>
      </c>
      <c r="B962" s="346" t="s">
        <v>1250</v>
      </c>
      <c r="C962" s="341" t="s">
        <v>116</v>
      </c>
      <c r="D962" s="341" t="s">
        <v>132</v>
      </c>
      <c r="E962" s="2"/>
      <c r="F962" s="2"/>
      <c r="G962" s="295">
        <f t="shared" si="136"/>
        <v>30</v>
      </c>
      <c r="H962" s="295">
        <f t="shared" si="136"/>
        <v>30</v>
      </c>
    </row>
    <row r="963" spans="1:8" ht="31.5" x14ac:dyDescent="0.25">
      <c r="A963" s="345" t="s">
        <v>1259</v>
      </c>
      <c r="B963" s="346" t="s">
        <v>1251</v>
      </c>
      <c r="C963" s="341" t="s">
        <v>116</v>
      </c>
      <c r="D963" s="341" t="s">
        <v>132</v>
      </c>
      <c r="E963" s="2"/>
      <c r="F963" s="2"/>
      <c r="G963" s="295">
        <f t="shared" si="136"/>
        <v>30</v>
      </c>
      <c r="H963" s="295">
        <f t="shared" si="136"/>
        <v>30</v>
      </c>
    </row>
    <row r="964" spans="1:8" ht="15.75" x14ac:dyDescent="0.25">
      <c r="A964" s="583" t="s">
        <v>177</v>
      </c>
      <c r="B964" s="346" t="s">
        <v>1251</v>
      </c>
      <c r="C964" s="341" t="s">
        <v>116</v>
      </c>
      <c r="D964" s="341" t="s">
        <v>132</v>
      </c>
      <c r="E964" s="2">
        <v>300</v>
      </c>
      <c r="F964" s="2"/>
      <c r="G964" s="295">
        <f t="shared" si="136"/>
        <v>30</v>
      </c>
      <c r="H964" s="295">
        <f t="shared" si="136"/>
        <v>30</v>
      </c>
    </row>
    <row r="965" spans="1:8" ht="15.75" x14ac:dyDescent="0.25">
      <c r="A965" s="345" t="s">
        <v>1260</v>
      </c>
      <c r="B965" s="346" t="s">
        <v>1251</v>
      </c>
      <c r="C965" s="341" t="s">
        <v>116</v>
      </c>
      <c r="D965" s="341" t="s">
        <v>132</v>
      </c>
      <c r="E965" s="2">
        <v>350</v>
      </c>
      <c r="F965" s="2"/>
      <c r="G965" s="295">
        <f>'Пр.4.1 ведом.23-24 '!G158</f>
        <v>30</v>
      </c>
      <c r="H965" s="295">
        <f>'Пр.4.1 ведом.23-24 '!H158</f>
        <v>30</v>
      </c>
    </row>
    <row r="966" spans="1:8" ht="15.75" x14ac:dyDescent="0.25">
      <c r="A966" s="20" t="s">
        <v>137</v>
      </c>
      <c r="B966" s="346" t="s">
        <v>1251</v>
      </c>
      <c r="C966" s="341" t="s">
        <v>116</v>
      </c>
      <c r="D966" s="341" t="s">
        <v>132</v>
      </c>
      <c r="E966" s="2">
        <v>350</v>
      </c>
      <c r="F966" s="2">
        <v>902</v>
      </c>
      <c r="G966" s="295">
        <f>G965</f>
        <v>30</v>
      </c>
      <c r="H966" s="295">
        <f>H965</f>
        <v>30</v>
      </c>
    </row>
    <row r="967" spans="1:8" ht="63" x14ac:dyDescent="0.25">
      <c r="A967" s="340" t="s">
        <v>874</v>
      </c>
      <c r="B967" s="299" t="s">
        <v>394</v>
      </c>
      <c r="C967" s="6"/>
      <c r="D967" s="6"/>
      <c r="E967" s="3"/>
      <c r="F967" s="3"/>
      <c r="G967" s="294">
        <f>G969</f>
        <v>80</v>
      </c>
      <c r="H967" s="294">
        <f>H969</f>
        <v>80</v>
      </c>
    </row>
    <row r="968" spans="1:8" ht="31.5" x14ac:dyDescent="0.25">
      <c r="A968" s="34" t="s">
        <v>430</v>
      </c>
      <c r="B968" s="299" t="s">
        <v>438</v>
      </c>
      <c r="C968" s="6"/>
      <c r="D968" s="6"/>
      <c r="E968" s="3"/>
      <c r="F968" s="3"/>
      <c r="G968" s="294">
        <f t="shared" ref="G968:H972" si="137">G969</f>
        <v>80</v>
      </c>
      <c r="H968" s="294">
        <f t="shared" si="137"/>
        <v>80</v>
      </c>
    </row>
    <row r="969" spans="1:8" ht="15.75" x14ac:dyDescent="0.25">
      <c r="A969" s="29" t="s">
        <v>115</v>
      </c>
      <c r="B969" s="346" t="s">
        <v>438</v>
      </c>
      <c r="C969" s="341" t="s">
        <v>116</v>
      </c>
      <c r="D969" s="341"/>
      <c r="E969" s="2"/>
      <c r="F969" s="2"/>
      <c r="G969" s="295">
        <f t="shared" si="137"/>
        <v>80</v>
      </c>
      <c r="H969" s="295">
        <f t="shared" si="137"/>
        <v>80</v>
      </c>
    </row>
    <row r="970" spans="1:8" ht="15.75" x14ac:dyDescent="0.25">
      <c r="A970" s="29" t="s">
        <v>131</v>
      </c>
      <c r="B970" s="346" t="s">
        <v>438</v>
      </c>
      <c r="C970" s="341" t="s">
        <v>116</v>
      </c>
      <c r="D970" s="341" t="s">
        <v>132</v>
      </c>
      <c r="E970" s="2"/>
      <c r="F970" s="2"/>
      <c r="G970" s="295">
        <f t="shared" si="137"/>
        <v>80</v>
      </c>
      <c r="H970" s="295">
        <f t="shared" si="137"/>
        <v>80</v>
      </c>
    </row>
    <row r="971" spans="1:8" ht="15.75" x14ac:dyDescent="0.25">
      <c r="A971" s="29" t="s">
        <v>146</v>
      </c>
      <c r="B971" s="346" t="s">
        <v>431</v>
      </c>
      <c r="C971" s="341" t="s">
        <v>116</v>
      </c>
      <c r="D971" s="341" t="s">
        <v>132</v>
      </c>
      <c r="E971" s="2"/>
      <c r="F971" s="2"/>
      <c r="G971" s="295">
        <f t="shared" si="137"/>
        <v>80</v>
      </c>
      <c r="H971" s="295">
        <f t="shared" si="137"/>
        <v>80</v>
      </c>
    </row>
    <row r="972" spans="1:8" ht="31.5" x14ac:dyDescent="0.25">
      <c r="A972" s="29" t="s">
        <v>123</v>
      </c>
      <c r="B972" s="346" t="s">
        <v>431</v>
      </c>
      <c r="C972" s="341" t="s">
        <v>116</v>
      </c>
      <c r="D972" s="341" t="s">
        <v>132</v>
      </c>
      <c r="E972" s="2">
        <v>200</v>
      </c>
      <c r="F972" s="2"/>
      <c r="G972" s="295">
        <f t="shared" si="137"/>
        <v>80</v>
      </c>
      <c r="H972" s="295">
        <f t="shared" si="137"/>
        <v>80</v>
      </c>
    </row>
    <row r="973" spans="1:8" ht="31.5" x14ac:dyDescent="0.25">
      <c r="A973" s="29" t="s">
        <v>125</v>
      </c>
      <c r="B973" s="346" t="s">
        <v>431</v>
      </c>
      <c r="C973" s="341" t="s">
        <v>116</v>
      </c>
      <c r="D973" s="341" t="s">
        <v>132</v>
      </c>
      <c r="E973" s="2">
        <v>240</v>
      </c>
      <c r="F973" s="2"/>
      <c r="G973" s="295">
        <f>'Пр.4.1 ведом.23-24 '!G163</f>
        <v>80</v>
      </c>
      <c r="H973" s="295">
        <f>'Пр.4.1 ведом.23-24 '!H163</f>
        <v>80</v>
      </c>
    </row>
    <row r="974" spans="1:8" ht="23.25" customHeight="1" x14ac:dyDescent="0.25">
      <c r="A974" s="20" t="s">
        <v>137</v>
      </c>
      <c r="B974" s="346" t="s">
        <v>431</v>
      </c>
      <c r="C974" s="341" t="s">
        <v>116</v>
      </c>
      <c r="D974" s="341" t="s">
        <v>132</v>
      </c>
      <c r="E974" s="2">
        <v>240</v>
      </c>
      <c r="F974" s="2">
        <v>902</v>
      </c>
      <c r="G974" s="295">
        <f>G967</f>
        <v>80</v>
      </c>
      <c r="H974" s="295">
        <f>H967</f>
        <v>80</v>
      </c>
    </row>
    <row r="975" spans="1:8" ht="47.25" x14ac:dyDescent="0.25">
      <c r="A975" s="298" t="s">
        <v>984</v>
      </c>
      <c r="B975" s="299" t="s">
        <v>690</v>
      </c>
      <c r="C975" s="341"/>
      <c r="D975" s="341"/>
      <c r="E975" s="2"/>
      <c r="F975" s="2"/>
      <c r="G975" s="294">
        <f t="shared" ref="G975:H980" si="138">G976</f>
        <v>204</v>
      </c>
      <c r="H975" s="294">
        <f t="shared" si="138"/>
        <v>204</v>
      </c>
    </row>
    <row r="976" spans="1:8" ht="31.5" x14ac:dyDescent="0.25">
      <c r="A976" s="298" t="s">
        <v>691</v>
      </c>
      <c r="B976" s="299" t="s">
        <v>692</v>
      </c>
      <c r="C976" s="341"/>
      <c r="D976" s="341"/>
      <c r="E976" s="2"/>
      <c r="F976" s="2"/>
      <c r="G976" s="294">
        <f t="shared" si="138"/>
        <v>204</v>
      </c>
      <c r="H976" s="294">
        <f t="shared" si="138"/>
        <v>204</v>
      </c>
    </row>
    <row r="977" spans="1:14" ht="15.75" x14ac:dyDescent="0.25">
      <c r="A977" s="20" t="s">
        <v>231</v>
      </c>
      <c r="B977" s="346" t="s">
        <v>692</v>
      </c>
      <c r="C977" s="341" t="s">
        <v>168</v>
      </c>
      <c r="D977" s="341"/>
      <c r="E977" s="2"/>
      <c r="F977" s="2"/>
      <c r="G977" s="295">
        <f t="shared" si="138"/>
        <v>204</v>
      </c>
      <c r="H977" s="295">
        <f t="shared" si="138"/>
        <v>204</v>
      </c>
    </row>
    <row r="978" spans="1:14" ht="15.75" x14ac:dyDescent="0.25">
      <c r="A978" s="20" t="s">
        <v>262</v>
      </c>
      <c r="B978" s="346" t="s">
        <v>692</v>
      </c>
      <c r="C978" s="341" t="s">
        <v>168</v>
      </c>
      <c r="D978" s="341" t="s">
        <v>158</v>
      </c>
      <c r="E978" s="2"/>
      <c r="F978" s="2"/>
      <c r="G978" s="295">
        <f t="shared" si="138"/>
        <v>204</v>
      </c>
      <c r="H978" s="295">
        <f t="shared" si="138"/>
        <v>204</v>
      </c>
    </row>
    <row r="979" spans="1:14" ht="15.75" x14ac:dyDescent="0.25">
      <c r="A979" s="20" t="s">
        <v>694</v>
      </c>
      <c r="B979" s="346" t="s">
        <v>693</v>
      </c>
      <c r="C979" s="341" t="s">
        <v>168</v>
      </c>
      <c r="D979" s="341" t="s">
        <v>158</v>
      </c>
      <c r="E979" s="2"/>
      <c r="F979" s="2"/>
      <c r="G979" s="295">
        <f t="shared" si="138"/>
        <v>204</v>
      </c>
      <c r="H979" s="295">
        <f t="shared" si="138"/>
        <v>204</v>
      </c>
    </row>
    <row r="980" spans="1:14" ht="31.5" x14ac:dyDescent="0.25">
      <c r="A980" s="29" t="s">
        <v>123</v>
      </c>
      <c r="B980" s="346" t="s">
        <v>693</v>
      </c>
      <c r="C980" s="341" t="s">
        <v>168</v>
      </c>
      <c r="D980" s="341" t="s">
        <v>158</v>
      </c>
      <c r="E980" s="2">
        <v>200</v>
      </c>
      <c r="F980" s="2"/>
      <c r="G980" s="295">
        <f t="shared" si="138"/>
        <v>204</v>
      </c>
      <c r="H980" s="295">
        <f t="shared" si="138"/>
        <v>204</v>
      </c>
    </row>
    <row r="981" spans="1:14" ht="31.5" x14ac:dyDescent="0.25">
      <c r="A981" s="29" t="s">
        <v>125</v>
      </c>
      <c r="B981" s="346" t="s">
        <v>693</v>
      </c>
      <c r="C981" s="341" t="s">
        <v>168</v>
      </c>
      <c r="D981" s="341" t="s">
        <v>158</v>
      </c>
      <c r="E981" s="2">
        <v>240</v>
      </c>
      <c r="F981" s="2"/>
      <c r="G981" s="295">
        <f>'Пр.4.1 ведом.23-24 '!G1077</f>
        <v>204</v>
      </c>
      <c r="H981" s="295">
        <f>'Пр.4.1 ведом.23-24 '!H1077</f>
        <v>204</v>
      </c>
    </row>
    <row r="982" spans="1:14" ht="31.5" x14ac:dyDescent="0.25">
      <c r="A982" s="29" t="s">
        <v>302</v>
      </c>
      <c r="B982" s="346" t="s">
        <v>693</v>
      </c>
      <c r="C982" s="341" t="s">
        <v>168</v>
      </c>
      <c r="D982" s="341" t="s">
        <v>158</v>
      </c>
      <c r="E982" s="2">
        <v>240</v>
      </c>
      <c r="F982" s="2">
        <v>908</v>
      </c>
      <c r="G982" s="295">
        <f>'Пр.4 ведом.22'!G1195</f>
        <v>53.399999999999991</v>
      </c>
      <c r="H982" s="295">
        <f>'Пр.4 ведом.22'!H1195</f>
        <v>0</v>
      </c>
    </row>
    <row r="983" spans="1:14" ht="15.75" x14ac:dyDescent="0.25">
      <c r="A983" s="44" t="s">
        <v>309</v>
      </c>
      <c r="B983" s="44"/>
      <c r="C983" s="44"/>
      <c r="D983" s="44"/>
      <c r="E983" s="44"/>
      <c r="F983" s="44"/>
      <c r="G983" s="73">
        <f>G967+G951+G943+G928+G855+G828+G763+G690+G639+G480+G404+G396+G362+G354+G147+G30+G9+G778+G975+G959</f>
        <v>508988.41140000004</v>
      </c>
      <c r="H983" s="73">
        <f>H967+H951+H943+H928+H855+H828+H763+H690+H639+H480+H404+H396+H362+H354+H147+H30+H9+H778+H975+H959</f>
        <v>463371.39999999991</v>
      </c>
      <c r="I983" s="15"/>
      <c r="N983" s="151"/>
    </row>
    <row r="985" spans="1:14" x14ac:dyDescent="0.25">
      <c r="G985" s="71">
        <f>'Пр.4.1 ведом.23-24 '!G1272</f>
        <v>508078.65</v>
      </c>
      <c r="H985" s="71">
        <f>'Пр.4.1 ведом.23-24 '!H1272</f>
        <v>464372.3</v>
      </c>
    </row>
    <row r="986" spans="1:14" x14ac:dyDescent="0.25">
      <c r="G986" s="71">
        <f>G985-G983</f>
        <v>-909.7614000000176</v>
      </c>
      <c r="H986" s="71">
        <f>H985-H983</f>
        <v>1000.9000000000815</v>
      </c>
    </row>
  </sheetData>
  <mergeCells count="4">
    <mergeCell ref="A5:G5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5" zoomScale="80" zoomScaleNormal="100" zoomScaleSheetLayoutView="80" workbookViewId="0">
      <selection activeCell="D54" sqref="D54:E54"/>
    </sheetView>
  </sheetViews>
  <sheetFormatPr defaultRowHeight="15" x14ac:dyDescent="0.25"/>
  <cols>
    <col min="1" max="1" width="44.28515625" customWidth="1"/>
    <col min="2" max="2" width="15.5703125" style="128" customWidth="1"/>
    <col min="3" max="3" width="7.140625" customWidth="1"/>
    <col min="4" max="4" width="6.28515625" customWidth="1"/>
    <col min="5" max="5" width="7.28515625" style="128" customWidth="1"/>
    <col min="6" max="6" width="10.140625" customWidth="1"/>
    <col min="7" max="7" width="12.5703125" style="15" customWidth="1"/>
  </cols>
  <sheetData>
    <row r="1" spans="1:7" ht="18.75" customHeight="1" x14ac:dyDescent="0.25">
      <c r="A1" s="681"/>
      <c r="B1" s="681"/>
      <c r="C1" s="681"/>
      <c r="D1" s="38"/>
      <c r="E1" s="38"/>
      <c r="F1" s="668" t="s">
        <v>296</v>
      </c>
      <c r="G1" s="668"/>
    </row>
    <row r="2" spans="1:7" ht="18.75" customHeight="1" x14ac:dyDescent="0.25">
      <c r="A2" s="681"/>
      <c r="B2" s="681"/>
      <c r="C2" s="681"/>
      <c r="D2" s="38"/>
      <c r="E2" s="38"/>
      <c r="F2" s="668" t="s">
        <v>0</v>
      </c>
      <c r="G2" s="668"/>
    </row>
    <row r="3" spans="1:7" ht="15.75" x14ac:dyDescent="0.25">
      <c r="A3" s="38"/>
      <c r="B3" s="38"/>
      <c r="C3" s="38"/>
      <c r="D3" s="38"/>
      <c r="E3" s="38"/>
      <c r="F3" s="668" t="s">
        <v>1366</v>
      </c>
      <c r="G3" s="668"/>
    </row>
    <row r="4" spans="1:7" s="128" customFormat="1" ht="15.75" x14ac:dyDescent="0.25">
      <c r="A4" s="38"/>
      <c r="B4" s="38"/>
      <c r="C4" s="38"/>
      <c r="D4" s="38"/>
      <c r="E4" s="38"/>
      <c r="F4" s="38"/>
      <c r="G4" s="178"/>
    </row>
    <row r="5" spans="1:7" s="128" customFormat="1" ht="15.75" x14ac:dyDescent="0.25">
      <c r="A5" s="38"/>
      <c r="B5" s="38"/>
      <c r="C5" s="38"/>
      <c r="D5" s="38"/>
      <c r="E5" s="38"/>
      <c r="F5" s="38"/>
      <c r="G5" s="178"/>
    </row>
    <row r="6" spans="1:7" x14ac:dyDescent="0.25">
      <c r="A6" s="680" t="s">
        <v>1353</v>
      </c>
      <c r="B6" s="680"/>
      <c r="C6" s="680"/>
      <c r="D6" s="680"/>
      <c r="E6" s="680"/>
      <c r="F6" s="680"/>
      <c r="G6" s="680"/>
    </row>
    <row r="7" spans="1:7" x14ac:dyDescent="0.25">
      <c r="A7" s="680"/>
      <c r="B7" s="680"/>
      <c r="C7" s="680"/>
      <c r="D7" s="680"/>
      <c r="E7" s="680"/>
      <c r="F7" s="680"/>
      <c r="G7" s="680"/>
    </row>
    <row r="8" spans="1:7" ht="16.5" x14ac:dyDescent="0.25">
      <c r="A8" s="157"/>
      <c r="B8" s="157"/>
      <c r="C8" s="157"/>
      <c r="D8" s="157"/>
      <c r="E8" s="157"/>
      <c r="F8" s="157"/>
      <c r="G8" s="253"/>
    </row>
    <row r="9" spans="1:7" ht="15.75" x14ac:dyDescent="0.25">
      <c r="A9" s="38"/>
      <c r="B9" s="38"/>
      <c r="C9" s="38"/>
      <c r="D9" s="38"/>
      <c r="E9" s="38"/>
      <c r="F9" s="40"/>
      <c r="G9" s="229" t="s">
        <v>1</v>
      </c>
    </row>
    <row r="10" spans="1:7" ht="53.65" customHeight="1" x14ac:dyDescent="0.25">
      <c r="A10" s="41" t="s">
        <v>295</v>
      </c>
      <c r="B10" s="41" t="s">
        <v>644</v>
      </c>
      <c r="C10" s="41" t="s">
        <v>642</v>
      </c>
      <c r="D10" s="41" t="s">
        <v>111</v>
      </c>
      <c r="E10" s="41" t="s">
        <v>643</v>
      </c>
      <c r="F10" s="41" t="s">
        <v>109</v>
      </c>
      <c r="G10" s="254" t="s">
        <v>588</v>
      </c>
    </row>
    <row r="11" spans="1:7" s="128" customFormat="1" ht="33.4" customHeight="1" x14ac:dyDescent="0.25">
      <c r="A11" s="17" t="s">
        <v>176</v>
      </c>
      <c r="B11" s="14" t="s">
        <v>454</v>
      </c>
      <c r="C11" s="41"/>
      <c r="D11" s="41"/>
      <c r="E11" s="41"/>
      <c r="F11" s="41"/>
      <c r="G11" s="254">
        <f>G12</f>
        <v>12745.0224</v>
      </c>
    </row>
    <row r="12" spans="1:7" s="128" customFormat="1" ht="18.399999999999999" customHeight="1" x14ac:dyDescent="0.25">
      <c r="A12" s="17" t="s">
        <v>173</v>
      </c>
      <c r="B12" s="14" t="s">
        <v>454</v>
      </c>
      <c r="C12" s="41">
        <v>10</v>
      </c>
      <c r="D12" s="41"/>
      <c r="E12" s="41"/>
      <c r="F12" s="41"/>
      <c r="G12" s="254">
        <f>G13</f>
        <v>12745.0224</v>
      </c>
    </row>
    <row r="13" spans="1:7" s="128" customFormat="1" ht="18.399999999999999" customHeight="1" x14ac:dyDescent="0.25">
      <c r="A13" s="17" t="s">
        <v>175</v>
      </c>
      <c r="B13" s="14" t="s">
        <v>454</v>
      </c>
      <c r="C13" s="41">
        <v>10</v>
      </c>
      <c r="D13" s="26" t="s">
        <v>116</v>
      </c>
      <c r="E13" s="41"/>
      <c r="F13" s="41"/>
      <c r="G13" s="254">
        <f>G14</f>
        <v>12745.0224</v>
      </c>
    </row>
    <row r="14" spans="1:7" s="128" customFormat="1" ht="28.15" customHeight="1" x14ac:dyDescent="0.25">
      <c r="A14" s="20" t="s">
        <v>177</v>
      </c>
      <c r="B14" s="14" t="s">
        <v>454</v>
      </c>
      <c r="C14" s="41">
        <v>10</v>
      </c>
      <c r="D14" s="26" t="s">
        <v>116</v>
      </c>
      <c r="E14" s="41">
        <v>300</v>
      </c>
      <c r="F14" s="41"/>
      <c r="G14" s="254">
        <f>G15</f>
        <v>12745.0224</v>
      </c>
    </row>
    <row r="15" spans="1:7" s="128" customFormat="1" ht="34.700000000000003" customHeight="1" x14ac:dyDescent="0.25">
      <c r="A15" s="17" t="s">
        <v>216</v>
      </c>
      <c r="B15" s="14" t="s">
        <v>454</v>
      </c>
      <c r="C15" s="41">
        <v>10</v>
      </c>
      <c r="D15" s="26" t="s">
        <v>116</v>
      </c>
      <c r="E15" s="41">
        <v>310</v>
      </c>
      <c r="F15" s="41"/>
      <c r="G15" s="254">
        <f>'Пр.4 ведом.22'!G252</f>
        <v>12745.0224</v>
      </c>
    </row>
    <row r="16" spans="1:7" s="128" customFormat="1" ht="37.35" customHeight="1" x14ac:dyDescent="0.25">
      <c r="A16" s="228" t="s">
        <v>137</v>
      </c>
      <c r="B16" s="14" t="s">
        <v>454</v>
      </c>
      <c r="C16" s="41">
        <v>10</v>
      </c>
      <c r="D16" s="26" t="s">
        <v>116</v>
      </c>
      <c r="E16" s="41">
        <v>310</v>
      </c>
      <c r="F16" s="41">
        <v>902</v>
      </c>
      <c r="G16" s="254">
        <f>G11</f>
        <v>12745.0224</v>
      </c>
    </row>
    <row r="17" spans="1:7" s="128" customFormat="1" ht="63" hidden="1" x14ac:dyDescent="0.25">
      <c r="A17" s="150" t="s">
        <v>594</v>
      </c>
      <c r="B17" s="14" t="s">
        <v>606</v>
      </c>
      <c r="C17" s="26"/>
      <c r="D17" s="26"/>
      <c r="E17" s="26"/>
      <c r="F17" s="4"/>
      <c r="G17" s="5">
        <f>G18</f>
        <v>0</v>
      </c>
    </row>
    <row r="18" spans="1:7" s="128" customFormat="1" ht="15.75" hidden="1" x14ac:dyDescent="0.25">
      <c r="A18" s="29" t="s">
        <v>186</v>
      </c>
      <c r="B18" s="14" t="s">
        <v>606</v>
      </c>
      <c r="C18" s="26" t="s">
        <v>187</v>
      </c>
      <c r="D18" s="26"/>
      <c r="E18" s="119"/>
      <c r="F18" s="4"/>
      <c r="G18" s="5">
        <f>G19</f>
        <v>0</v>
      </c>
    </row>
    <row r="19" spans="1:7" s="128" customFormat="1" ht="31.5" hidden="1" x14ac:dyDescent="0.25">
      <c r="A19" s="29" t="s">
        <v>246</v>
      </c>
      <c r="B19" s="14" t="s">
        <v>606</v>
      </c>
      <c r="C19" s="26" t="s">
        <v>187</v>
      </c>
      <c r="D19" s="26" t="s">
        <v>187</v>
      </c>
      <c r="E19" s="119"/>
      <c r="F19" s="4"/>
      <c r="G19" s="5">
        <f>G20</f>
        <v>0</v>
      </c>
    </row>
    <row r="20" spans="1:7" ht="31.5" hidden="1" x14ac:dyDescent="0.25">
      <c r="A20" s="20" t="s">
        <v>177</v>
      </c>
      <c r="B20" s="14" t="s">
        <v>606</v>
      </c>
      <c r="C20" s="26" t="s">
        <v>187</v>
      </c>
      <c r="D20" s="26" t="s">
        <v>187</v>
      </c>
      <c r="E20" s="26" t="s">
        <v>178</v>
      </c>
      <c r="F20" s="4"/>
      <c r="G20" s="5">
        <f>G21</f>
        <v>0</v>
      </c>
    </row>
    <row r="21" spans="1:7" ht="38.1" hidden="1" customHeight="1" x14ac:dyDescent="0.25">
      <c r="A21" s="20" t="s">
        <v>734</v>
      </c>
      <c r="B21" s="14" t="s">
        <v>606</v>
      </c>
      <c r="C21" s="26" t="s">
        <v>187</v>
      </c>
      <c r="D21" s="26" t="s">
        <v>187</v>
      </c>
      <c r="E21" s="26" t="s">
        <v>733</v>
      </c>
      <c r="F21" s="4"/>
      <c r="G21" s="5">
        <f>G22</f>
        <v>0</v>
      </c>
    </row>
    <row r="22" spans="1:7" s="128" customFormat="1" ht="46.9" hidden="1" customHeight="1" x14ac:dyDescent="0.25">
      <c r="A22" s="29" t="s">
        <v>310</v>
      </c>
      <c r="B22" s="14" t="s">
        <v>606</v>
      </c>
      <c r="C22" s="26" t="s">
        <v>187</v>
      </c>
      <c r="D22" s="26" t="s">
        <v>187</v>
      </c>
      <c r="E22" s="26" t="s">
        <v>733</v>
      </c>
      <c r="F22" s="4">
        <v>903</v>
      </c>
      <c r="G22" s="5"/>
    </row>
    <row r="23" spans="1:7" s="128" customFormat="1" ht="18.399999999999999" customHeight="1" x14ac:dyDescent="0.25">
      <c r="A23" s="17" t="s">
        <v>596</v>
      </c>
      <c r="B23" s="14" t="s">
        <v>477</v>
      </c>
      <c r="C23" s="26"/>
      <c r="D23" s="26"/>
      <c r="E23" s="26"/>
      <c r="F23" s="4"/>
      <c r="G23" s="5">
        <f>G24</f>
        <v>392.2</v>
      </c>
    </row>
    <row r="24" spans="1:7" s="128" customFormat="1" ht="20.25" customHeight="1" x14ac:dyDescent="0.25">
      <c r="A24" s="17" t="s">
        <v>636</v>
      </c>
      <c r="B24" s="14" t="s">
        <v>477</v>
      </c>
      <c r="C24" s="26" t="s">
        <v>174</v>
      </c>
      <c r="D24" s="26"/>
      <c r="E24" s="26"/>
      <c r="F24" s="4"/>
      <c r="G24" s="5">
        <f>G25</f>
        <v>392.2</v>
      </c>
    </row>
    <row r="25" spans="1:7" s="128" customFormat="1" ht="19.7" customHeight="1" x14ac:dyDescent="0.25">
      <c r="A25" s="20" t="s">
        <v>181</v>
      </c>
      <c r="B25" s="14" t="s">
        <v>477</v>
      </c>
      <c r="C25" s="26" t="s">
        <v>174</v>
      </c>
      <c r="D25" s="26" t="s">
        <v>159</v>
      </c>
      <c r="E25" s="26"/>
      <c r="F25" s="4"/>
      <c r="G25" s="5">
        <f>G26</f>
        <v>392.2</v>
      </c>
    </row>
    <row r="26" spans="1:7" s="128" customFormat="1" ht="33.75" customHeight="1" x14ac:dyDescent="0.25">
      <c r="A26" s="17" t="s">
        <v>177</v>
      </c>
      <c r="B26" s="14" t="s">
        <v>477</v>
      </c>
      <c r="C26" s="26" t="s">
        <v>174</v>
      </c>
      <c r="D26" s="26" t="s">
        <v>159</v>
      </c>
      <c r="E26" s="26" t="s">
        <v>178</v>
      </c>
      <c r="F26" s="4"/>
      <c r="G26" s="5">
        <f>G27</f>
        <v>392.2</v>
      </c>
    </row>
    <row r="27" spans="1:7" s="128" customFormat="1" ht="31.9" customHeight="1" x14ac:dyDescent="0.25">
      <c r="A27" s="17" t="s">
        <v>216</v>
      </c>
      <c r="B27" s="14" t="s">
        <v>477</v>
      </c>
      <c r="C27" s="26" t="s">
        <v>174</v>
      </c>
      <c r="D27" s="26" t="s">
        <v>159</v>
      </c>
      <c r="E27" s="26" t="s">
        <v>217</v>
      </c>
      <c r="F27" s="4"/>
      <c r="G27" s="5">
        <f>G28</f>
        <v>392.2</v>
      </c>
    </row>
    <row r="28" spans="1:7" s="128" customFormat="1" ht="55.7" customHeight="1" x14ac:dyDescent="0.25">
      <c r="A28" s="29" t="s">
        <v>310</v>
      </c>
      <c r="B28" s="14" t="s">
        <v>477</v>
      </c>
      <c r="C28" s="26" t="s">
        <v>174</v>
      </c>
      <c r="D28" s="26" t="s">
        <v>159</v>
      </c>
      <c r="E28" s="26" t="s">
        <v>217</v>
      </c>
      <c r="F28" s="4">
        <v>903</v>
      </c>
      <c r="G28" s="5">
        <f>'Пр.4 ведом.22'!G576</f>
        <v>392.2</v>
      </c>
    </row>
    <row r="29" spans="1:7" s="128" customFormat="1" ht="61.15" customHeight="1" x14ac:dyDescent="0.25">
      <c r="A29" s="67" t="s">
        <v>599</v>
      </c>
      <c r="B29" s="14" t="s">
        <v>479</v>
      </c>
      <c r="C29" s="26"/>
      <c r="D29" s="26"/>
      <c r="E29" s="26"/>
      <c r="F29" s="4"/>
      <c r="G29" s="5">
        <f>G30</f>
        <v>649.79999999999995</v>
      </c>
    </row>
    <row r="30" spans="1:7" ht="15.75" x14ac:dyDescent="0.25">
      <c r="A30" s="49" t="s">
        <v>173</v>
      </c>
      <c r="B30" s="14" t="s">
        <v>479</v>
      </c>
      <c r="C30" s="8" t="s">
        <v>174</v>
      </c>
      <c r="D30" s="8"/>
      <c r="E30" s="8"/>
      <c r="F30" s="8"/>
      <c r="G30" s="9">
        <f>G31</f>
        <v>649.79999999999995</v>
      </c>
    </row>
    <row r="31" spans="1:7" ht="19.149999999999999" customHeight="1" x14ac:dyDescent="0.25">
      <c r="A31" s="20" t="s">
        <v>181</v>
      </c>
      <c r="B31" s="14" t="s">
        <v>479</v>
      </c>
      <c r="C31" s="26" t="s">
        <v>174</v>
      </c>
      <c r="D31" s="26" t="s">
        <v>159</v>
      </c>
      <c r="E31" s="26"/>
      <c r="F31" s="4"/>
      <c r="G31" s="5">
        <f>G32</f>
        <v>649.79999999999995</v>
      </c>
    </row>
    <row r="32" spans="1:7" ht="31.5" x14ac:dyDescent="0.25">
      <c r="A32" s="20" t="s">
        <v>177</v>
      </c>
      <c r="B32" s="14" t="s">
        <v>479</v>
      </c>
      <c r="C32" s="26" t="s">
        <v>174</v>
      </c>
      <c r="D32" s="26" t="s">
        <v>159</v>
      </c>
      <c r="E32" s="26" t="s">
        <v>178</v>
      </c>
      <c r="F32" s="4"/>
      <c r="G32" s="5">
        <f>G33</f>
        <v>649.79999999999995</v>
      </c>
    </row>
    <row r="33" spans="1:7" ht="31.5" x14ac:dyDescent="0.25">
      <c r="A33" s="20" t="s">
        <v>216</v>
      </c>
      <c r="B33" s="14" t="s">
        <v>479</v>
      </c>
      <c r="C33" s="26" t="s">
        <v>174</v>
      </c>
      <c r="D33" s="26" t="s">
        <v>159</v>
      </c>
      <c r="E33" s="50" t="s">
        <v>217</v>
      </c>
      <c r="F33" s="4"/>
      <c r="G33" s="5">
        <f>G34</f>
        <v>649.79999999999995</v>
      </c>
    </row>
    <row r="34" spans="1:7" s="128" customFormat="1" ht="46.9" customHeight="1" x14ac:dyDescent="0.25">
      <c r="A34" s="29" t="s">
        <v>310</v>
      </c>
      <c r="B34" s="14" t="s">
        <v>479</v>
      </c>
      <c r="C34" s="26" t="s">
        <v>174</v>
      </c>
      <c r="D34" s="26" t="s">
        <v>159</v>
      </c>
      <c r="E34" s="50" t="s">
        <v>217</v>
      </c>
      <c r="F34" s="4">
        <v>903</v>
      </c>
      <c r="G34" s="5">
        <f>'Пр.4 ведом.22'!G566</f>
        <v>649.79999999999995</v>
      </c>
    </row>
    <row r="35" spans="1:7" ht="31.5" x14ac:dyDescent="0.25">
      <c r="A35" s="17" t="s">
        <v>559</v>
      </c>
      <c r="B35" s="14" t="s">
        <v>480</v>
      </c>
      <c r="C35" s="26"/>
      <c r="D35" s="26"/>
      <c r="E35" s="26"/>
      <c r="F35" s="4"/>
      <c r="G35" s="5">
        <f>G36</f>
        <v>192.1</v>
      </c>
    </row>
    <row r="36" spans="1:7" s="128" customFormat="1" ht="15.75" x14ac:dyDescent="0.25">
      <c r="A36" s="49" t="s">
        <v>173</v>
      </c>
      <c r="B36" s="14" t="s">
        <v>480</v>
      </c>
      <c r="C36" s="26" t="s">
        <v>174</v>
      </c>
      <c r="D36" s="26"/>
      <c r="E36" s="26"/>
      <c r="F36" s="4"/>
      <c r="G36" s="5">
        <f>G37</f>
        <v>192.1</v>
      </c>
    </row>
    <row r="37" spans="1:7" ht="17.649999999999999" customHeight="1" x14ac:dyDescent="0.25">
      <c r="A37" s="20" t="s">
        <v>181</v>
      </c>
      <c r="B37" s="14" t="s">
        <v>480</v>
      </c>
      <c r="C37" s="26" t="s">
        <v>174</v>
      </c>
      <c r="D37" s="26" t="s">
        <v>159</v>
      </c>
      <c r="E37" s="26"/>
      <c r="F37" s="4"/>
      <c r="G37" s="5">
        <f>G38</f>
        <v>192.1</v>
      </c>
    </row>
    <row r="38" spans="1:7" ht="31.5" x14ac:dyDescent="0.25">
      <c r="A38" s="20" t="s">
        <v>177</v>
      </c>
      <c r="B38" s="14" t="s">
        <v>480</v>
      </c>
      <c r="C38" s="26" t="s">
        <v>174</v>
      </c>
      <c r="D38" s="26" t="s">
        <v>159</v>
      </c>
      <c r="E38" s="26" t="s">
        <v>178</v>
      </c>
      <c r="F38" s="4"/>
      <c r="G38" s="5">
        <f>G39</f>
        <v>192.1</v>
      </c>
    </row>
    <row r="39" spans="1:7" ht="31.5" x14ac:dyDescent="0.25">
      <c r="A39" s="20" t="s">
        <v>216</v>
      </c>
      <c r="B39" s="14" t="s">
        <v>480</v>
      </c>
      <c r="C39" s="26" t="s">
        <v>174</v>
      </c>
      <c r="D39" s="26" t="s">
        <v>159</v>
      </c>
      <c r="E39" s="26" t="s">
        <v>217</v>
      </c>
      <c r="F39" s="4"/>
      <c r="G39" s="5">
        <f>G40</f>
        <v>192.1</v>
      </c>
    </row>
    <row r="40" spans="1:7" s="128" customFormat="1" ht="57.2" customHeight="1" x14ac:dyDescent="0.25">
      <c r="A40" s="29" t="s">
        <v>310</v>
      </c>
      <c r="B40" s="14" t="s">
        <v>480</v>
      </c>
      <c r="C40" s="26" t="s">
        <v>174</v>
      </c>
      <c r="D40" s="26" t="s">
        <v>159</v>
      </c>
      <c r="E40" s="26" t="s">
        <v>217</v>
      </c>
      <c r="F40" s="4">
        <v>903</v>
      </c>
      <c r="G40" s="5">
        <f>'Пр.4 ведом.22'!G572</f>
        <v>192.1</v>
      </c>
    </row>
    <row r="41" spans="1:7" s="128" customFormat="1" ht="63" hidden="1" x14ac:dyDescent="0.25">
      <c r="A41" s="17" t="s">
        <v>600</v>
      </c>
      <c r="B41" s="14" t="s">
        <v>481</v>
      </c>
      <c r="C41" s="26"/>
      <c r="D41" s="26"/>
      <c r="E41" s="26"/>
      <c r="F41" s="4"/>
      <c r="G41" s="5">
        <f>G42</f>
        <v>0</v>
      </c>
    </row>
    <row r="42" spans="1:7" s="128" customFormat="1" ht="15.75" hidden="1" x14ac:dyDescent="0.25">
      <c r="A42" s="49" t="s">
        <v>173</v>
      </c>
      <c r="B42" s="14" t="s">
        <v>481</v>
      </c>
      <c r="C42" s="26" t="s">
        <v>174</v>
      </c>
      <c r="D42" s="26"/>
      <c r="E42" s="26"/>
      <c r="F42" s="4"/>
      <c r="G42" s="5">
        <f>G43</f>
        <v>0</v>
      </c>
    </row>
    <row r="43" spans="1:7" ht="15.75" hidden="1" x14ac:dyDescent="0.25">
      <c r="A43" s="20" t="s">
        <v>181</v>
      </c>
      <c r="B43" s="14" t="s">
        <v>481</v>
      </c>
      <c r="C43" s="26" t="s">
        <v>174</v>
      </c>
      <c r="D43" s="26" t="s">
        <v>159</v>
      </c>
      <c r="E43" s="26"/>
      <c r="F43" s="4">
        <v>903</v>
      </c>
      <c r="G43" s="5">
        <f>G44</f>
        <v>0</v>
      </c>
    </row>
    <row r="44" spans="1:7" ht="31.5" hidden="1" x14ac:dyDescent="0.25">
      <c r="A44" s="20" t="s">
        <v>177</v>
      </c>
      <c r="B44" s="14" t="s">
        <v>481</v>
      </c>
      <c r="C44" s="26" t="s">
        <v>174</v>
      </c>
      <c r="D44" s="26" t="s">
        <v>159</v>
      </c>
      <c r="E44" s="26" t="s">
        <v>178</v>
      </c>
      <c r="F44" s="4">
        <v>903</v>
      </c>
      <c r="G44" s="5">
        <f>G45</f>
        <v>0</v>
      </c>
    </row>
    <row r="45" spans="1:7" ht="31.5" hidden="1" x14ac:dyDescent="0.25">
      <c r="A45" s="20" t="s">
        <v>216</v>
      </c>
      <c r="B45" s="14" t="s">
        <v>481</v>
      </c>
      <c r="C45" s="26" t="s">
        <v>174</v>
      </c>
      <c r="D45" s="26" t="s">
        <v>159</v>
      </c>
      <c r="E45" s="26" t="s">
        <v>217</v>
      </c>
      <c r="F45" s="4">
        <v>903</v>
      </c>
      <c r="G45" s="5"/>
    </row>
    <row r="46" spans="1:7" s="128" customFormat="1" ht="47.25" hidden="1" x14ac:dyDescent="0.25">
      <c r="A46" s="29" t="s">
        <v>310</v>
      </c>
      <c r="B46" s="14" t="s">
        <v>481</v>
      </c>
      <c r="C46" s="26" t="s">
        <v>174</v>
      </c>
      <c r="D46" s="26" t="s">
        <v>159</v>
      </c>
      <c r="E46" s="26" t="s">
        <v>217</v>
      </c>
      <c r="F46" s="4">
        <v>903</v>
      </c>
      <c r="G46" s="5"/>
    </row>
    <row r="47" spans="1:7" ht="15.75" x14ac:dyDescent="0.25">
      <c r="A47" s="27" t="s">
        <v>309</v>
      </c>
      <c r="B47" s="158"/>
      <c r="C47" s="158"/>
      <c r="D47" s="158"/>
      <c r="E47" s="158"/>
      <c r="F47" s="27"/>
      <c r="G47" s="35">
        <f>G17+G23+G29+G35+G41+G11</f>
        <v>13979.1224</v>
      </c>
    </row>
    <row r="49" spans="1:7" x14ac:dyDescent="0.25">
      <c r="A49" s="690" t="s">
        <v>1373</v>
      </c>
      <c r="B49" s="690"/>
      <c r="C49" s="690"/>
      <c r="D49" s="690"/>
      <c r="E49" s="690"/>
      <c r="F49" s="690"/>
      <c r="G49" s="690"/>
    </row>
  </sheetData>
  <mergeCells count="6">
    <mergeCell ref="A49:G49"/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2" zoomScaleNormal="100" zoomScaleSheetLayoutView="100" workbookViewId="0">
      <selection activeCell="N52" sqref="N52"/>
    </sheetView>
  </sheetViews>
  <sheetFormatPr defaultColWidth="8.85546875" defaultRowHeight="15" x14ac:dyDescent="0.25"/>
  <cols>
    <col min="1" max="1" width="44.28515625" style="343" customWidth="1"/>
    <col min="2" max="2" width="15.5703125" style="343" customWidth="1"/>
    <col min="3" max="3" width="7.140625" style="343" customWidth="1"/>
    <col min="4" max="4" width="6.28515625" style="343" customWidth="1"/>
    <col min="5" max="5" width="7.28515625" style="343" customWidth="1"/>
    <col min="6" max="6" width="10.140625" style="343" customWidth="1"/>
    <col min="7" max="8" width="12.5703125" style="15" customWidth="1"/>
    <col min="9" max="16384" width="8.85546875" style="343"/>
  </cols>
  <sheetData>
    <row r="1" spans="1:8" ht="18.75" customHeight="1" x14ac:dyDescent="0.25">
      <c r="A1" s="681"/>
      <c r="B1" s="681"/>
      <c r="C1" s="681"/>
      <c r="D1" s="38"/>
      <c r="E1" s="38"/>
      <c r="F1" s="429"/>
      <c r="G1" s="670" t="s">
        <v>1212</v>
      </c>
      <c r="H1" s="670"/>
    </row>
    <row r="2" spans="1:8" ht="18.75" customHeight="1" x14ac:dyDescent="0.25">
      <c r="A2" s="681"/>
      <c r="B2" s="681"/>
      <c r="C2" s="681"/>
      <c r="D2" s="38"/>
      <c r="E2" s="38"/>
      <c r="F2" s="429"/>
      <c r="G2" s="670" t="s">
        <v>0</v>
      </c>
      <c r="H2" s="670"/>
    </row>
    <row r="3" spans="1:8" ht="15.75" x14ac:dyDescent="0.25">
      <c r="A3" s="38"/>
      <c r="B3" s="38"/>
      <c r="C3" s="38"/>
      <c r="D3" s="38"/>
      <c r="E3" s="38"/>
      <c r="F3" s="429"/>
      <c r="G3" s="670" t="s">
        <v>1202</v>
      </c>
      <c r="H3" s="670"/>
    </row>
    <row r="4" spans="1:8" ht="15.75" x14ac:dyDescent="0.25">
      <c r="A4" s="38"/>
      <c r="B4" s="38"/>
      <c r="C4" s="38"/>
      <c r="D4" s="38"/>
      <c r="E4" s="38"/>
      <c r="F4" s="38"/>
      <c r="G4" s="424"/>
      <c r="H4" s="424"/>
    </row>
    <row r="5" spans="1:8" ht="15.75" x14ac:dyDescent="0.25">
      <c r="A5" s="38"/>
      <c r="B5" s="38"/>
      <c r="C5" s="38"/>
      <c r="D5" s="38"/>
      <c r="E5" s="38"/>
      <c r="F5" s="38"/>
      <c r="G5" s="424"/>
      <c r="H5" s="424"/>
    </row>
    <row r="6" spans="1:8" ht="14.45" customHeight="1" x14ac:dyDescent="0.25">
      <c r="A6" s="680" t="s">
        <v>1213</v>
      </c>
      <c r="B6" s="680"/>
      <c r="C6" s="680"/>
      <c r="D6" s="680"/>
      <c r="E6" s="680"/>
      <c r="F6" s="680"/>
      <c r="G6" s="680"/>
      <c r="H6" s="680"/>
    </row>
    <row r="7" spans="1:8" ht="14.45" customHeight="1" x14ac:dyDescent="0.25">
      <c r="A7" s="680"/>
      <c r="B7" s="680"/>
      <c r="C7" s="680"/>
      <c r="D7" s="680"/>
      <c r="E7" s="680"/>
      <c r="F7" s="680"/>
      <c r="G7" s="680"/>
      <c r="H7" s="680"/>
    </row>
    <row r="8" spans="1:8" ht="16.5" x14ac:dyDescent="0.25">
      <c r="A8" s="157"/>
      <c r="B8" s="157"/>
      <c r="C8" s="157"/>
      <c r="D8" s="157"/>
      <c r="E8" s="157"/>
      <c r="F8" s="157"/>
      <c r="G8" s="253"/>
      <c r="H8" s="253"/>
    </row>
    <row r="9" spans="1:8" ht="15.75" x14ac:dyDescent="0.25">
      <c r="A9" s="38"/>
      <c r="B9" s="38"/>
      <c r="C9" s="38"/>
      <c r="D9" s="38"/>
      <c r="E9" s="38"/>
      <c r="F9" s="40"/>
      <c r="G9" s="428"/>
      <c r="H9" s="428" t="s">
        <v>1</v>
      </c>
    </row>
    <row r="10" spans="1:8" ht="53.65" customHeight="1" x14ac:dyDescent="0.25">
      <c r="A10" s="41" t="s">
        <v>295</v>
      </c>
      <c r="B10" s="41" t="s">
        <v>644</v>
      </c>
      <c r="C10" s="41" t="s">
        <v>642</v>
      </c>
      <c r="D10" s="41" t="s">
        <v>111</v>
      </c>
      <c r="E10" s="41" t="s">
        <v>643</v>
      </c>
      <c r="F10" s="41" t="s">
        <v>109</v>
      </c>
      <c r="G10" s="254" t="s">
        <v>808</v>
      </c>
      <c r="H10" s="254" t="s">
        <v>1180</v>
      </c>
    </row>
    <row r="11" spans="1:8" ht="33.4" customHeight="1" x14ac:dyDescent="0.25">
      <c r="A11" s="345" t="s">
        <v>176</v>
      </c>
      <c r="B11" s="346" t="s">
        <v>454</v>
      </c>
      <c r="C11" s="41"/>
      <c r="D11" s="41"/>
      <c r="E11" s="41"/>
      <c r="F11" s="41"/>
      <c r="G11" s="254">
        <f t="shared" ref="G11:H14" si="0">G12</f>
        <v>9913.5</v>
      </c>
      <c r="H11" s="254">
        <f t="shared" si="0"/>
        <v>9913.5</v>
      </c>
    </row>
    <row r="12" spans="1:8" ht="18.399999999999999" customHeight="1" x14ac:dyDescent="0.25">
      <c r="A12" s="345" t="s">
        <v>173</v>
      </c>
      <c r="B12" s="346" t="s">
        <v>454</v>
      </c>
      <c r="C12" s="41">
        <v>10</v>
      </c>
      <c r="D12" s="41"/>
      <c r="E12" s="41"/>
      <c r="F12" s="41"/>
      <c r="G12" s="254">
        <f t="shared" si="0"/>
        <v>9913.5</v>
      </c>
      <c r="H12" s="254">
        <f t="shared" si="0"/>
        <v>9913.5</v>
      </c>
    </row>
    <row r="13" spans="1:8" ht="18.399999999999999" customHeight="1" x14ac:dyDescent="0.25">
      <c r="A13" s="345" t="s">
        <v>175</v>
      </c>
      <c r="B13" s="346" t="s">
        <v>454</v>
      </c>
      <c r="C13" s="41">
        <v>10</v>
      </c>
      <c r="D13" s="341" t="s">
        <v>116</v>
      </c>
      <c r="E13" s="41"/>
      <c r="F13" s="41"/>
      <c r="G13" s="254">
        <f t="shared" si="0"/>
        <v>9913.5</v>
      </c>
      <c r="H13" s="254">
        <f t="shared" si="0"/>
        <v>9913.5</v>
      </c>
    </row>
    <row r="14" spans="1:8" ht="28.15" customHeight="1" x14ac:dyDescent="0.25">
      <c r="A14" s="20" t="s">
        <v>177</v>
      </c>
      <c r="B14" s="346" t="s">
        <v>454</v>
      </c>
      <c r="C14" s="41">
        <v>10</v>
      </c>
      <c r="D14" s="341" t="s">
        <v>116</v>
      </c>
      <c r="E14" s="41">
        <v>300</v>
      </c>
      <c r="F14" s="41"/>
      <c r="G14" s="254">
        <f t="shared" si="0"/>
        <v>9913.5</v>
      </c>
      <c r="H14" s="254">
        <f t="shared" si="0"/>
        <v>9913.5</v>
      </c>
    </row>
    <row r="15" spans="1:8" ht="34.700000000000003" customHeight="1" x14ac:dyDescent="0.25">
      <c r="A15" s="345" t="s">
        <v>216</v>
      </c>
      <c r="B15" s="346" t="s">
        <v>454</v>
      </c>
      <c r="C15" s="41">
        <v>10</v>
      </c>
      <c r="D15" s="341" t="s">
        <v>116</v>
      </c>
      <c r="E15" s="41">
        <v>310</v>
      </c>
      <c r="F15" s="41"/>
      <c r="G15" s="254">
        <f>'Пр.4.1 ведом.23-24 '!G231</f>
        <v>9913.5</v>
      </c>
      <c r="H15" s="254">
        <f>'Пр.4.1 ведом.23-24 '!H231</f>
        <v>9913.5</v>
      </c>
    </row>
    <row r="16" spans="1:8" ht="37.35" customHeight="1" x14ac:dyDescent="0.25">
      <c r="A16" s="228" t="s">
        <v>137</v>
      </c>
      <c r="B16" s="346" t="s">
        <v>454</v>
      </c>
      <c r="C16" s="41">
        <v>10</v>
      </c>
      <c r="D16" s="341" t="s">
        <v>116</v>
      </c>
      <c r="E16" s="41">
        <v>310</v>
      </c>
      <c r="F16" s="41">
        <v>902</v>
      </c>
      <c r="G16" s="254">
        <f>G11</f>
        <v>9913.5</v>
      </c>
      <c r="H16" s="254">
        <f>H11</f>
        <v>9913.5</v>
      </c>
    </row>
    <row r="17" spans="1:8" ht="63" hidden="1" x14ac:dyDescent="0.25">
      <c r="A17" s="150" t="s">
        <v>594</v>
      </c>
      <c r="B17" s="346" t="s">
        <v>606</v>
      </c>
      <c r="C17" s="341"/>
      <c r="D17" s="341"/>
      <c r="E17" s="341"/>
      <c r="F17" s="4"/>
      <c r="G17" s="295">
        <f t="shared" ref="G17:H21" si="1">G18</f>
        <v>0</v>
      </c>
      <c r="H17" s="295">
        <f t="shared" si="1"/>
        <v>0</v>
      </c>
    </row>
    <row r="18" spans="1:8" ht="15.75" hidden="1" x14ac:dyDescent="0.25">
      <c r="A18" s="29" t="s">
        <v>186</v>
      </c>
      <c r="B18" s="346" t="s">
        <v>606</v>
      </c>
      <c r="C18" s="341" t="s">
        <v>187</v>
      </c>
      <c r="D18" s="341"/>
      <c r="E18" s="119"/>
      <c r="F18" s="4"/>
      <c r="G18" s="295">
        <f t="shared" si="1"/>
        <v>0</v>
      </c>
      <c r="H18" s="295">
        <f t="shared" si="1"/>
        <v>0</v>
      </c>
    </row>
    <row r="19" spans="1:8" ht="31.5" hidden="1" x14ac:dyDescent="0.25">
      <c r="A19" s="29" t="s">
        <v>246</v>
      </c>
      <c r="B19" s="346" t="s">
        <v>606</v>
      </c>
      <c r="C19" s="341" t="s">
        <v>187</v>
      </c>
      <c r="D19" s="341" t="s">
        <v>187</v>
      </c>
      <c r="E19" s="119"/>
      <c r="F19" s="4"/>
      <c r="G19" s="295">
        <f t="shared" si="1"/>
        <v>0</v>
      </c>
      <c r="H19" s="295">
        <f t="shared" si="1"/>
        <v>0</v>
      </c>
    </row>
    <row r="20" spans="1:8" ht="31.5" hidden="1" x14ac:dyDescent="0.25">
      <c r="A20" s="20" t="s">
        <v>177</v>
      </c>
      <c r="B20" s="346" t="s">
        <v>606</v>
      </c>
      <c r="C20" s="341" t="s">
        <v>187</v>
      </c>
      <c r="D20" s="341" t="s">
        <v>187</v>
      </c>
      <c r="E20" s="341" t="s">
        <v>178</v>
      </c>
      <c r="F20" s="4"/>
      <c r="G20" s="295">
        <f t="shared" si="1"/>
        <v>0</v>
      </c>
      <c r="H20" s="295">
        <f t="shared" si="1"/>
        <v>0</v>
      </c>
    </row>
    <row r="21" spans="1:8" ht="38.1" hidden="1" customHeight="1" x14ac:dyDescent="0.25">
      <c r="A21" s="20" t="s">
        <v>734</v>
      </c>
      <c r="B21" s="346" t="s">
        <v>606</v>
      </c>
      <c r="C21" s="341" t="s">
        <v>187</v>
      </c>
      <c r="D21" s="341" t="s">
        <v>187</v>
      </c>
      <c r="E21" s="341" t="s">
        <v>733</v>
      </c>
      <c r="F21" s="4"/>
      <c r="G21" s="295">
        <f t="shared" si="1"/>
        <v>0</v>
      </c>
      <c r="H21" s="295">
        <f t="shared" si="1"/>
        <v>0</v>
      </c>
    </row>
    <row r="22" spans="1:8" ht="46.9" hidden="1" customHeight="1" x14ac:dyDescent="0.25">
      <c r="A22" s="29" t="s">
        <v>310</v>
      </c>
      <c r="B22" s="346" t="s">
        <v>606</v>
      </c>
      <c r="C22" s="341" t="s">
        <v>187</v>
      </c>
      <c r="D22" s="341" t="s">
        <v>187</v>
      </c>
      <c r="E22" s="341" t="s">
        <v>733</v>
      </c>
      <c r="F22" s="4">
        <v>903</v>
      </c>
      <c r="G22" s="295"/>
      <c r="H22" s="295"/>
    </row>
    <row r="23" spans="1:8" ht="18.399999999999999" customHeight="1" x14ac:dyDescent="0.25">
      <c r="A23" s="345" t="s">
        <v>596</v>
      </c>
      <c r="B23" s="346" t="s">
        <v>477</v>
      </c>
      <c r="C23" s="341"/>
      <c r="D23" s="341"/>
      <c r="E23" s="341"/>
      <c r="F23" s="4"/>
      <c r="G23" s="295">
        <f t="shared" ref="G23:H26" si="2">G24</f>
        <v>420</v>
      </c>
      <c r="H23" s="295">
        <f t="shared" si="2"/>
        <v>420</v>
      </c>
    </row>
    <row r="24" spans="1:8" ht="20.25" customHeight="1" x14ac:dyDescent="0.25">
      <c r="A24" s="345" t="s">
        <v>636</v>
      </c>
      <c r="B24" s="346" t="s">
        <v>477</v>
      </c>
      <c r="C24" s="341" t="s">
        <v>174</v>
      </c>
      <c r="D24" s="341"/>
      <c r="E24" s="341"/>
      <c r="F24" s="4"/>
      <c r="G24" s="295">
        <f t="shared" si="2"/>
        <v>420</v>
      </c>
      <c r="H24" s="295">
        <f t="shared" si="2"/>
        <v>420</v>
      </c>
    </row>
    <row r="25" spans="1:8" ht="19.7" customHeight="1" x14ac:dyDescent="0.25">
      <c r="A25" s="20" t="s">
        <v>181</v>
      </c>
      <c r="B25" s="346" t="s">
        <v>477</v>
      </c>
      <c r="C25" s="341" t="s">
        <v>174</v>
      </c>
      <c r="D25" s="341" t="s">
        <v>159</v>
      </c>
      <c r="E25" s="341"/>
      <c r="F25" s="4"/>
      <c r="G25" s="295">
        <f t="shared" si="2"/>
        <v>420</v>
      </c>
      <c r="H25" s="295">
        <f t="shared" si="2"/>
        <v>420</v>
      </c>
    </row>
    <row r="26" spans="1:8" ht="33.75" customHeight="1" x14ac:dyDescent="0.25">
      <c r="A26" s="345" t="s">
        <v>177</v>
      </c>
      <c r="B26" s="346" t="s">
        <v>477</v>
      </c>
      <c r="C26" s="341" t="s">
        <v>174</v>
      </c>
      <c r="D26" s="341" t="s">
        <v>159</v>
      </c>
      <c r="E26" s="341" t="s">
        <v>178</v>
      </c>
      <c r="F26" s="4"/>
      <c r="G26" s="295">
        <f t="shared" si="2"/>
        <v>420</v>
      </c>
      <c r="H26" s="295">
        <f t="shared" si="2"/>
        <v>420</v>
      </c>
    </row>
    <row r="27" spans="1:8" ht="31.9" customHeight="1" x14ac:dyDescent="0.25">
      <c r="A27" s="345" t="s">
        <v>216</v>
      </c>
      <c r="B27" s="346" t="s">
        <v>477</v>
      </c>
      <c r="C27" s="341" t="s">
        <v>174</v>
      </c>
      <c r="D27" s="341" t="s">
        <v>159</v>
      </c>
      <c r="E27" s="341" t="s">
        <v>217</v>
      </c>
      <c r="F27" s="4"/>
      <c r="G27" s="295">
        <f>'Пр.4.1 ведом.23-24 '!G520</f>
        <v>420</v>
      </c>
      <c r="H27" s="295">
        <f>'Пр.4.1 ведом.23-24 '!H520</f>
        <v>420</v>
      </c>
    </row>
    <row r="28" spans="1:8" ht="55.7" customHeight="1" x14ac:dyDescent="0.25">
      <c r="A28" s="29" t="s">
        <v>310</v>
      </c>
      <c r="B28" s="346" t="s">
        <v>477</v>
      </c>
      <c r="C28" s="341" t="s">
        <v>174</v>
      </c>
      <c r="D28" s="341" t="s">
        <v>159</v>
      </c>
      <c r="E28" s="341" t="s">
        <v>217</v>
      </c>
      <c r="F28" s="4">
        <v>903</v>
      </c>
      <c r="G28" s="295">
        <f>'Пр.4 ведом.22'!G576</f>
        <v>392.2</v>
      </c>
      <c r="H28" s="295">
        <f>'Пр.4 ведом.22'!H576</f>
        <v>0</v>
      </c>
    </row>
    <row r="29" spans="1:8" ht="61.15" customHeight="1" x14ac:dyDescent="0.25">
      <c r="A29" s="67" t="s">
        <v>599</v>
      </c>
      <c r="B29" s="346" t="s">
        <v>479</v>
      </c>
      <c r="C29" s="341"/>
      <c r="D29" s="341"/>
      <c r="E29" s="341"/>
      <c r="F29" s="4"/>
      <c r="G29" s="295">
        <f t="shared" ref="G29:H32" si="3">G30</f>
        <v>630</v>
      </c>
      <c r="H29" s="295">
        <f t="shared" si="3"/>
        <v>630</v>
      </c>
    </row>
    <row r="30" spans="1:8" ht="15.75" x14ac:dyDescent="0.25">
      <c r="A30" s="49" t="s">
        <v>173</v>
      </c>
      <c r="B30" s="346" t="s">
        <v>479</v>
      </c>
      <c r="C30" s="8" t="s">
        <v>174</v>
      </c>
      <c r="D30" s="8"/>
      <c r="E30" s="8"/>
      <c r="F30" s="8"/>
      <c r="G30" s="9">
        <f t="shared" si="3"/>
        <v>630</v>
      </c>
      <c r="H30" s="9">
        <f t="shared" si="3"/>
        <v>630</v>
      </c>
    </row>
    <row r="31" spans="1:8" ht="19.149999999999999" customHeight="1" x14ac:dyDescent="0.25">
      <c r="A31" s="20" t="s">
        <v>181</v>
      </c>
      <c r="B31" s="346" t="s">
        <v>479</v>
      </c>
      <c r="C31" s="341" t="s">
        <v>174</v>
      </c>
      <c r="D31" s="341" t="s">
        <v>159</v>
      </c>
      <c r="E31" s="341"/>
      <c r="F31" s="4"/>
      <c r="G31" s="295">
        <f t="shared" si="3"/>
        <v>630</v>
      </c>
      <c r="H31" s="295">
        <f t="shared" si="3"/>
        <v>630</v>
      </c>
    </row>
    <row r="32" spans="1:8" ht="31.5" x14ac:dyDescent="0.25">
      <c r="A32" s="20" t="s">
        <v>177</v>
      </c>
      <c r="B32" s="346" t="s">
        <v>479</v>
      </c>
      <c r="C32" s="341" t="s">
        <v>174</v>
      </c>
      <c r="D32" s="341" t="s">
        <v>159</v>
      </c>
      <c r="E32" s="341" t="s">
        <v>178</v>
      </c>
      <c r="F32" s="4"/>
      <c r="G32" s="295">
        <f t="shared" si="3"/>
        <v>630</v>
      </c>
      <c r="H32" s="295">
        <f t="shared" si="3"/>
        <v>630</v>
      </c>
    </row>
    <row r="33" spans="1:8" ht="31.5" x14ac:dyDescent="0.25">
      <c r="A33" s="20" t="s">
        <v>216</v>
      </c>
      <c r="B33" s="346" t="s">
        <v>479</v>
      </c>
      <c r="C33" s="341" t="s">
        <v>174</v>
      </c>
      <c r="D33" s="341" t="s">
        <v>159</v>
      </c>
      <c r="E33" s="50" t="s">
        <v>217</v>
      </c>
      <c r="F33" s="4"/>
      <c r="G33" s="295">
        <f>'Пр.4.1 ведом.23-24 '!G510</f>
        <v>630</v>
      </c>
      <c r="H33" s="295">
        <f>'Пр.4.1 ведом.23-24 '!H510</f>
        <v>630</v>
      </c>
    </row>
    <row r="34" spans="1:8" ht="46.9" customHeight="1" x14ac:dyDescent="0.25">
      <c r="A34" s="29" t="s">
        <v>310</v>
      </c>
      <c r="B34" s="346" t="s">
        <v>479</v>
      </c>
      <c r="C34" s="341" t="s">
        <v>174</v>
      </c>
      <c r="D34" s="341" t="s">
        <v>159</v>
      </c>
      <c r="E34" s="50" t="s">
        <v>217</v>
      </c>
      <c r="F34" s="4">
        <v>903</v>
      </c>
      <c r="G34" s="295">
        <f>'Пр.4 ведом.22'!G566</f>
        <v>649.79999999999995</v>
      </c>
      <c r="H34" s="295">
        <f>'Пр.4 ведом.22'!H566</f>
        <v>0</v>
      </c>
    </row>
    <row r="35" spans="1:8" ht="31.5" x14ac:dyDescent="0.25">
      <c r="A35" s="345" t="s">
        <v>559</v>
      </c>
      <c r="B35" s="346" t="s">
        <v>480</v>
      </c>
      <c r="C35" s="341"/>
      <c r="D35" s="341"/>
      <c r="E35" s="341"/>
      <c r="F35" s="4"/>
      <c r="G35" s="295">
        <f t="shared" ref="G35:H38" si="4">G36</f>
        <v>257</v>
      </c>
      <c r="H35" s="295">
        <f t="shared" si="4"/>
        <v>257</v>
      </c>
    </row>
    <row r="36" spans="1:8" ht="15.75" x14ac:dyDescent="0.25">
      <c r="A36" s="49" t="s">
        <v>173</v>
      </c>
      <c r="B36" s="346" t="s">
        <v>480</v>
      </c>
      <c r="C36" s="341" t="s">
        <v>174</v>
      </c>
      <c r="D36" s="341"/>
      <c r="E36" s="341"/>
      <c r="F36" s="4"/>
      <c r="G36" s="295">
        <f t="shared" si="4"/>
        <v>257</v>
      </c>
      <c r="H36" s="295">
        <f t="shared" si="4"/>
        <v>257</v>
      </c>
    </row>
    <row r="37" spans="1:8" ht="17.649999999999999" customHeight="1" x14ac:dyDescent="0.25">
      <c r="A37" s="20" t="s">
        <v>181</v>
      </c>
      <c r="B37" s="346" t="s">
        <v>480</v>
      </c>
      <c r="C37" s="341" t="s">
        <v>174</v>
      </c>
      <c r="D37" s="341" t="s">
        <v>159</v>
      </c>
      <c r="E37" s="341"/>
      <c r="F37" s="4"/>
      <c r="G37" s="295">
        <f t="shared" si="4"/>
        <v>257</v>
      </c>
      <c r="H37" s="295">
        <f t="shared" si="4"/>
        <v>257</v>
      </c>
    </row>
    <row r="38" spans="1:8" ht="31.5" x14ac:dyDescent="0.25">
      <c r="A38" s="20" t="s">
        <v>177</v>
      </c>
      <c r="B38" s="346" t="s">
        <v>480</v>
      </c>
      <c r="C38" s="341" t="s">
        <v>174</v>
      </c>
      <c r="D38" s="341" t="s">
        <v>159</v>
      </c>
      <c r="E38" s="341" t="s">
        <v>178</v>
      </c>
      <c r="F38" s="4"/>
      <c r="G38" s="295">
        <f t="shared" si="4"/>
        <v>257</v>
      </c>
      <c r="H38" s="295">
        <f t="shared" si="4"/>
        <v>257</v>
      </c>
    </row>
    <row r="39" spans="1:8" ht="31.5" x14ac:dyDescent="0.25">
      <c r="A39" s="20" t="s">
        <v>216</v>
      </c>
      <c r="B39" s="346" t="s">
        <v>480</v>
      </c>
      <c r="C39" s="341" t="s">
        <v>174</v>
      </c>
      <c r="D39" s="341" t="s">
        <v>159</v>
      </c>
      <c r="E39" s="341" t="s">
        <v>217</v>
      </c>
      <c r="F39" s="4"/>
      <c r="G39" s="295">
        <f>'Пр.4.1 ведом.23-24 '!G516</f>
        <v>257</v>
      </c>
      <c r="H39" s="295">
        <f>'Пр.4.1 ведом.23-24 '!H516</f>
        <v>257</v>
      </c>
    </row>
    <row r="40" spans="1:8" ht="57.2" customHeight="1" x14ac:dyDescent="0.25">
      <c r="A40" s="29" t="s">
        <v>310</v>
      </c>
      <c r="B40" s="346" t="s">
        <v>480</v>
      </c>
      <c r="C40" s="341" t="s">
        <v>174</v>
      </c>
      <c r="D40" s="341" t="s">
        <v>159</v>
      </c>
      <c r="E40" s="341" t="s">
        <v>217</v>
      </c>
      <c r="F40" s="4">
        <v>903</v>
      </c>
      <c r="G40" s="295">
        <f>'Пр.4 ведом.22'!G572</f>
        <v>192.1</v>
      </c>
      <c r="H40" s="295">
        <f>'Пр.4 ведом.22'!H572</f>
        <v>0</v>
      </c>
    </row>
    <row r="41" spans="1:8" ht="63" hidden="1" x14ac:dyDescent="0.25">
      <c r="A41" s="345" t="s">
        <v>600</v>
      </c>
      <c r="B41" s="346" t="s">
        <v>481</v>
      </c>
      <c r="C41" s="341"/>
      <c r="D41" s="341"/>
      <c r="E41" s="341"/>
      <c r="F41" s="4"/>
      <c r="G41" s="295">
        <f t="shared" ref="G41:H44" si="5">G42</f>
        <v>0</v>
      </c>
      <c r="H41" s="295">
        <f t="shared" si="5"/>
        <v>0</v>
      </c>
    </row>
    <row r="42" spans="1:8" ht="15.75" hidden="1" x14ac:dyDescent="0.25">
      <c r="A42" s="49" t="s">
        <v>173</v>
      </c>
      <c r="B42" s="346" t="s">
        <v>481</v>
      </c>
      <c r="C42" s="341" t="s">
        <v>174</v>
      </c>
      <c r="D42" s="341"/>
      <c r="E42" s="341"/>
      <c r="F42" s="4"/>
      <c r="G42" s="295">
        <f t="shared" si="5"/>
        <v>0</v>
      </c>
      <c r="H42" s="295">
        <f t="shared" si="5"/>
        <v>0</v>
      </c>
    </row>
    <row r="43" spans="1:8" ht="15.75" hidden="1" x14ac:dyDescent="0.25">
      <c r="A43" s="20" t="s">
        <v>181</v>
      </c>
      <c r="B43" s="346" t="s">
        <v>481</v>
      </c>
      <c r="C43" s="341" t="s">
        <v>174</v>
      </c>
      <c r="D43" s="341" t="s">
        <v>159</v>
      </c>
      <c r="E43" s="341"/>
      <c r="F43" s="4">
        <v>903</v>
      </c>
      <c r="G43" s="295">
        <f t="shared" si="5"/>
        <v>0</v>
      </c>
      <c r="H43" s="295">
        <f t="shared" si="5"/>
        <v>0</v>
      </c>
    </row>
    <row r="44" spans="1:8" ht="31.5" hidden="1" x14ac:dyDescent="0.25">
      <c r="A44" s="20" t="s">
        <v>177</v>
      </c>
      <c r="B44" s="346" t="s">
        <v>481</v>
      </c>
      <c r="C44" s="341" t="s">
        <v>174</v>
      </c>
      <c r="D44" s="341" t="s">
        <v>159</v>
      </c>
      <c r="E44" s="341" t="s">
        <v>178</v>
      </c>
      <c r="F44" s="4">
        <v>903</v>
      </c>
      <c r="G44" s="295">
        <f t="shared" si="5"/>
        <v>0</v>
      </c>
      <c r="H44" s="295">
        <f t="shared" si="5"/>
        <v>0</v>
      </c>
    </row>
    <row r="45" spans="1:8" ht="31.5" hidden="1" x14ac:dyDescent="0.25">
      <c r="A45" s="20" t="s">
        <v>216</v>
      </c>
      <c r="B45" s="346" t="s">
        <v>481</v>
      </c>
      <c r="C45" s="341" t="s">
        <v>174</v>
      </c>
      <c r="D45" s="341" t="s">
        <v>159</v>
      </c>
      <c r="E45" s="341" t="s">
        <v>217</v>
      </c>
      <c r="F45" s="4">
        <v>903</v>
      </c>
      <c r="G45" s="295"/>
      <c r="H45" s="295"/>
    </row>
    <row r="46" spans="1:8" ht="47.25" hidden="1" x14ac:dyDescent="0.25">
      <c r="A46" s="29" t="s">
        <v>310</v>
      </c>
      <c r="B46" s="346" t="s">
        <v>481</v>
      </c>
      <c r="C46" s="341" t="s">
        <v>174</v>
      </c>
      <c r="D46" s="341" t="s">
        <v>159</v>
      </c>
      <c r="E46" s="341" t="s">
        <v>217</v>
      </c>
      <c r="F46" s="4">
        <v>903</v>
      </c>
      <c r="G46" s="295"/>
      <c r="H46" s="295"/>
    </row>
    <row r="47" spans="1:8" ht="15.75" x14ac:dyDescent="0.25">
      <c r="A47" s="340" t="s">
        <v>309</v>
      </c>
      <c r="B47" s="158"/>
      <c r="C47" s="158"/>
      <c r="D47" s="158"/>
      <c r="E47" s="158"/>
      <c r="F47" s="340"/>
      <c r="G47" s="35">
        <f>G17+G23+G29+G35+G41+G11</f>
        <v>11220.5</v>
      </c>
      <c r="H47" s="35">
        <f>H17+H23+H29+H35+H41+H11</f>
        <v>11220.5</v>
      </c>
    </row>
  </sheetData>
  <mergeCells count="5">
    <mergeCell ref="A1:C2"/>
    <mergeCell ref="G1:H1"/>
    <mergeCell ref="G2:H2"/>
    <mergeCell ref="G3:H3"/>
    <mergeCell ref="A6:H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3" zoomScaleNormal="100" zoomScaleSheetLayoutView="93" workbookViewId="0">
      <selection activeCell="B3" sqref="B3:C3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</cols>
  <sheetData>
    <row r="1" spans="1:5" ht="15.75" x14ac:dyDescent="0.25">
      <c r="A1" s="11"/>
      <c r="B1" s="692" t="s">
        <v>1374</v>
      </c>
      <c r="C1" s="692"/>
    </row>
    <row r="2" spans="1:5" ht="15.75" x14ac:dyDescent="0.25">
      <c r="A2" s="11"/>
      <c r="B2" s="692" t="s">
        <v>1376</v>
      </c>
      <c r="C2" s="692"/>
    </row>
    <row r="3" spans="1:5" ht="15.75" x14ac:dyDescent="0.25">
      <c r="A3" s="11"/>
      <c r="B3" s="691" t="s">
        <v>1377</v>
      </c>
      <c r="C3" s="691"/>
    </row>
    <row r="4" spans="1:5" s="128" customFormat="1" ht="15.75" x14ac:dyDescent="0.25">
      <c r="A4" s="11"/>
      <c r="B4" s="11"/>
      <c r="C4" s="261"/>
    </row>
    <row r="5" spans="1:5" ht="16.5" x14ac:dyDescent="0.25">
      <c r="A5" s="682" t="s">
        <v>311</v>
      </c>
      <c r="B5" s="682"/>
      <c r="C5" s="682"/>
    </row>
    <row r="6" spans="1:5" ht="16.5" x14ac:dyDescent="0.25">
      <c r="A6" s="682" t="s">
        <v>1170</v>
      </c>
      <c r="B6" s="682"/>
      <c r="C6" s="682"/>
    </row>
    <row r="7" spans="1:5" ht="15.75" x14ac:dyDescent="0.25">
      <c r="A7" s="51"/>
      <c r="B7" s="51"/>
    </row>
    <row r="8" spans="1:5" ht="15.75" x14ac:dyDescent="0.25">
      <c r="A8" s="11"/>
      <c r="B8" s="11"/>
      <c r="C8" s="52" t="s">
        <v>1</v>
      </c>
    </row>
    <row r="9" spans="1:5" ht="28.5" customHeight="1" x14ac:dyDescent="0.25">
      <c r="A9" s="48" t="s">
        <v>312</v>
      </c>
      <c r="B9" s="48" t="s">
        <v>313</v>
      </c>
      <c r="C9" s="102" t="s">
        <v>588</v>
      </c>
    </row>
    <row r="10" spans="1:5" ht="33" x14ac:dyDescent="0.25">
      <c r="A10" s="53" t="s">
        <v>314</v>
      </c>
      <c r="B10" s="54" t="s">
        <v>315</v>
      </c>
      <c r="C10" s="257">
        <f>C11-C13</f>
        <v>28924.039499999955</v>
      </c>
    </row>
    <row r="11" spans="1:5" ht="33" customHeight="1" x14ac:dyDescent="0.25">
      <c r="A11" s="55" t="s">
        <v>316</v>
      </c>
      <c r="B11" s="56" t="s">
        <v>317</v>
      </c>
      <c r="C11" s="258">
        <f>C12</f>
        <v>31425.07</v>
      </c>
    </row>
    <row r="12" spans="1:5" ht="31.5" x14ac:dyDescent="0.25">
      <c r="A12" s="57" t="s">
        <v>318</v>
      </c>
      <c r="B12" s="58" t="s">
        <v>319</v>
      </c>
      <c r="C12" s="259">
        <v>31425.07</v>
      </c>
    </row>
    <row r="13" spans="1:5" ht="32.25" customHeight="1" x14ac:dyDescent="0.25">
      <c r="A13" s="55" t="s">
        <v>320</v>
      </c>
      <c r="B13" s="56" t="s">
        <v>321</v>
      </c>
      <c r="C13" s="257">
        <f>C14</f>
        <v>2501.0305000000444</v>
      </c>
    </row>
    <row r="14" spans="1:5" ht="32.65" customHeight="1" x14ac:dyDescent="0.25">
      <c r="A14" s="57" t="s">
        <v>322</v>
      </c>
      <c r="B14" s="58" t="s">
        <v>323</v>
      </c>
      <c r="C14" s="259">
        <f>C12+C20</f>
        <v>2501.0305000000444</v>
      </c>
    </row>
    <row r="15" spans="1:5" ht="16.5" x14ac:dyDescent="0.25">
      <c r="A15" s="55" t="s">
        <v>309</v>
      </c>
      <c r="B15" s="58"/>
      <c r="C15" s="260">
        <f>C12-C14</f>
        <v>28924.039499999955</v>
      </c>
      <c r="E15" s="15"/>
    </row>
    <row r="17" spans="1:4" x14ac:dyDescent="0.25">
      <c r="A17" s="690" t="s">
        <v>1375</v>
      </c>
      <c r="B17" s="690"/>
      <c r="C17" s="690"/>
    </row>
    <row r="18" spans="1:4" x14ac:dyDescent="0.25">
      <c r="B18" t="s">
        <v>324</v>
      </c>
      <c r="C18">
        <f>пр.1дох.22!C211</f>
        <v>949764.82790999999</v>
      </c>
    </row>
    <row r="19" spans="1:4" x14ac:dyDescent="0.25">
      <c r="B19" t="s">
        <v>325</v>
      </c>
      <c r="C19" s="625">
        <f>'Пр.4 ведом.22'!G1359</f>
        <v>978688.86740999995</v>
      </c>
    </row>
    <row r="20" spans="1:4" x14ac:dyDescent="0.25">
      <c r="B20" t="s">
        <v>326</v>
      </c>
      <c r="C20" s="15">
        <f>C18-C19</f>
        <v>-28924.039499999955</v>
      </c>
    </row>
    <row r="22" spans="1:4" x14ac:dyDescent="0.25">
      <c r="D22" s="15"/>
    </row>
    <row r="24" spans="1:4" x14ac:dyDescent="0.25">
      <c r="C24" s="15"/>
    </row>
  </sheetData>
  <mergeCells count="6">
    <mergeCell ref="A5:C5"/>
    <mergeCell ref="A6:C6"/>
    <mergeCell ref="B3:C3"/>
    <mergeCell ref="B1:C1"/>
    <mergeCell ref="A17:C17"/>
    <mergeCell ref="B2:C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1"/>
      <c r="B1" s="128"/>
      <c r="D1" s="121" t="s">
        <v>637</v>
      </c>
    </row>
    <row r="2" spans="1:4" ht="15.75" x14ac:dyDescent="0.25">
      <c r="A2" s="11"/>
      <c r="B2" s="11"/>
      <c r="D2" s="121" t="s">
        <v>0</v>
      </c>
    </row>
    <row r="3" spans="1:4" ht="15.75" x14ac:dyDescent="0.25">
      <c r="A3" s="11"/>
      <c r="B3" s="11"/>
      <c r="C3" s="128"/>
    </row>
    <row r="4" spans="1:4" ht="16.5" x14ac:dyDescent="0.25">
      <c r="A4" s="682" t="s">
        <v>311</v>
      </c>
      <c r="B4" s="682"/>
      <c r="C4" s="682"/>
      <c r="D4" s="682"/>
    </row>
    <row r="5" spans="1:4" ht="16.5" x14ac:dyDescent="0.25">
      <c r="A5" s="682" t="s">
        <v>1239</v>
      </c>
      <c r="B5" s="682"/>
      <c r="C5" s="682"/>
      <c r="D5" s="682"/>
    </row>
    <row r="6" spans="1:4" ht="15.75" x14ac:dyDescent="0.25">
      <c r="A6" s="51"/>
      <c r="B6" s="51"/>
      <c r="C6" s="128"/>
    </row>
    <row r="7" spans="1:4" ht="15.75" x14ac:dyDescent="0.25">
      <c r="A7" s="11"/>
      <c r="B7" s="11"/>
      <c r="D7" s="52" t="s">
        <v>1</v>
      </c>
    </row>
    <row r="8" spans="1:4" ht="30" x14ac:dyDescent="0.25">
      <c r="A8" s="48" t="s">
        <v>312</v>
      </c>
      <c r="B8" s="48" t="s">
        <v>313</v>
      </c>
      <c r="C8" s="102" t="s">
        <v>808</v>
      </c>
      <c r="D8" s="102" t="s">
        <v>1238</v>
      </c>
    </row>
    <row r="9" spans="1:4" ht="44.45" customHeight="1" x14ac:dyDescent="0.25">
      <c r="A9" s="53" t="s">
        <v>314</v>
      </c>
      <c r="B9" s="54" t="s">
        <v>315</v>
      </c>
      <c r="C9" s="152">
        <f>C10-C12</f>
        <v>0</v>
      </c>
      <c r="D9" s="152">
        <f>D10-D12</f>
        <v>0</v>
      </c>
    </row>
    <row r="10" spans="1:4" ht="33.75" customHeight="1" x14ac:dyDescent="0.25">
      <c r="A10" s="55" t="s">
        <v>316</v>
      </c>
      <c r="B10" s="56" t="s">
        <v>317</v>
      </c>
      <c r="C10" s="201">
        <f>C11</f>
        <v>0</v>
      </c>
      <c r="D10" s="152">
        <f>D11</f>
        <v>0</v>
      </c>
    </row>
    <row r="11" spans="1:4" ht="36.75" customHeight="1" x14ac:dyDescent="0.25">
      <c r="A11" s="57" t="s">
        <v>318</v>
      </c>
      <c r="B11" s="58" t="s">
        <v>319</v>
      </c>
      <c r="C11" s="181">
        <f>C19*(-1)</f>
        <v>0</v>
      </c>
      <c r="D11" s="153">
        <f>D19*(-1)</f>
        <v>0</v>
      </c>
    </row>
    <row r="12" spans="1:4" ht="33" customHeight="1" x14ac:dyDescent="0.25">
      <c r="A12" s="55" t="s">
        <v>320</v>
      </c>
      <c r="B12" s="56" t="s">
        <v>321</v>
      </c>
      <c r="C12" s="152">
        <f>C13</f>
        <v>0</v>
      </c>
      <c r="D12" s="152">
        <f t="shared" ref="D12:D13" si="0">C12</f>
        <v>0</v>
      </c>
    </row>
    <row r="13" spans="1:4" ht="30.75" customHeight="1" x14ac:dyDescent="0.25">
      <c r="A13" s="57" t="s">
        <v>322</v>
      </c>
      <c r="B13" s="58" t="s">
        <v>323</v>
      </c>
      <c r="C13" s="181">
        <f>C11+C19</f>
        <v>0</v>
      </c>
      <c r="D13" s="153">
        <f t="shared" si="0"/>
        <v>0</v>
      </c>
    </row>
    <row r="14" spans="1:4" ht="16.5" x14ac:dyDescent="0.25">
      <c r="A14" s="55" t="s">
        <v>309</v>
      </c>
      <c r="B14" s="58"/>
      <c r="C14" s="182">
        <f>C11-C13</f>
        <v>0</v>
      </c>
      <c r="D14" s="182">
        <f>D11-D13</f>
        <v>0</v>
      </c>
    </row>
    <row r="15" spans="1:4" x14ac:dyDescent="0.25">
      <c r="A15" s="128"/>
      <c r="B15" s="128"/>
      <c r="C15" s="128"/>
    </row>
    <row r="16" spans="1:4" x14ac:dyDescent="0.25">
      <c r="A16" s="128"/>
      <c r="B16" s="128"/>
      <c r="C16" s="128"/>
    </row>
    <row r="17" spans="1:4" x14ac:dyDescent="0.25">
      <c r="A17" s="128"/>
      <c r="B17" s="128" t="s">
        <v>324</v>
      </c>
      <c r="C17" s="200">
        <f>'Пр.1.1. дох.23-24'!C158</f>
        <v>807747.37199999997</v>
      </c>
      <c r="D17" s="200">
        <f>'Пр.1.1. дох.23-24'!D158</f>
        <v>777654.58000000007</v>
      </c>
    </row>
    <row r="18" spans="1:4" x14ac:dyDescent="0.25">
      <c r="A18" s="128"/>
      <c r="B18" s="128" t="s">
        <v>325</v>
      </c>
      <c r="C18" s="200">
        <f>'Пр.4.1 ведом.23-24 '!G1212</f>
        <v>807747.37200000009</v>
      </c>
      <c r="D18" s="200">
        <f>'Пр.4.1 ведом.23-24 '!H1212</f>
        <v>777654.58000000007</v>
      </c>
    </row>
    <row r="19" spans="1:4" x14ac:dyDescent="0.25">
      <c r="A19" s="128"/>
      <c r="B19" s="128" t="s">
        <v>326</v>
      </c>
      <c r="C19" s="200">
        <f t="shared" ref="C19:D19" si="1">C17-C18</f>
        <v>0</v>
      </c>
      <c r="D19" s="200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7" zoomScale="75" zoomScaleNormal="75" workbookViewId="0">
      <pane xSplit="3" topLeftCell="D1" activePane="topRight" state="frozen"/>
      <selection pane="topRight" activeCell="D9" sqref="D9:D10"/>
    </sheetView>
  </sheetViews>
  <sheetFormatPr defaultRowHeight="15" x14ac:dyDescent="0.25"/>
  <cols>
    <col min="1" max="1" width="6.7109375" style="74" bestFit="1" customWidth="1"/>
    <col min="2" max="2" width="19" style="333" customWidth="1"/>
    <col min="3" max="3" width="45" style="331" customWidth="1"/>
    <col min="4" max="4" width="14.5703125" style="336" customWidth="1"/>
    <col min="5" max="5" width="21.85546875" style="336" customWidth="1"/>
    <col min="6" max="6" width="16.140625" style="336" customWidth="1"/>
    <col min="7" max="7" width="22.140625" style="336" customWidth="1"/>
    <col min="8" max="8" width="11.85546875" style="331" customWidth="1"/>
    <col min="9" max="9" width="17.7109375" style="336" customWidth="1"/>
    <col min="10" max="10" width="15.5703125" style="560" customWidth="1"/>
    <col min="11" max="11" width="20.28515625" style="560" customWidth="1"/>
    <col min="12" max="12" width="23.7109375" style="560" customWidth="1"/>
    <col min="13" max="13" width="13.28515625" style="560" customWidth="1"/>
    <col min="14" max="14" width="12" style="330" customWidth="1"/>
    <col min="15" max="15" width="14" style="330" customWidth="1"/>
    <col min="16" max="16" width="16.7109375" style="560" customWidth="1"/>
    <col min="17" max="17" width="17.28515625" style="560" customWidth="1"/>
    <col min="18" max="18" width="17.140625" style="560" customWidth="1"/>
    <col min="19" max="19" width="12.7109375" style="151" bestFit="1" customWidth="1"/>
    <col min="20" max="20" width="9" style="151" bestFit="1" customWidth="1"/>
    <col min="21" max="21" width="14.28515625" style="151" customWidth="1"/>
  </cols>
  <sheetData>
    <row r="1" spans="1:21" s="334" customFormat="1" ht="15.75" x14ac:dyDescent="0.25">
      <c r="A1" s="333"/>
      <c r="B1" s="333"/>
      <c r="C1" s="331"/>
      <c r="D1" s="336"/>
      <c r="E1" s="336"/>
      <c r="F1" s="336"/>
      <c r="G1" s="336"/>
      <c r="H1" s="331"/>
      <c r="I1" s="335"/>
      <c r="J1" s="335"/>
      <c r="K1" s="335"/>
      <c r="L1" s="335"/>
      <c r="M1" s="335"/>
      <c r="N1" s="332"/>
      <c r="O1" s="332"/>
      <c r="P1" s="335"/>
      <c r="Q1" s="335"/>
      <c r="R1" s="335"/>
      <c r="S1" s="559"/>
      <c r="T1" s="559"/>
      <c r="U1" s="559"/>
    </row>
    <row r="2" spans="1:21" ht="42" customHeight="1" x14ac:dyDescent="0.25">
      <c r="A2" s="683" t="s">
        <v>1132</v>
      </c>
      <c r="B2" s="683" t="s">
        <v>112</v>
      </c>
      <c r="C2" s="687"/>
      <c r="D2" s="684">
        <v>2022</v>
      </c>
      <c r="E2" s="685"/>
      <c r="F2" s="685"/>
      <c r="G2" s="685"/>
      <c r="H2" s="685"/>
      <c r="I2" s="686"/>
      <c r="J2" s="687">
        <v>2023</v>
      </c>
      <c r="K2" s="687"/>
      <c r="L2" s="687"/>
      <c r="M2" s="687"/>
      <c r="N2" s="687"/>
      <c r="O2" s="687"/>
      <c r="P2" s="688">
        <v>2024</v>
      </c>
      <c r="Q2" s="688"/>
      <c r="R2" s="688"/>
      <c r="S2" s="688"/>
      <c r="T2" s="688"/>
      <c r="U2" s="688"/>
    </row>
    <row r="3" spans="1:21" s="293" customFormat="1" ht="28.15" customHeight="1" x14ac:dyDescent="0.25">
      <c r="A3" s="683"/>
      <c r="B3" s="683"/>
      <c r="C3" s="687"/>
      <c r="D3" s="522" t="s">
        <v>1130</v>
      </c>
      <c r="E3" s="522" t="s">
        <v>1131</v>
      </c>
      <c r="F3" s="584" t="s">
        <v>1133</v>
      </c>
      <c r="G3" s="522" t="s">
        <v>291</v>
      </c>
      <c r="H3" s="383" t="s">
        <v>1135</v>
      </c>
      <c r="I3" s="384" t="s">
        <v>1134</v>
      </c>
      <c r="J3" s="522" t="s">
        <v>1130</v>
      </c>
      <c r="K3" s="522" t="s">
        <v>1131</v>
      </c>
      <c r="L3" s="522" t="s">
        <v>1133</v>
      </c>
      <c r="M3" s="522" t="s">
        <v>291</v>
      </c>
      <c r="N3" s="385" t="s">
        <v>1135</v>
      </c>
      <c r="O3" s="382" t="s">
        <v>1134</v>
      </c>
      <c r="P3" s="522" t="s">
        <v>1130</v>
      </c>
      <c r="Q3" s="522" t="s">
        <v>1131</v>
      </c>
      <c r="R3" s="522" t="s">
        <v>1133</v>
      </c>
      <c r="S3" s="522" t="s">
        <v>291</v>
      </c>
      <c r="T3" s="382" t="s">
        <v>1135</v>
      </c>
      <c r="U3" s="382" t="s">
        <v>1134</v>
      </c>
    </row>
    <row r="4" spans="1:21" ht="78.75" x14ac:dyDescent="0.25">
      <c r="A4" s="550" t="s">
        <v>903</v>
      </c>
      <c r="B4" s="550" t="s">
        <v>958</v>
      </c>
      <c r="C4" s="561" t="s">
        <v>1129</v>
      </c>
      <c r="D4" s="615">
        <f>E4+F4+G4</f>
        <v>1804000.0046236559</v>
      </c>
      <c r="E4" s="553">
        <v>33564.26</v>
      </c>
      <c r="F4" s="553">
        <v>1644135.74</v>
      </c>
      <c r="G4" s="553">
        <f>I4-E4-F4+21.51</f>
        <v>126300.00462365591</v>
      </c>
      <c r="H4" s="381">
        <v>7</v>
      </c>
      <c r="I4" s="382">
        <f>(E4+F4)*100/93</f>
        <v>1803978.4946236559</v>
      </c>
      <c r="J4" s="553">
        <f>K4+L4+M4</f>
        <v>2414000.0046236562</v>
      </c>
      <c r="K4" s="553">
        <v>44904.86</v>
      </c>
      <c r="L4" s="553">
        <v>2200095.14</v>
      </c>
      <c r="M4" s="553">
        <f>O4-K4-L4+21.51</f>
        <v>169000.00462365593</v>
      </c>
      <c r="N4" s="381">
        <v>7</v>
      </c>
      <c r="O4" s="382">
        <f>(K4+L4)*100/93</f>
        <v>2413978.4946236559</v>
      </c>
      <c r="P4" s="553">
        <f>Q4+R4+S4</f>
        <v>0</v>
      </c>
      <c r="Q4" s="553"/>
      <c r="R4" s="553"/>
      <c r="S4" s="553">
        <f>U4-Q4-R4</f>
        <v>0</v>
      </c>
      <c r="T4" s="382">
        <v>9.1</v>
      </c>
      <c r="U4" s="382">
        <f t="shared" ref="U4" si="0">(Q4+R4)*100/90.9</f>
        <v>0</v>
      </c>
    </row>
    <row r="5" spans="1:21" s="337" customFormat="1" ht="31.5" x14ac:dyDescent="0.25">
      <c r="A5" s="550" t="s">
        <v>806</v>
      </c>
      <c r="B5" s="566" t="s">
        <v>1215</v>
      </c>
      <c r="C5" s="564" t="s">
        <v>725</v>
      </c>
      <c r="D5" s="615">
        <f t="shared" ref="D5" si="1">E5+F5+G5</f>
        <v>120899.99505376344</v>
      </c>
      <c r="E5" s="554">
        <v>12400</v>
      </c>
      <c r="F5" s="554">
        <v>100000</v>
      </c>
      <c r="G5" s="554">
        <f>I5-E5-F5+39.78</f>
        <v>8499.995053763445</v>
      </c>
      <c r="H5" s="381">
        <v>7</v>
      </c>
      <c r="I5" s="382">
        <f>(E5+F5)*100/93</f>
        <v>120860.21505376344</v>
      </c>
      <c r="J5" s="553">
        <f>K5+L5+M5</f>
        <v>0</v>
      </c>
      <c r="K5" s="554"/>
      <c r="L5" s="554"/>
      <c r="M5" s="554">
        <f t="shared" ref="M5:M6" si="2">O5-K5-L5</f>
        <v>0</v>
      </c>
      <c r="N5" s="381">
        <v>9.1</v>
      </c>
      <c r="O5" s="382">
        <f>(K5+L5)*100/90.9</f>
        <v>0</v>
      </c>
      <c r="P5" s="553">
        <f t="shared" ref="P5:P6" si="3">Q5+R5+S5</f>
        <v>0</v>
      </c>
      <c r="Q5" s="554"/>
      <c r="R5" s="554"/>
      <c r="S5" s="554">
        <f t="shared" ref="S5:S6" si="4">U5-Q5-R5</f>
        <v>0</v>
      </c>
      <c r="T5" s="382">
        <v>9.1</v>
      </c>
      <c r="U5" s="382">
        <f>(Q5+R5)*100/90.9</f>
        <v>0</v>
      </c>
    </row>
    <row r="6" spans="1:21" s="337" customFormat="1" ht="31.5" x14ac:dyDescent="0.25">
      <c r="A6" s="550" t="s">
        <v>806</v>
      </c>
      <c r="B6" s="566" t="s">
        <v>1153</v>
      </c>
      <c r="C6" s="565" t="s">
        <v>1152</v>
      </c>
      <c r="D6" s="615">
        <f t="shared" ref="D6" si="5">E6+F6+G6</f>
        <v>10178300.001505377</v>
      </c>
      <c r="E6" s="554">
        <v>1110500</v>
      </c>
      <c r="F6" s="554">
        <v>8984200</v>
      </c>
      <c r="G6" s="554">
        <f>I6-E6-F6+13.98</f>
        <v>83600.00150537632</v>
      </c>
      <c r="H6" s="549">
        <f>100-95.9</f>
        <v>4.0999999999999943</v>
      </c>
      <c r="I6" s="587">
        <f>((E6)*100/93)+F6</f>
        <v>10178286.021505376</v>
      </c>
      <c r="J6" s="553">
        <f t="shared" ref="J6" si="6">K6+L6+M6</f>
        <v>0</v>
      </c>
      <c r="K6" s="554"/>
      <c r="L6" s="554"/>
      <c r="M6" s="554">
        <f t="shared" si="2"/>
        <v>0</v>
      </c>
      <c r="N6" s="381">
        <v>9.1</v>
      </c>
      <c r="O6" s="382">
        <f>(K6+L6)*100/90.9</f>
        <v>0</v>
      </c>
      <c r="P6" s="553">
        <f t="shared" si="3"/>
        <v>0</v>
      </c>
      <c r="Q6" s="554"/>
      <c r="R6" s="554"/>
      <c r="S6" s="554">
        <f t="shared" si="4"/>
        <v>0</v>
      </c>
      <c r="T6" s="382">
        <v>9.1</v>
      </c>
      <c r="U6" s="382">
        <f>(Q6+R6)*100/90.9</f>
        <v>0</v>
      </c>
    </row>
    <row r="7" spans="1:21" s="343" customFormat="1" ht="15.75" x14ac:dyDescent="0.25">
      <c r="A7" s="350"/>
      <c r="B7" s="350"/>
      <c r="C7" s="351"/>
      <c r="D7" s="523"/>
      <c r="E7" s="523"/>
      <c r="F7" s="523"/>
      <c r="G7" s="523"/>
      <c r="H7" s="381"/>
      <c r="I7" s="382"/>
      <c r="J7" s="523"/>
      <c r="K7" s="523"/>
      <c r="L7" s="523"/>
      <c r="M7" s="523"/>
      <c r="N7" s="381"/>
      <c r="O7" s="382"/>
      <c r="P7" s="523"/>
      <c r="Q7" s="523"/>
      <c r="R7" s="523"/>
      <c r="S7" s="523"/>
      <c r="T7" s="382"/>
      <c r="U7" s="382"/>
    </row>
    <row r="8" spans="1:21" ht="45" x14ac:dyDescent="0.25">
      <c r="A8" s="550" t="s">
        <v>807</v>
      </c>
      <c r="B8" s="551" t="s">
        <v>475</v>
      </c>
      <c r="C8" s="552" t="s">
        <v>399</v>
      </c>
      <c r="D8" s="553">
        <f t="shared" ref="D8:D23" si="7">E8+F8+G8</f>
        <v>0</v>
      </c>
      <c r="E8" s="554"/>
      <c r="F8" s="554"/>
      <c r="G8" s="554"/>
      <c r="H8" s="381" t="s">
        <v>1201</v>
      </c>
      <c r="I8" s="382"/>
      <c r="J8" s="553">
        <f t="shared" ref="J8:J23" si="8">K8+L8+M8</f>
        <v>253000</v>
      </c>
      <c r="K8" s="554">
        <v>102475</v>
      </c>
      <c r="L8" s="554">
        <v>75500</v>
      </c>
      <c r="M8" s="554">
        <f>75000+25</f>
        <v>75025</v>
      </c>
      <c r="N8" s="381" t="s">
        <v>1201</v>
      </c>
      <c r="O8" s="382"/>
      <c r="P8" s="553">
        <f t="shared" ref="P8:P23" si="9">Q8+R8+S8</f>
        <v>217350</v>
      </c>
      <c r="Q8" s="554">
        <v>15650</v>
      </c>
      <c r="R8" s="554">
        <v>126700</v>
      </c>
      <c r="S8" s="554">
        <v>75000</v>
      </c>
      <c r="T8" s="382" t="s">
        <v>1201</v>
      </c>
      <c r="U8" s="382"/>
    </row>
    <row r="9" spans="1:21" s="337" customFormat="1" ht="47.25" x14ac:dyDescent="0.25">
      <c r="A9" s="550" t="s">
        <v>805</v>
      </c>
      <c r="B9" s="567" t="s">
        <v>1150</v>
      </c>
      <c r="C9" s="556" t="s">
        <v>1287</v>
      </c>
      <c r="D9" s="615">
        <f t="shared" ref="D9" si="10">E9+F9+G9</f>
        <v>22593</v>
      </c>
      <c r="E9" s="554">
        <v>2233</v>
      </c>
      <c r="F9" s="554">
        <v>18060</v>
      </c>
      <c r="G9" s="554">
        <f>1000+1300</f>
        <v>2300</v>
      </c>
      <c r="H9" s="549">
        <v>7</v>
      </c>
      <c r="I9" s="382">
        <f t="shared" ref="I9:I15" si="11">(E9+F9)*100/93</f>
        <v>21820.430107526881</v>
      </c>
      <c r="J9" s="553">
        <f t="shared" si="8"/>
        <v>0</v>
      </c>
      <c r="K9" s="554"/>
      <c r="L9" s="554"/>
      <c r="M9" s="554">
        <f t="shared" ref="M9:M17" si="12">O9-K9-L9</f>
        <v>0</v>
      </c>
      <c r="N9" s="381">
        <v>9.1</v>
      </c>
      <c r="O9" s="382">
        <f t="shared" ref="O9:O12" si="13">(K9+L9)*100/90.9</f>
        <v>0</v>
      </c>
      <c r="P9" s="553">
        <f t="shared" si="9"/>
        <v>0</v>
      </c>
      <c r="Q9" s="554"/>
      <c r="R9" s="554"/>
      <c r="S9" s="554">
        <f t="shared" ref="S9:S17" si="14">U9-Q9-R9</f>
        <v>0</v>
      </c>
      <c r="T9" s="382">
        <v>9.1</v>
      </c>
      <c r="U9" s="382">
        <f t="shared" ref="U9:U12" si="15">(Q9+R9)*100/90.9</f>
        <v>0</v>
      </c>
    </row>
    <row r="10" spans="1:21" s="343" customFormat="1" ht="47.25" x14ac:dyDescent="0.25">
      <c r="A10" s="550" t="s">
        <v>805</v>
      </c>
      <c r="B10" s="567" t="s">
        <v>1150</v>
      </c>
      <c r="C10" s="556" t="s">
        <v>1288</v>
      </c>
      <c r="D10" s="615">
        <f t="shared" ref="D10" si="16">E10+F10+G10</f>
        <v>15000</v>
      </c>
      <c r="E10" s="554">
        <v>1650</v>
      </c>
      <c r="F10" s="554">
        <v>13350</v>
      </c>
      <c r="G10" s="554"/>
      <c r="H10" s="549">
        <v>7</v>
      </c>
      <c r="I10" s="382">
        <f t="shared" ref="I10" si="17">(E10+F10)*100/93</f>
        <v>16129.032258064517</v>
      </c>
      <c r="J10" s="553"/>
      <c r="K10" s="554"/>
      <c r="L10" s="554"/>
      <c r="M10" s="554"/>
      <c r="N10" s="381"/>
      <c r="O10" s="382"/>
      <c r="P10" s="553"/>
      <c r="Q10" s="554"/>
      <c r="R10" s="554"/>
      <c r="S10" s="554"/>
      <c r="T10" s="382"/>
      <c r="U10" s="382"/>
    </row>
    <row r="11" spans="1:21" s="337" customFormat="1" ht="78.75" x14ac:dyDescent="0.25">
      <c r="A11" s="550" t="s">
        <v>903</v>
      </c>
      <c r="B11" s="551" t="s">
        <v>938</v>
      </c>
      <c r="C11" s="562" t="s">
        <v>886</v>
      </c>
      <c r="D11" s="615">
        <f t="shared" ref="D11:D12" si="18">E11+F11+G11</f>
        <v>5584599.9990322581</v>
      </c>
      <c r="E11" s="554">
        <v>571299.01</v>
      </c>
      <c r="F11" s="554">
        <v>4622300.99</v>
      </c>
      <c r="G11" s="554">
        <f>I11-E11-F11+83.87</f>
        <v>390999.99903225794</v>
      </c>
      <c r="H11" s="381">
        <v>7</v>
      </c>
      <c r="I11" s="382">
        <f t="shared" si="11"/>
        <v>5584516.1290322579</v>
      </c>
      <c r="J11" s="553">
        <f t="shared" si="8"/>
        <v>5302799.9989247313</v>
      </c>
      <c r="K11" s="554">
        <v>542477</v>
      </c>
      <c r="L11" s="554">
        <v>4389123</v>
      </c>
      <c r="M11" s="554">
        <f>O11-K11-L11+4.3</f>
        <v>371199.99892473145</v>
      </c>
      <c r="N11" s="381">
        <v>7</v>
      </c>
      <c r="O11" s="382">
        <f>(K11+L11)*100/93</f>
        <v>5302795.6989247315</v>
      </c>
      <c r="P11" s="553">
        <f t="shared" si="9"/>
        <v>5463100.0026881723</v>
      </c>
      <c r="Q11" s="554">
        <v>558865</v>
      </c>
      <c r="R11" s="554">
        <v>4521735</v>
      </c>
      <c r="S11" s="554">
        <f>U11-Q11-R11+89.25</f>
        <v>382500.00268817227</v>
      </c>
      <c r="T11" s="382">
        <v>7</v>
      </c>
      <c r="U11" s="382">
        <f>(Q11+R11)*100/93</f>
        <v>5463010.7526881723</v>
      </c>
    </row>
    <row r="12" spans="1:21" s="343" customFormat="1" ht="31.5" x14ac:dyDescent="0.25">
      <c r="A12" s="550" t="s">
        <v>806</v>
      </c>
      <c r="B12" s="568" t="s">
        <v>1156</v>
      </c>
      <c r="C12" s="552" t="s">
        <v>725</v>
      </c>
      <c r="D12" s="615">
        <f t="shared" si="18"/>
        <v>60449.997526881722</v>
      </c>
      <c r="E12" s="553">
        <v>6200</v>
      </c>
      <c r="F12" s="553">
        <v>50000</v>
      </c>
      <c r="G12" s="554">
        <f>I12-E12-F12+19.89</f>
        <v>4249.9975268817225</v>
      </c>
      <c r="H12" s="381">
        <v>7</v>
      </c>
      <c r="I12" s="382">
        <f t="shared" si="11"/>
        <v>60430.107526881722</v>
      </c>
      <c r="J12" s="553">
        <f t="shared" si="8"/>
        <v>0</v>
      </c>
      <c r="K12" s="553"/>
      <c r="L12" s="553"/>
      <c r="M12" s="554">
        <f t="shared" si="12"/>
        <v>0</v>
      </c>
      <c r="N12" s="381">
        <v>9.1</v>
      </c>
      <c r="O12" s="382">
        <f t="shared" si="13"/>
        <v>0</v>
      </c>
      <c r="P12" s="553">
        <f t="shared" si="9"/>
        <v>0</v>
      </c>
      <c r="Q12" s="553"/>
      <c r="R12" s="553"/>
      <c r="S12" s="554">
        <f t="shared" si="14"/>
        <v>0</v>
      </c>
      <c r="T12" s="382">
        <v>9.1</v>
      </c>
      <c r="U12" s="382">
        <f t="shared" si="15"/>
        <v>0</v>
      </c>
    </row>
    <row r="13" spans="1:21" s="337" customFormat="1" ht="110.25" x14ac:dyDescent="0.25">
      <c r="A13" s="550" t="s">
        <v>968</v>
      </c>
      <c r="B13" s="551" t="s">
        <v>776</v>
      </c>
      <c r="C13" s="552" t="s">
        <v>975</v>
      </c>
      <c r="D13" s="615">
        <f t="shared" ref="D13" si="19">E13+F13+G13</f>
        <v>1487311.9979569891</v>
      </c>
      <c r="E13" s="554">
        <f>652000+731200</f>
        <v>1383200</v>
      </c>
      <c r="F13" s="554"/>
      <c r="G13" s="554">
        <f>I13-E13-F13+0.17</f>
        <v>104111.99795698917</v>
      </c>
      <c r="H13" s="381">
        <f>100-93</f>
        <v>7</v>
      </c>
      <c r="I13" s="382">
        <f t="shared" si="11"/>
        <v>1487311.8279569892</v>
      </c>
      <c r="J13" s="553">
        <f t="shared" si="8"/>
        <v>701079.99881720426</v>
      </c>
      <c r="K13" s="554">
        <v>652000</v>
      </c>
      <c r="L13" s="554"/>
      <c r="M13" s="554">
        <f>O13-K13-L13+4.73</f>
        <v>49079.998817204287</v>
      </c>
      <c r="N13" s="381">
        <f>100-93</f>
        <v>7</v>
      </c>
      <c r="O13" s="382">
        <f>(K13+L13)*100/93</f>
        <v>701075.26881720428</v>
      </c>
      <c r="P13" s="553">
        <f t="shared" si="9"/>
        <v>701079.99881720426</v>
      </c>
      <c r="Q13" s="554">
        <v>652000</v>
      </c>
      <c r="R13" s="554"/>
      <c r="S13" s="554">
        <f>U13-Q13-R13+4.73</f>
        <v>49079.998817204287</v>
      </c>
      <c r="T13" s="382">
        <f>100-93</f>
        <v>7</v>
      </c>
      <c r="U13" s="382">
        <f>(Q13+R13)*100/93</f>
        <v>701075.26881720428</v>
      </c>
    </row>
    <row r="14" spans="1:21" s="337" customFormat="1" ht="31.5" x14ac:dyDescent="0.25">
      <c r="A14" s="550" t="s">
        <v>917</v>
      </c>
      <c r="B14" s="551" t="s">
        <v>1088</v>
      </c>
      <c r="C14" s="558" t="s">
        <v>1146</v>
      </c>
      <c r="D14" s="615">
        <f t="shared" ref="D14" si="20">E14+F14+G14</f>
        <v>4881069.9988172036</v>
      </c>
      <c r="E14" s="616">
        <v>4539400</v>
      </c>
      <c r="F14" s="554"/>
      <c r="G14" s="554">
        <f>I14-E14-F14-5.27</f>
        <v>341669.99881720403</v>
      </c>
      <c r="H14" s="381">
        <f>100-93</f>
        <v>7</v>
      </c>
      <c r="I14" s="382">
        <f t="shared" si="11"/>
        <v>4881075.2688172041</v>
      </c>
      <c r="J14" s="553">
        <f t="shared" si="8"/>
        <v>4487639.99860215</v>
      </c>
      <c r="K14" s="554">
        <v>4173500</v>
      </c>
      <c r="L14" s="554"/>
      <c r="M14" s="554">
        <f>O14-K14-L14+5.59</f>
        <v>314139.99860215018</v>
      </c>
      <c r="N14" s="381">
        <f>100-93</f>
        <v>7</v>
      </c>
      <c r="O14" s="382">
        <f>(K14+L14)*100/93</f>
        <v>4487634.4086021502</v>
      </c>
      <c r="P14" s="553">
        <f t="shared" si="9"/>
        <v>4487639.99860215</v>
      </c>
      <c r="Q14" s="554">
        <v>4173500</v>
      </c>
      <c r="R14" s="554"/>
      <c r="S14" s="554">
        <f>U14-Q14-R14+5.59</f>
        <v>314139.99860215018</v>
      </c>
      <c r="T14" s="382">
        <f>100-93</f>
        <v>7</v>
      </c>
      <c r="U14" s="382">
        <f>(Q14+R14)*100/93</f>
        <v>4487634.4086021502</v>
      </c>
    </row>
    <row r="15" spans="1:21" s="337" customFormat="1" ht="47.25" x14ac:dyDescent="0.25">
      <c r="A15" s="550" t="s">
        <v>805</v>
      </c>
      <c r="B15" s="557" t="s">
        <v>1059</v>
      </c>
      <c r="C15" s="556" t="s">
        <v>1025</v>
      </c>
      <c r="D15" s="615">
        <f t="shared" si="7"/>
        <v>153100</v>
      </c>
      <c r="E15" s="554">
        <v>138000</v>
      </c>
      <c r="F15" s="554"/>
      <c r="G15" s="554">
        <v>15100</v>
      </c>
      <c r="H15" s="526">
        <v>7</v>
      </c>
      <c r="I15" s="527">
        <f t="shared" si="11"/>
        <v>148387.09677419355</v>
      </c>
      <c r="J15" s="553">
        <f t="shared" si="8"/>
        <v>215100.00344086019</v>
      </c>
      <c r="K15" s="554">
        <v>200000</v>
      </c>
      <c r="L15" s="554"/>
      <c r="M15" s="554">
        <f>O15-K15-L15+46.24</f>
        <v>15100.003440860202</v>
      </c>
      <c r="N15" s="526">
        <v>7</v>
      </c>
      <c r="O15" s="527">
        <f>(K15+L15)*100/93</f>
        <v>215053.7634408602</v>
      </c>
      <c r="P15" s="553">
        <f t="shared" si="9"/>
        <v>215100.00344086019</v>
      </c>
      <c r="Q15" s="554">
        <v>200000</v>
      </c>
      <c r="R15" s="554"/>
      <c r="S15" s="554">
        <f>U15-Q15-R15+46.24</f>
        <v>15100.003440860202</v>
      </c>
      <c r="T15" s="527">
        <v>7</v>
      </c>
      <c r="U15" s="527">
        <f>(Q15+R15)*100/93</f>
        <v>215053.7634408602</v>
      </c>
    </row>
    <row r="16" spans="1:21" ht="63" x14ac:dyDescent="0.25">
      <c r="A16" s="550" t="s">
        <v>964</v>
      </c>
      <c r="B16" s="551" t="s">
        <v>1143</v>
      </c>
      <c r="C16" s="552" t="s">
        <v>1228</v>
      </c>
      <c r="D16" s="615">
        <f t="shared" si="7"/>
        <v>5022300.0042857146</v>
      </c>
      <c r="E16" s="554">
        <v>3515600</v>
      </c>
      <c r="F16" s="554"/>
      <c r="G16" s="554">
        <f>I16-E16-F16+14.29</f>
        <v>1506700.0042857146</v>
      </c>
      <c r="H16" s="381">
        <v>30</v>
      </c>
      <c r="I16" s="382">
        <f>(E16+F16)*100/70</f>
        <v>5022285.7142857146</v>
      </c>
      <c r="J16" s="553">
        <f t="shared" si="8"/>
        <v>0</v>
      </c>
      <c r="K16" s="554"/>
      <c r="L16" s="554"/>
      <c r="M16" s="554">
        <f t="shared" si="12"/>
        <v>0</v>
      </c>
      <c r="N16" s="381">
        <f t="shared" ref="N16:N17" si="21">100-95.9</f>
        <v>4.0999999999999943</v>
      </c>
      <c r="O16" s="382">
        <f t="shared" ref="O16:O17" si="22">(K16+L16)*100/95.9</f>
        <v>0</v>
      </c>
      <c r="P16" s="553">
        <f t="shared" si="9"/>
        <v>0</v>
      </c>
      <c r="Q16" s="554"/>
      <c r="R16" s="554"/>
      <c r="S16" s="554">
        <f t="shared" si="14"/>
        <v>0</v>
      </c>
      <c r="T16" s="382">
        <f t="shared" ref="T16:T18" si="23">100-95.9</f>
        <v>4.0999999999999943</v>
      </c>
      <c r="U16" s="382">
        <f t="shared" ref="U16:U18" si="24">(Q16+R16)*100/95.9</f>
        <v>0</v>
      </c>
    </row>
    <row r="17" spans="1:21" ht="47.25" x14ac:dyDescent="0.25">
      <c r="A17" s="550" t="s">
        <v>964</v>
      </c>
      <c r="B17" s="551" t="s">
        <v>1141</v>
      </c>
      <c r="C17" s="556" t="s">
        <v>1227</v>
      </c>
      <c r="D17" s="615">
        <f t="shared" si="7"/>
        <v>430099.99688172038</v>
      </c>
      <c r="E17" s="554">
        <v>400000</v>
      </c>
      <c r="F17" s="554"/>
      <c r="G17" s="554">
        <f>I17-E17-F17-7.53</f>
        <v>30099.996881720406</v>
      </c>
      <c r="H17" s="526">
        <v>7</v>
      </c>
      <c r="I17" s="527">
        <f>(E17+F17)*100/93</f>
        <v>430107.52688172041</v>
      </c>
      <c r="J17" s="553">
        <f t="shared" si="8"/>
        <v>0</v>
      </c>
      <c r="K17" s="554"/>
      <c r="L17" s="554"/>
      <c r="M17" s="554">
        <f t="shared" si="12"/>
        <v>0</v>
      </c>
      <c r="N17" s="381">
        <f t="shared" si="21"/>
        <v>4.0999999999999943</v>
      </c>
      <c r="O17" s="382">
        <f t="shared" si="22"/>
        <v>0</v>
      </c>
      <c r="P17" s="553">
        <f t="shared" si="9"/>
        <v>0</v>
      </c>
      <c r="Q17" s="554"/>
      <c r="R17" s="554"/>
      <c r="S17" s="554">
        <f t="shared" si="14"/>
        <v>0</v>
      </c>
      <c r="T17" s="382">
        <f t="shared" si="23"/>
        <v>4.0999999999999943</v>
      </c>
      <c r="U17" s="382">
        <f t="shared" si="24"/>
        <v>0</v>
      </c>
    </row>
    <row r="18" spans="1:21" ht="58.15" customHeight="1" x14ac:dyDescent="0.25">
      <c r="A18" s="550" t="s">
        <v>1026</v>
      </c>
      <c r="B18" s="551" t="s">
        <v>1016</v>
      </c>
      <c r="C18" s="552" t="s">
        <v>1229</v>
      </c>
      <c r="D18" s="615">
        <f t="shared" si="7"/>
        <v>7388670.0009677419</v>
      </c>
      <c r="E18" s="554">
        <v>6871462.0499999998</v>
      </c>
      <c r="F18" s="554"/>
      <c r="G18" s="554">
        <f>I18-E18-F18+1.13</f>
        <v>517207.95096774225</v>
      </c>
      <c r="H18" s="526">
        <v>7</v>
      </c>
      <c r="I18" s="527">
        <f>(E18+F18)*100/93</f>
        <v>7388668.8709677421</v>
      </c>
      <c r="J18" s="553">
        <f t="shared" si="8"/>
        <v>7419829.9996774197</v>
      </c>
      <c r="K18" s="554">
        <v>6900436.9800000004</v>
      </c>
      <c r="L18" s="554"/>
      <c r="M18" s="554">
        <f>O18-K18-L18+5.29</f>
        <v>519393.01967741916</v>
      </c>
      <c r="N18" s="528">
        <v>7</v>
      </c>
      <c r="O18" s="529">
        <f>(K18+L18)*100/93</f>
        <v>7419824.7096774196</v>
      </c>
      <c r="P18" s="553">
        <f t="shared" si="9"/>
        <v>0</v>
      </c>
      <c r="Q18" s="554"/>
      <c r="R18" s="554"/>
      <c r="S18" s="554">
        <f>U18-Q18-R18</f>
        <v>0</v>
      </c>
      <c r="T18" s="382">
        <f t="shared" si="23"/>
        <v>4.0999999999999943</v>
      </c>
      <c r="U18" s="382">
        <f t="shared" si="24"/>
        <v>0</v>
      </c>
    </row>
    <row r="19" spans="1:21" ht="42" customHeight="1" x14ac:dyDescent="0.25">
      <c r="A19" s="550" t="s">
        <v>967</v>
      </c>
      <c r="B19" s="551" t="s">
        <v>787</v>
      </c>
      <c r="C19" s="558" t="s">
        <v>615</v>
      </c>
      <c r="D19" s="615">
        <f t="shared" si="7"/>
        <v>8533700</v>
      </c>
      <c r="E19" s="554">
        <v>5133700</v>
      </c>
      <c r="F19" s="554"/>
      <c r="G19" s="554">
        <v>3400000</v>
      </c>
      <c r="H19" s="381"/>
      <c r="I19" s="382"/>
      <c r="J19" s="553">
        <f t="shared" si="8"/>
        <v>7678500</v>
      </c>
      <c r="K19" s="554">
        <v>4278500</v>
      </c>
      <c r="L19" s="554"/>
      <c r="M19" s="554">
        <v>3400000</v>
      </c>
      <c r="N19" s="381"/>
      <c r="O19" s="382"/>
      <c r="P19" s="553">
        <f t="shared" si="9"/>
        <v>7849600</v>
      </c>
      <c r="Q19" s="554">
        <v>4449600</v>
      </c>
      <c r="R19" s="554"/>
      <c r="S19" s="554">
        <v>3400000</v>
      </c>
      <c r="T19" s="382"/>
      <c r="U19" s="382"/>
    </row>
    <row r="20" spans="1:21" ht="31.5" x14ac:dyDescent="0.25">
      <c r="A20" s="550" t="s">
        <v>970</v>
      </c>
      <c r="B20" s="551" t="s">
        <v>467</v>
      </c>
      <c r="C20" s="552" t="s">
        <v>169</v>
      </c>
      <c r="D20" s="615">
        <f t="shared" si="7"/>
        <v>19200</v>
      </c>
      <c r="E20" s="554">
        <f>255000-255000</f>
        <v>0</v>
      </c>
      <c r="F20" s="554"/>
      <c r="G20" s="554">
        <v>19200</v>
      </c>
      <c r="H20" s="526">
        <v>7</v>
      </c>
      <c r="I20" s="527">
        <f>(E20+F20)*100/93</f>
        <v>0</v>
      </c>
      <c r="J20" s="553">
        <f t="shared" si="8"/>
        <v>19000</v>
      </c>
      <c r="K20" s="554">
        <v>0</v>
      </c>
      <c r="L20" s="554"/>
      <c r="M20" s="554">
        <v>19000</v>
      </c>
      <c r="N20" s="528">
        <v>7</v>
      </c>
      <c r="O20" s="529">
        <f>(K20+L20)*100/93</f>
        <v>0</v>
      </c>
      <c r="P20" s="553">
        <f t="shared" si="9"/>
        <v>274199.9983870968</v>
      </c>
      <c r="Q20" s="554">
        <v>255000</v>
      </c>
      <c r="R20" s="554"/>
      <c r="S20" s="554">
        <f>U20-Q20-R20+6.45</f>
        <v>19199.998387096788</v>
      </c>
      <c r="T20" s="382">
        <f>100-93</f>
        <v>7</v>
      </c>
      <c r="U20" s="382">
        <f>(Q20+R20)*100/93</f>
        <v>274193.54838709679</v>
      </c>
    </row>
    <row r="21" spans="1:21" ht="63" x14ac:dyDescent="0.25">
      <c r="A21" s="550" t="s">
        <v>805</v>
      </c>
      <c r="B21" s="557" t="s">
        <v>736</v>
      </c>
      <c r="C21" s="558" t="s">
        <v>1145</v>
      </c>
      <c r="D21" s="615">
        <f t="shared" si="7"/>
        <v>480200</v>
      </c>
      <c r="E21" s="554">
        <f>247300-247300</f>
        <v>0</v>
      </c>
      <c r="F21" s="554"/>
      <c r="G21" s="554">
        <v>480200</v>
      </c>
      <c r="H21" s="381"/>
      <c r="I21" s="382"/>
      <c r="J21" s="553">
        <f t="shared" si="8"/>
        <v>440800</v>
      </c>
      <c r="K21" s="554">
        <v>247300</v>
      </c>
      <c r="L21" s="554"/>
      <c r="M21" s="554">
        <v>193500</v>
      </c>
      <c r="N21" s="528">
        <v>7</v>
      </c>
      <c r="O21" s="529">
        <f t="shared" ref="O21:O22" si="25">(K21+L21)*100/93</f>
        <v>265913.97849462368</v>
      </c>
      <c r="P21" s="553">
        <f t="shared" si="9"/>
        <v>440800</v>
      </c>
      <c r="Q21" s="554">
        <v>247300</v>
      </c>
      <c r="R21" s="554"/>
      <c r="S21" s="554">
        <v>193500</v>
      </c>
      <c r="T21" s="382">
        <f t="shared" ref="T21:T22" si="26">100-93</f>
        <v>7</v>
      </c>
      <c r="U21" s="382">
        <f t="shared" ref="U21:U22" si="27">(Q21+R21)*100/93</f>
        <v>265913.97849462368</v>
      </c>
    </row>
    <row r="22" spans="1:21" ht="126" x14ac:dyDescent="0.25">
      <c r="A22" s="550" t="s">
        <v>972</v>
      </c>
      <c r="B22" s="551" t="s">
        <v>738</v>
      </c>
      <c r="C22" s="552" t="s">
        <v>226</v>
      </c>
      <c r="D22" s="615">
        <f t="shared" si="7"/>
        <v>60000</v>
      </c>
      <c r="E22" s="554">
        <f>200000-200000</f>
        <v>0</v>
      </c>
      <c r="F22" s="554"/>
      <c r="G22" s="554">
        <v>60000</v>
      </c>
      <c r="H22" s="381"/>
      <c r="I22" s="382"/>
      <c r="J22" s="553">
        <f t="shared" si="8"/>
        <v>215059.96344086021</v>
      </c>
      <c r="K22" s="554">
        <v>200000</v>
      </c>
      <c r="L22" s="554"/>
      <c r="M22" s="554">
        <f>O22-K22-L22+6.2</f>
        <v>15059.963440860203</v>
      </c>
      <c r="N22" s="528">
        <v>7</v>
      </c>
      <c r="O22" s="529">
        <f t="shared" si="25"/>
        <v>215053.7634408602</v>
      </c>
      <c r="P22" s="553">
        <f t="shared" si="9"/>
        <v>215060.00344086019</v>
      </c>
      <c r="Q22" s="554">
        <v>200000</v>
      </c>
      <c r="R22" s="554"/>
      <c r="S22" s="554">
        <f>U22-Q22-R22+6.24</f>
        <v>15060.003440860202</v>
      </c>
      <c r="T22" s="382">
        <f t="shared" si="26"/>
        <v>7</v>
      </c>
      <c r="U22" s="382">
        <f t="shared" si="27"/>
        <v>215053.7634408602</v>
      </c>
    </row>
    <row r="23" spans="1:21" s="343" customFormat="1" ht="47.25" x14ac:dyDescent="0.25">
      <c r="A23" s="558" t="s">
        <v>1168</v>
      </c>
      <c r="B23" s="551" t="s">
        <v>1119</v>
      </c>
      <c r="C23" s="563" t="s">
        <v>1137</v>
      </c>
      <c r="D23" s="615">
        <f t="shared" si="7"/>
        <v>4853414</v>
      </c>
      <c r="E23" s="554">
        <f>2304300-625310</f>
        <v>1678990</v>
      </c>
      <c r="F23" s="554"/>
      <c r="G23" s="554">
        <f>3220900+9400-55876</f>
        <v>3174424</v>
      </c>
      <c r="H23" s="381"/>
      <c r="I23" s="382"/>
      <c r="J23" s="553">
        <f t="shared" si="8"/>
        <v>5618500</v>
      </c>
      <c r="K23" s="554">
        <v>2373800</v>
      </c>
      <c r="L23" s="554"/>
      <c r="M23" s="554">
        <v>3244700</v>
      </c>
      <c r="N23" s="381"/>
      <c r="O23" s="382"/>
      <c r="P23" s="553">
        <f t="shared" si="9"/>
        <v>5683600</v>
      </c>
      <c r="Q23" s="554">
        <v>2446100</v>
      </c>
      <c r="R23" s="554"/>
      <c r="S23" s="554">
        <v>3237500</v>
      </c>
      <c r="T23" s="382"/>
      <c r="U23" s="382"/>
    </row>
    <row r="24" spans="1:21" s="343" customFormat="1" ht="94.5" x14ac:dyDescent="0.25">
      <c r="A24" s="558" t="s">
        <v>917</v>
      </c>
      <c r="B24" s="551" t="s">
        <v>1299</v>
      </c>
      <c r="C24" s="563" t="s">
        <v>1283</v>
      </c>
      <c r="D24" s="553">
        <f t="shared" ref="D24:D25" si="28">E24+F24+G24</f>
        <v>7059000</v>
      </c>
      <c r="E24" s="554"/>
      <c r="F24" s="554">
        <v>7059000</v>
      </c>
      <c r="G24" s="554"/>
      <c r="H24" s="381"/>
      <c r="I24" s="382"/>
      <c r="J24" s="553"/>
      <c r="K24" s="554"/>
      <c r="L24" s="554"/>
      <c r="M24" s="554"/>
      <c r="N24" s="381"/>
      <c r="O24" s="382"/>
      <c r="P24" s="553"/>
      <c r="Q24" s="554"/>
      <c r="R24" s="554"/>
      <c r="S24" s="554"/>
      <c r="T24" s="382"/>
      <c r="U24" s="382"/>
    </row>
    <row r="25" spans="1:21" s="343" customFormat="1" ht="31.5" x14ac:dyDescent="0.25">
      <c r="A25" s="558" t="s">
        <v>967</v>
      </c>
      <c r="B25" s="551" t="s">
        <v>1285</v>
      </c>
      <c r="C25" s="563" t="s">
        <v>1286</v>
      </c>
      <c r="D25" s="615">
        <f t="shared" si="28"/>
        <v>0</v>
      </c>
      <c r="E25" s="554">
        <f>286000-286000</f>
        <v>0</v>
      </c>
      <c r="F25" s="554"/>
      <c r="G25" s="554">
        <f>I25-E25-F25</f>
        <v>0</v>
      </c>
      <c r="H25" s="381">
        <f>100-93</f>
        <v>7</v>
      </c>
      <c r="I25" s="382">
        <f t="shared" ref="I25" si="29">(E25+F25)*100/93</f>
        <v>0</v>
      </c>
      <c r="J25" s="553"/>
      <c r="K25" s="554"/>
      <c r="L25" s="554"/>
      <c r="M25" s="554"/>
      <c r="N25" s="381"/>
      <c r="O25" s="382"/>
      <c r="P25" s="553"/>
      <c r="Q25" s="554"/>
      <c r="R25" s="554"/>
      <c r="S25" s="554"/>
      <c r="T25" s="382"/>
      <c r="U25" s="382"/>
    </row>
    <row r="26" spans="1:21" s="343" customFormat="1" ht="31.5" x14ac:dyDescent="0.25">
      <c r="A26" s="558" t="s">
        <v>917</v>
      </c>
      <c r="B26" s="551" t="s">
        <v>1303</v>
      </c>
      <c r="C26" s="563" t="s">
        <v>1302</v>
      </c>
      <c r="D26" s="615">
        <f t="shared" ref="D26" si="30">E26+F26+G26</f>
        <v>2848599.9959450224</v>
      </c>
      <c r="E26" s="554">
        <v>40000</v>
      </c>
      <c r="F26" s="554">
        <v>1960000</v>
      </c>
      <c r="G26" s="554">
        <f>I26-E26-F26+2.93</f>
        <v>848599.99594502233</v>
      </c>
      <c r="H26" s="381">
        <v>29.79</v>
      </c>
      <c r="I26" s="382">
        <f>(E26+F26)*100/70.21</f>
        <v>2848597.0659450223</v>
      </c>
      <c r="J26" s="553"/>
      <c r="K26" s="554"/>
      <c r="L26" s="554"/>
      <c r="M26" s="554"/>
      <c r="N26" s="381"/>
      <c r="O26" s="382"/>
      <c r="P26" s="553"/>
      <c r="Q26" s="554"/>
      <c r="R26" s="554"/>
      <c r="S26" s="554"/>
      <c r="T26" s="382"/>
      <c r="U26" s="382"/>
    </row>
    <row r="27" spans="1:21" s="343" customFormat="1" ht="31.5" x14ac:dyDescent="0.25">
      <c r="A27" s="558" t="s">
        <v>917</v>
      </c>
      <c r="B27" s="551" t="s">
        <v>410</v>
      </c>
      <c r="C27" s="563" t="s">
        <v>1308</v>
      </c>
      <c r="D27" s="615">
        <v>26088123.600000001</v>
      </c>
      <c r="E27" s="554">
        <v>241608.5</v>
      </c>
      <c r="F27" s="554">
        <v>11838816.880000001</v>
      </c>
      <c r="G27" s="554">
        <f>D27-E27-F27</f>
        <v>14007698.220000001</v>
      </c>
      <c r="H27" s="381"/>
      <c r="I27" s="382"/>
      <c r="J27" s="553"/>
      <c r="K27" s="554"/>
      <c r="L27" s="554"/>
      <c r="M27" s="554"/>
      <c r="N27" s="381"/>
      <c r="O27" s="382"/>
      <c r="P27" s="553"/>
      <c r="Q27" s="554"/>
      <c r="R27" s="554"/>
      <c r="S27" s="554"/>
      <c r="T27" s="382"/>
      <c r="U27" s="382"/>
    </row>
    <row r="28" spans="1:21" s="343" customFormat="1" ht="47.25" x14ac:dyDescent="0.25">
      <c r="A28" s="558" t="s">
        <v>917</v>
      </c>
      <c r="B28" s="551" t="s">
        <v>1056</v>
      </c>
      <c r="C28" s="563" t="s">
        <v>1315</v>
      </c>
      <c r="D28" s="615">
        <f t="shared" ref="D28:D30" si="31">E28+F28+G28</f>
        <v>4173548.3970967745</v>
      </c>
      <c r="E28" s="554">
        <v>3881400</v>
      </c>
      <c r="F28" s="554"/>
      <c r="G28" s="554">
        <f>I28-E28-F28+0.01</f>
        <v>292148.39709677431</v>
      </c>
      <c r="H28" s="381">
        <f>100-93</f>
        <v>7</v>
      </c>
      <c r="I28" s="382">
        <f t="shared" ref="I28" si="32">(E28+F28)*100/93</f>
        <v>4173548.3870967743</v>
      </c>
      <c r="J28" s="553"/>
      <c r="K28" s="554"/>
      <c r="L28" s="554"/>
      <c r="M28" s="554"/>
      <c r="N28" s="381"/>
      <c r="O28" s="382"/>
      <c r="P28" s="553"/>
      <c r="Q28" s="554"/>
      <c r="R28" s="554"/>
      <c r="S28" s="554"/>
      <c r="T28" s="382"/>
      <c r="U28" s="382"/>
    </row>
    <row r="29" spans="1:21" s="343" customFormat="1" ht="31.5" x14ac:dyDescent="0.25">
      <c r="A29" s="558" t="s">
        <v>917</v>
      </c>
      <c r="B29" s="551" t="s">
        <v>1310</v>
      </c>
      <c r="C29" s="563" t="s">
        <v>1309</v>
      </c>
      <c r="D29" s="615">
        <f t="shared" si="31"/>
        <v>1352462.36</v>
      </c>
      <c r="E29" s="554">
        <v>1352462.36</v>
      </c>
      <c r="F29" s="554"/>
      <c r="G29" s="554"/>
      <c r="H29" s="381"/>
      <c r="I29" s="382"/>
      <c r="J29" s="553"/>
      <c r="K29" s="554"/>
      <c r="L29" s="554"/>
      <c r="M29" s="554"/>
      <c r="N29" s="381"/>
      <c r="O29" s="382"/>
      <c r="P29" s="553"/>
      <c r="Q29" s="554"/>
      <c r="R29" s="554"/>
      <c r="S29" s="554"/>
      <c r="T29" s="382"/>
      <c r="U29" s="382"/>
    </row>
    <row r="30" spans="1:21" s="343" customFormat="1" ht="63" x14ac:dyDescent="0.25">
      <c r="A30" s="558" t="s">
        <v>1339</v>
      </c>
      <c r="B30" s="551" t="s">
        <v>1063</v>
      </c>
      <c r="C30" s="563" t="s">
        <v>1338</v>
      </c>
      <c r="D30" s="615">
        <f t="shared" si="31"/>
        <v>455400.00215053768</v>
      </c>
      <c r="E30" s="554">
        <v>422600</v>
      </c>
      <c r="F30" s="554"/>
      <c r="G30" s="554">
        <f>I30-E30-F30+991.4</f>
        <v>32800.002150537657</v>
      </c>
      <c r="H30" s="381">
        <f>100-93</f>
        <v>7</v>
      </c>
      <c r="I30" s="382">
        <f t="shared" ref="I30" si="33">(E30+F30)*100/93</f>
        <v>454408.60215053766</v>
      </c>
      <c r="J30" s="553"/>
      <c r="K30" s="554"/>
      <c r="L30" s="554"/>
      <c r="M30" s="554"/>
      <c r="N30" s="381"/>
      <c r="O30" s="382"/>
      <c r="P30" s="553"/>
      <c r="Q30" s="554"/>
      <c r="R30" s="554"/>
      <c r="S30" s="554"/>
      <c r="T30" s="382"/>
      <c r="U30" s="382"/>
    </row>
    <row r="31" spans="1:21" s="343" customFormat="1" ht="31.5" x14ac:dyDescent="0.25">
      <c r="A31" s="604" t="s">
        <v>1316</v>
      </c>
      <c r="B31" s="551" t="s">
        <v>582</v>
      </c>
      <c r="C31" s="563" t="s">
        <v>981</v>
      </c>
      <c r="D31" s="615">
        <f t="shared" ref="D31" si="34">E31+F31+G31</f>
        <v>625193.28</v>
      </c>
      <c r="E31" s="554">
        <v>54507.11</v>
      </c>
      <c r="F31" s="554">
        <v>545071.12</v>
      </c>
      <c r="G31" s="554">
        <f>I31-E31-F31</f>
        <v>25615.050000000047</v>
      </c>
      <c r="H31" s="381">
        <f>100-93</f>
        <v>7</v>
      </c>
      <c r="I31" s="382">
        <v>625193.28</v>
      </c>
      <c r="J31" s="553"/>
      <c r="K31" s="554"/>
      <c r="L31" s="554"/>
      <c r="M31" s="554"/>
      <c r="N31" s="381"/>
      <c r="O31" s="382"/>
      <c r="P31" s="553"/>
      <c r="Q31" s="554"/>
      <c r="R31" s="554"/>
      <c r="S31" s="554"/>
      <c r="T31" s="382"/>
      <c r="U31" s="382"/>
    </row>
    <row r="32" spans="1:21" ht="15.75" x14ac:dyDescent="0.25">
      <c r="A32" s="350" t="s">
        <v>988</v>
      </c>
      <c r="B32" s="350"/>
      <c r="C32" s="352"/>
      <c r="D32" s="524">
        <f>SUM(D4:D31)</f>
        <v>93697236.631843626</v>
      </c>
      <c r="E32" s="524">
        <f>SUM(E1:E31)</f>
        <v>31390776.289999999</v>
      </c>
      <c r="F32" s="524">
        <f>SUM(F4:F31)</f>
        <v>36834934.729999997</v>
      </c>
      <c r="G32" s="524">
        <f>SUM(G4:G31)</f>
        <v>25471525.611843646</v>
      </c>
      <c r="H32" s="381"/>
      <c r="I32" s="382"/>
      <c r="J32" s="524">
        <f>SUM(J4:J23)</f>
        <v>34765309.967526883</v>
      </c>
      <c r="K32" s="524">
        <f>SUM(K4:K23)</f>
        <v>19715393.84</v>
      </c>
      <c r="L32" s="524">
        <f>SUM(L4:L23)</f>
        <v>6664718.1400000006</v>
      </c>
      <c r="M32" s="524">
        <f t="shared" ref="M32" si="35">SUM(M4:M22)</f>
        <v>5140497.9875268815</v>
      </c>
      <c r="N32" s="381"/>
      <c r="O32" s="382"/>
      <c r="P32" s="524">
        <f>SUM(P4:P23)</f>
        <v>25547530.005376346</v>
      </c>
      <c r="Q32" s="524">
        <f>SUM(Q4:Q23)</f>
        <v>13198015</v>
      </c>
      <c r="R32" s="524">
        <f>SUM(R4:R23)</f>
        <v>4648435</v>
      </c>
      <c r="S32" s="524">
        <f t="shared" ref="S32" si="36">SUM(S4:S22)</f>
        <v>4463580.0053763445</v>
      </c>
      <c r="T32" s="382"/>
      <c r="U32" s="382"/>
    </row>
    <row r="33" spans="1:21" ht="15.75" x14ac:dyDescent="0.25">
      <c r="A33" s="353"/>
      <c r="B33" s="354"/>
      <c r="C33" s="355" t="s">
        <v>1169</v>
      </c>
      <c r="D33" s="525"/>
      <c r="E33" s="525">
        <f>(E32+F32)/1000</f>
        <v>68225.711020000002</v>
      </c>
      <c r="F33" s="525"/>
      <c r="G33" s="525"/>
      <c r="J33" s="525"/>
      <c r="K33" s="525">
        <f>K32+L32</f>
        <v>26380111.98</v>
      </c>
      <c r="L33" s="525"/>
      <c r="M33" s="525"/>
      <c r="P33" s="525"/>
      <c r="Q33" s="525">
        <f>Q32+R32</f>
        <v>17846450</v>
      </c>
      <c r="R33" s="525"/>
      <c r="S33" s="525"/>
      <c r="T33" s="560"/>
      <c r="U33" s="560"/>
    </row>
    <row r="35" spans="1:21" s="343" customFormat="1" x14ac:dyDescent="0.25">
      <c r="A35" s="74"/>
      <c r="B35" s="333"/>
      <c r="C35" s="331"/>
      <c r="D35" s="336"/>
      <c r="E35" s="336"/>
      <c r="F35" s="336"/>
      <c r="G35" s="336"/>
      <c r="H35" s="331"/>
      <c r="I35" s="336"/>
      <c r="J35" s="560"/>
      <c r="K35" s="560"/>
      <c r="L35" s="560"/>
      <c r="M35" s="560"/>
      <c r="N35" s="330"/>
      <c r="O35" s="330"/>
      <c r="P35" s="560"/>
      <c r="Q35" s="560"/>
      <c r="R35" s="560"/>
      <c r="S35" s="151"/>
      <c r="T35" s="151"/>
      <c r="U35" s="151"/>
    </row>
    <row r="36" spans="1:21" s="343" customFormat="1" x14ac:dyDescent="0.25">
      <c r="A36" s="74"/>
      <c r="B36" s="333"/>
      <c r="C36" s="331"/>
      <c r="D36" s="336"/>
      <c r="E36" s="336"/>
      <c r="F36" s="336"/>
      <c r="G36" s="336"/>
      <c r="H36" s="331"/>
      <c r="I36" s="336"/>
      <c r="J36" s="560"/>
      <c r="K36" s="560"/>
      <c r="L36" s="560"/>
      <c r="M36" s="560"/>
      <c r="N36" s="330"/>
      <c r="O36" s="330"/>
      <c r="P36" s="560"/>
      <c r="Q36" s="560"/>
      <c r="R36" s="560"/>
      <c r="S36" s="151"/>
      <c r="T36" s="151"/>
      <c r="U36" s="151"/>
    </row>
    <row r="38" spans="1:21" ht="15.75" x14ac:dyDescent="0.25">
      <c r="B38" s="331" t="s">
        <v>1241</v>
      </c>
      <c r="C38" s="331" t="s">
        <v>1242</v>
      </c>
      <c r="D38" s="553">
        <f t="shared" ref="D38" si="37">E38+F38+G38</f>
        <v>179300.00182795699</v>
      </c>
      <c r="E38" s="554">
        <v>166700</v>
      </c>
      <c r="F38" s="554"/>
      <c r="G38" s="554">
        <f>I38-E38-F38+52.69</f>
        <v>12600.00182795699</v>
      </c>
      <c r="H38" s="526">
        <v>7</v>
      </c>
      <c r="I38" s="527">
        <f>(E38+F38)*100/93</f>
        <v>179247.31182795699</v>
      </c>
      <c r="J38" s="553">
        <f t="shared" ref="J38" si="38">K38+L38+M38</f>
        <v>186399.99602150539</v>
      </c>
      <c r="K38" s="554">
        <v>173300</v>
      </c>
      <c r="L38" s="555"/>
      <c r="M38" s="554">
        <f>O38-K38-L38+55.91</f>
        <v>13099.996021505383</v>
      </c>
      <c r="N38" s="526">
        <v>7</v>
      </c>
      <c r="O38" s="527">
        <f>(K38+L38)*100/93</f>
        <v>186344.08602150538</v>
      </c>
      <c r="P38" s="553">
        <f t="shared" ref="P38" si="39">Q38+R38+S38</f>
        <v>193800.00086021505</v>
      </c>
      <c r="Q38" s="554">
        <v>180200</v>
      </c>
      <c r="R38" s="555"/>
      <c r="S38" s="554">
        <f>U38-Q38-R38+36.56</f>
        <v>13600.00086021505</v>
      </c>
      <c r="T38" s="526">
        <v>7</v>
      </c>
      <c r="U38" s="527">
        <f>(Q38+R38)*100/93</f>
        <v>193763.44086021505</v>
      </c>
    </row>
    <row r="39" spans="1:21" ht="15.75" x14ac:dyDescent="0.25">
      <c r="C39" s="331" t="s">
        <v>1243</v>
      </c>
      <c r="D39" s="553">
        <f t="shared" ref="D39:D43" si="40">E39+F39+G39</f>
        <v>0</v>
      </c>
      <c r="E39" s="554">
        <f>91500-91500</f>
        <v>0</v>
      </c>
      <c r="F39" s="554"/>
      <c r="G39" s="554">
        <f>I39-E39-F39</f>
        <v>0</v>
      </c>
      <c r="H39" s="526">
        <v>7</v>
      </c>
      <c r="I39" s="527">
        <f t="shared" ref="I39:I43" si="41">(E39+F39)*100/93</f>
        <v>0</v>
      </c>
      <c r="J39" s="553">
        <f t="shared" ref="J39:J43" si="42">K39+L39+M39</f>
        <v>0</v>
      </c>
      <c r="K39" s="554">
        <f>95100-95100</f>
        <v>0</v>
      </c>
      <c r="L39" s="555"/>
      <c r="M39" s="554">
        <f>O39-K39-L39</f>
        <v>0</v>
      </c>
      <c r="N39" s="526">
        <v>7</v>
      </c>
      <c r="O39" s="527">
        <f t="shared" ref="O39:O43" si="43">(K39+L39)*100/93</f>
        <v>0</v>
      </c>
      <c r="P39" s="553">
        <f t="shared" ref="P39:P43" si="44">Q39+R39+S39</f>
        <v>0</v>
      </c>
      <c r="Q39" s="554">
        <f>98900-98900</f>
        <v>0</v>
      </c>
      <c r="R39" s="555"/>
      <c r="S39" s="554">
        <f>U39-Q39-R39+55.91-55.91</f>
        <v>0</v>
      </c>
      <c r="T39" s="526">
        <v>7</v>
      </c>
      <c r="U39" s="527">
        <f t="shared" ref="U39:U43" si="45">(Q39+R39)*100/93</f>
        <v>0</v>
      </c>
    </row>
    <row r="40" spans="1:21" ht="15.75" x14ac:dyDescent="0.25">
      <c r="C40" s="331" t="s">
        <v>1244</v>
      </c>
      <c r="D40" s="553">
        <f t="shared" si="40"/>
        <v>585602.15053763438</v>
      </c>
      <c r="E40" s="554">
        <f>453110+91500</f>
        <v>544610</v>
      </c>
      <c r="F40" s="554"/>
      <c r="G40" s="554">
        <f t="shared" ref="G40:G43" si="46">I40-E40-F40</f>
        <v>40992.150537634385</v>
      </c>
      <c r="H40" s="526">
        <v>7</v>
      </c>
      <c r="I40" s="527">
        <f t="shared" si="41"/>
        <v>585602.15053763438</v>
      </c>
      <c r="J40" s="553">
        <f t="shared" si="42"/>
        <v>603870.96774193551</v>
      </c>
      <c r="K40" s="554">
        <f>466500+95100</f>
        <v>561600</v>
      </c>
      <c r="L40" s="555"/>
      <c r="M40" s="554">
        <f t="shared" ref="M40:M43" si="47">O40-K40-L40</f>
        <v>42270.967741935514</v>
      </c>
      <c r="N40" s="526">
        <v>7</v>
      </c>
      <c r="O40" s="527">
        <f t="shared" si="43"/>
        <v>603870.96774193551</v>
      </c>
      <c r="P40" s="553">
        <f t="shared" si="44"/>
        <v>622903.22580645164</v>
      </c>
      <c r="Q40" s="554">
        <f>480400+98900</f>
        <v>579300</v>
      </c>
      <c r="R40" s="555"/>
      <c r="S40" s="554">
        <f t="shared" ref="S40:S43" si="48">U40-Q40-R40</f>
        <v>43603.225806451635</v>
      </c>
      <c r="T40" s="526">
        <v>7</v>
      </c>
      <c r="U40" s="527">
        <f t="shared" si="45"/>
        <v>622903.22580645164</v>
      </c>
    </row>
    <row r="41" spans="1:21" ht="15.75" x14ac:dyDescent="0.25">
      <c r="C41" s="331" t="s">
        <v>1245</v>
      </c>
      <c r="D41" s="553">
        <f t="shared" si="40"/>
        <v>122580.64516129032</v>
      </c>
      <c r="E41" s="554">
        <v>114000</v>
      </c>
      <c r="F41" s="554"/>
      <c r="G41" s="554">
        <f t="shared" si="46"/>
        <v>8580.6451612903184</v>
      </c>
      <c r="H41" s="526">
        <v>7</v>
      </c>
      <c r="I41" s="527">
        <f t="shared" si="41"/>
        <v>122580.64516129032</v>
      </c>
      <c r="J41" s="553">
        <f t="shared" si="42"/>
        <v>122580.64516129032</v>
      </c>
      <c r="K41" s="554">
        <v>114000</v>
      </c>
      <c r="L41" s="555"/>
      <c r="M41" s="554">
        <f t="shared" si="47"/>
        <v>8580.6451612903184</v>
      </c>
      <c r="N41" s="526">
        <v>7</v>
      </c>
      <c r="O41" s="527">
        <f t="shared" si="43"/>
        <v>122580.64516129032</v>
      </c>
      <c r="P41" s="553">
        <f t="shared" si="44"/>
        <v>122580.64516129032</v>
      </c>
      <c r="Q41" s="554">
        <v>114000</v>
      </c>
      <c r="R41" s="555"/>
      <c r="S41" s="554">
        <f t="shared" si="48"/>
        <v>8580.6451612903184</v>
      </c>
      <c r="T41" s="526">
        <v>7</v>
      </c>
      <c r="U41" s="527">
        <f t="shared" si="45"/>
        <v>122580.64516129032</v>
      </c>
    </row>
    <row r="42" spans="1:21" ht="15.75" x14ac:dyDescent="0.25">
      <c r="C42" s="331" t="s">
        <v>1246</v>
      </c>
      <c r="D42" s="553">
        <f t="shared" si="40"/>
        <v>1590311.8279569892</v>
      </c>
      <c r="E42" s="554">
        <v>1478990</v>
      </c>
      <c r="F42" s="554"/>
      <c r="G42" s="554">
        <f t="shared" si="46"/>
        <v>111321.82795698917</v>
      </c>
      <c r="H42" s="526">
        <v>7</v>
      </c>
      <c r="I42" s="527">
        <f t="shared" si="41"/>
        <v>1590311.8279569892</v>
      </c>
      <c r="J42" s="553">
        <f t="shared" si="42"/>
        <v>1639677.4193548388</v>
      </c>
      <c r="K42" s="554">
        <v>1524900</v>
      </c>
      <c r="L42" s="555"/>
      <c r="M42" s="554">
        <f t="shared" si="47"/>
        <v>114777.41935483878</v>
      </c>
      <c r="N42" s="526">
        <v>7</v>
      </c>
      <c r="O42" s="527">
        <f t="shared" si="43"/>
        <v>1639677.4193548388</v>
      </c>
      <c r="P42" s="553">
        <f t="shared" si="44"/>
        <v>1690967.7419354839</v>
      </c>
      <c r="Q42" s="554">
        <v>1572600</v>
      </c>
      <c r="R42" s="555"/>
      <c r="S42" s="554">
        <f t="shared" si="48"/>
        <v>118367.74193548388</v>
      </c>
      <c r="T42" s="526">
        <v>7</v>
      </c>
      <c r="U42" s="527">
        <f t="shared" si="45"/>
        <v>1690967.7419354839</v>
      </c>
    </row>
    <row r="43" spans="1:21" ht="15.75" x14ac:dyDescent="0.25">
      <c r="C43" s="331" t="s">
        <v>1242</v>
      </c>
      <c r="D43" s="553">
        <f t="shared" si="40"/>
        <v>0</v>
      </c>
      <c r="E43" s="554"/>
      <c r="F43" s="554"/>
      <c r="G43" s="554">
        <f t="shared" si="46"/>
        <v>0</v>
      </c>
      <c r="H43" s="526">
        <v>7</v>
      </c>
      <c r="I43" s="527">
        <f t="shared" si="41"/>
        <v>0</v>
      </c>
      <c r="J43" s="553">
        <f t="shared" si="42"/>
        <v>0</v>
      </c>
      <c r="K43" s="554"/>
      <c r="L43" s="555"/>
      <c r="M43" s="554">
        <f t="shared" si="47"/>
        <v>0</v>
      </c>
      <c r="N43" s="526">
        <v>7</v>
      </c>
      <c r="O43" s="527">
        <f t="shared" si="43"/>
        <v>0</v>
      </c>
      <c r="P43" s="553">
        <f t="shared" si="44"/>
        <v>0</v>
      </c>
      <c r="Q43" s="554"/>
      <c r="R43" s="555"/>
      <c r="S43" s="554">
        <f t="shared" si="48"/>
        <v>0</v>
      </c>
      <c r="T43" s="526">
        <v>7</v>
      </c>
      <c r="U43" s="527">
        <f t="shared" si="45"/>
        <v>0</v>
      </c>
    </row>
  </sheetData>
  <mergeCells count="6">
    <mergeCell ref="A2:A3"/>
    <mergeCell ref="D2:I2"/>
    <mergeCell ref="J2:O2"/>
    <mergeCell ref="P2:U2"/>
    <mergeCell ref="B2:B3"/>
    <mergeCell ref="C2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BreakPreview" topLeftCell="A102" zoomScale="80" zoomScaleNormal="100" zoomScaleSheetLayoutView="80" workbookViewId="0">
      <selection activeCell="C111" sqref="C111"/>
    </sheetView>
  </sheetViews>
  <sheetFormatPr defaultColWidth="9.140625" defaultRowHeight="15" x14ac:dyDescent="0.25"/>
  <cols>
    <col min="1" max="1" width="25" style="344" customWidth="1"/>
    <col min="2" max="2" width="71.7109375" style="344" customWidth="1"/>
    <col min="3" max="4" width="17.28515625" style="71" customWidth="1"/>
    <col min="5" max="5" width="12.5703125" style="293" customWidth="1"/>
    <col min="6" max="6" width="14.28515625" style="293" customWidth="1"/>
    <col min="7" max="7" width="16.28515625" style="293" customWidth="1"/>
    <col min="8" max="9" width="10.28515625" style="293" customWidth="1"/>
    <col min="10" max="10" width="11.140625" style="293" customWidth="1"/>
    <col min="11" max="11" width="9" style="293" customWidth="1"/>
    <col min="12" max="16384" width="9.140625" style="293"/>
  </cols>
  <sheetData>
    <row r="1" spans="1:11" ht="15.75" x14ac:dyDescent="0.25">
      <c r="A1" s="76"/>
      <c r="B1" s="76"/>
      <c r="C1" s="656" t="s">
        <v>978</v>
      </c>
      <c r="D1" s="656"/>
    </row>
    <row r="2" spans="1:11" ht="15.75" x14ac:dyDescent="0.25">
      <c r="A2" s="76"/>
      <c r="B2" s="76"/>
      <c r="C2" s="656" t="s">
        <v>977</v>
      </c>
      <c r="D2" s="656"/>
    </row>
    <row r="3" spans="1:11" ht="15.75" x14ac:dyDescent="0.25">
      <c r="A3" s="76"/>
      <c r="B3" s="77"/>
      <c r="C3" s="656" t="s">
        <v>1178</v>
      </c>
      <c r="D3" s="656"/>
    </row>
    <row r="4" spans="1:11" ht="15.75" x14ac:dyDescent="0.25">
      <c r="A4" s="659" t="s">
        <v>683</v>
      </c>
      <c r="B4" s="659"/>
      <c r="C4" s="659"/>
      <c r="D4" s="659"/>
    </row>
    <row r="5" spans="1:11" ht="15.75" x14ac:dyDescent="0.25">
      <c r="A5" s="659" t="s">
        <v>841</v>
      </c>
      <c r="B5" s="659"/>
      <c r="C5" s="659"/>
      <c r="D5" s="659"/>
    </row>
    <row r="6" spans="1:11" ht="15.75" x14ac:dyDescent="0.25">
      <c r="A6" s="659" t="s">
        <v>1179</v>
      </c>
      <c r="B6" s="659"/>
      <c r="C6" s="659"/>
      <c r="D6" s="659"/>
    </row>
    <row r="7" spans="1:11" ht="15.75" x14ac:dyDescent="0.25">
      <c r="A7" s="78"/>
      <c r="B7" s="78"/>
      <c r="C7" s="239"/>
      <c r="D7" s="424" t="s">
        <v>336</v>
      </c>
    </row>
    <row r="8" spans="1:11" ht="33" customHeight="1" x14ac:dyDescent="0.25">
      <c r="A8" s="79" t="s">
        <v>2</v>
      </c>
      <c r="B8" s="80" t="s">
        <v>3</v>
      </c>
      <c r="C8" s="240" t="s">
        <v>808</v>
      </c>
      <c r="D8" s="9" t="s">
        <v>1180</v>
      </c>
      <c r="H8" s="666"/>
      <c r="I8" s="666"/>
      <c r="J8" s="666"/>
      <c r="K8" s="666"/>
    </row>
    <row r="9" spans="1:11" ht="18.75" x14ac:dyDescent="0.25">
      <c r="A9" s="81" t="s">
        <v>4</v>
      </c>
      <c r="B9" s="359" t="s">
        <v>5</v>
      </c>
      <c r="C9" s="218">
        <f>C10+C17+C22+C32+C40+C43+C49+C56+C59+C64+C74</f>
        <v>342703.24000000005</v>
      </c>
      <c r="D9" s="218">
        <f>D10+D17+D22+D32+D40+D43+D49+D56+D59+D64+D74</f>
        <v>362876.71000000008</v>
      </c>
      <c r="E9" s="15"/>
      <c r="F9" s="15"/>
    </row>
    <row r="10" spans="1:11" ht="18.75" x14ac:dyDescent="0.25">
      <c r="A10" s="83" t="s">
        <v>6</v>
      </c>
      <c r="B10" s="359" t="s">
        <v>7</v>
      </c>
      <c r="C10" s="218">
        <f t="shared" ref="C10:D10" si="0">C11</f>
        <v>273148.7</v>
      </c>
      <c r="D10" s="218">
        <f t="shared" si="0"/>
        <v>291830.10000000003</v>
      </c>
      <c r="I10" s="211"/>
      <c r="J10" s="210"/>
      <c r="K10" s="211"/>
    </row>
    <row r="11" spans="1:11" ht="18.75" x14ac:dyDescent="0.25">
      <c r="A11" s="84" t="s">
        <v>8</v>
      </c>
      <c r="B11" s="85" t="s">
        <v>9</v>
      </c>
      <c r="C11" s="218">
        <f>SUM(C12:C16)</f>
        <v>273148.7</v>
      </c>
      <c r="D11" s="218">
        <f>SUM(D12:D16)</f>
        <v>291830.10000000003</v>
      </c>
    </row>
    <row r="12" spans="1:11" ht="64.5" customHeight="1" x14ac:dyDescent="0.25">
      <c r="A12" s="126" t="s">
        <v>10</v>
      </c>
      <c r="B12" s="91" t="s">
        <v>11</v>
      </c>
      <c r="C12" s="223">
        <v>262634</v>
      </c>
      <c r="D12" s="223">
        <v>280251.40000000002</v>
      </c>
    </row>
    <row r="13" spans="1:11" ht="110.25" x14ac:dyDescent="0.25">
      <c r="A13" s="126" t="s">
        <v>12</v>
      </c>
      <c r="B13" s="91" t="s">
        <v>13</v>
      </c>
      <c r="C13" s="223">
        <v>59</v>
      </c>
      <c r="D13" s="223">
        <v>63</v>
      </c>
    </row>
    <row r="14" spans="1:11" ht="47.25" x14ac:dyDescent="0.25">
      <c r="A14" s="126" t="s">
        <v>14</v>
      </c>
      <c r="B14" s="91" t="s">
        <v>15</v>
      </c>
      <c r="C14" s="223">
        <v>1397</v>
      </c>
      <c r="D14" s="223">
        <v>1886</v>
      </c>
    </row>
    <row r="15" spans="1:11" ht="78.75" customHeight="1" x14ac:dyDescent="0.25">
      <c r="A15" s="126" t="s">
        <v>16</v>
      </c>
      <c r="B15" s="91" t="s">
        <v>17</v>
      </c>
      <c r="C15" s="223">
        <v>857</v>
      </c>
      <c r="D15" s="223">
        <v>916</v>
      </c>
    </row>
    <row r="16" spans="1:11" s="343" customFormat="1" ht="94.5" x14ac:dyDescent="0.25">
      <c r="A16" s="126" t="s">
        <v>1126</v>
      </c>
      <c r="B16" s="358" t="s">
        <v>1195</v>
      </c>
      <c r="C16" s="223">
        <v>8201.7000000000007</v>
      </c>
      <c r="D16" s="223">
        <v>8713.7000000000007</v>
      </c>
    </row>
    <row r="17" spans="1:11" ht="31.5" x14ac:dyDescent="0.25">
      <c r="A17" s="356" t="s">
        <v>18</v>
      </c>
      <c r="B17" s="89" t="s">
        <v>19</v>
      </c>
      <c r="C17" s="218">
        <f t="shared" ref="C17:D17" si="1">C18</f>
        <v>3048.74</v>
      </c>
      <c r="D17" s="218">
        <f t="shared" si="1"/>
        <v>3226.21</v>
      </c>
      <c r="H17" s="211"/>
      <c r="I17" s="211"/>
      <c r="J17" s="211"/>
      <c r="K17" s="211"/>
    </row>
    <row r="18" spans="1:11" ht="31.5" x14ac:dyDescent="0.25">
      <c r="A18" s="106" t="s">
        <v>20</v>
      </c>
      <c r="B18" s="360" t="s">
        <v>21</v>
      </c>
      <c r="C18" s="218">
        <f t="shared" ref="C18:D18" si="2">SUM(C19:C21)</f>
        <v>3048.74</v>
      </c>
      <c r="D18" s="218">
        <f t="shared" si="2"/>
        <v>3226.21</v>
      </c>
      <c r="K18" s="210"/>
    </row>
    <row r="19" spans="1:11" ht="63" x14ac:dyDescent="0.25">
      <c r="A19" s="90" t="s">
        <v>1091</v>
      </c>
      <c r="B19" s="91" t="s">
        <v>1092</v>
      </c>
      <c r="C19" s="223">
        <f>1364-71</f>
        <v>1293</v>
      </c>
      <c r="D19" s="223">
        <f>1420.46-76.46</f>
        <v>1344</v>
      </c>
      <c r="K19" s="210"/>
    </row>
    <row r="20" spans="1:11" ht="78.75" x14ac:dyDescent="0.25">
      <c r="A20" s="427" t="s">
        <v>1093</v>
      </c>
      <c r="B20" s="91" t="s">
        <v>1094</v>
      </c>
      <c r="C20" s="223">
        <f>7.64-0.64</f>
        <v>7</v>
      </c>
      <c r="D20" s="223">
        <f>8.2-0.4</f>
        <v>7.7999999999999989</v>
      </c>
      <c r="K20" s="210"/>
    </row>
    <row r="21" spans="1:11" ht="63" x14ac:dyDescent="0.25">
      <c r="A21" s="427" t="s">
        <v>1095</v>
      </c>
      <c r="B21" s="91" t="s">
        <v>1096</v>
      </c>
      <c r="C21" s="223">
        <f>1846.12-97.38</f>
        <v>1748.7399999999998</v>
      </c>
      <c r="D21" s="223">
        <f>1979.84-105.43</f>
        <v>1874.4099999999999</v>
      </c>
      <c r="K21" s="210"/>
    </row>
    <row r="22" spans="1:11" ht="18.75" x14ac:dyDescent="0.25">
      <c r="A22" s="84" t="s">
        <v>22</v>
      </c>
      <c r="B22" s="85" t="s">
        <v>23</v>
      </c>
      <c r="C22" s="218">
        <f>SUM(C23+C28+C30)</f>
        <v>15238</v>
      </c>
      <c r="D22" s="218">
        <f>SUM(D23+D28+D30)</f>
        <v>16351</v>
      </c>
      <c r="K22" s="210"/>
    </row>
    <row r="23" spans="1:11" ht="31.5" x14ac:dyDescent="0.25">
      <c r="A23" s="81" t="s">
        <v>24</v>
      </c>
      <c r="B23" s="85" t="s">
        <v>25</v>
      </c>
      <c r="C23" s="218">
        <f>C24+C26</f>
        <v>12235</v>
      </c>
      <c r="D23" s="218">
        <f>D24+D26</f>
        <v>13128</v>
      </c>
      <c r="H23" s="211"/>
      <c r="I23" s="211"/>
      <c r="J23" s="211"/>
      <c r="K23" s="211"/>
    </row>
    <row r="24" spans="1:11" ht="31.5" x14ac:dyDescent="0.25">
      <c r="A24" s="81" t="s">
        <v>667</v>
      </c>
      <c r="B24" s="361" t="s">
        <v>27</v>
      </c>
      <c r="C24" s="218">
        <f>C25</f>
        <v>11813</v>
      </c>
      <c r="D24" s="218">
        <f>D25</f>
        <v>12675</v>
      </c>
      <c r="K24" s="210"/>
    </row>
    <row r="25" spans="1:11" ht="31.5" x14ac:dyDescent="0.25">
      <c r="A25" s="79" t="s">
        <v>26</v>
      </c>
      <c r="B25" s="91" t="s">
        <v>27</v>
      </c>
      <c r="C25" s="223">
        <v>11813</v>
      </c>
      <c r="D25" s="223">
        <v>12675</v>
      </c>
      <c r="K25" s="210"/>
    </row>
    <row r="26" spans="1:11" ht="47.25" x14ac:dyDescent="0.25">
      <c r="A26" s="81" t="s">
        <v>666</v>
      </c>
      <c r="B26" s="362" t="s">
        <v>665</v>
      </c>
      <c r="C26" s="218">
        <f>C27</f>
        <v>422</v>
      </c>
      <c r="D26" s="218">
        <f>D27</f>
        <v>453</v>
      </c>
      <c r="K26" s="210"/>
    </row>
    <row r="27" spans="1:11" ht="63" x14ac:dyDescent="0.25">
      <c r="A27" s="79" t="s">
        <v>28</v>
      </c>
      <c r="B27" s="91" t="s">
        <v>29</v>
      </c>
      <c r="C27" s="223">
        <v>422</v>
      </c>
      <c r="D27" s="223">
        <v>453</v>
      </c>
      <c r="K27" s="210"/>
    </row>
    <row r="28" spans="1:11" ht="31.5" hidden="1" x14ac:dyDescent="0.25">
      <c r="A28" s="81" t="s">
        <v>30</v>
      </c>
      <c r="B28" s="85" t="s">
        <v>31</v>
      </c>
      <c r="C28" s="218">
        <f t="shared" ref="C28:D28" si="3">SUM(C29:C29)</f>
        <v>0</v>
      </c>
      <c r="D28" s="218">
        <f t="shared" si="3"/>
        <v>0</v>
      </c>
      <c r="K28" s="210"/>
    </row>
    <row r="29" spans="1:11" ht="21.75" hidden="1" customHeight="1" x14ac:dyDescent="0.25">
      <c r="A29" s="126" t="s">
        <v>32</v>
      </c>
      <c r="B29" s="156" t="s">
        <v>31</v>
      </c>
      <c r="C29" s="223">
        <v>0</v>
      </c>
      <c r="D29" s="223">
        <v>0</v>
      </c>
      <c r="E29" s="145"/>
      <c r="K29" s="210"/>
    </row>
    <row r="30" spans="1:11" ht="36" customHeight="1" x14ac:dyDescent="0.25">
      <c r="A30" s="81" t="s">
        <v>676</v>
      </c>
      <c r="B30" s="92" t="s">
        <v>668</v>
      </c>
      <c r="C30" s="218">
        <f>C31</f>
        <v>3003</v>
      </c>
      <c r="D30" s="223">
        <f>D31</f>
        <v>3223</v>
      </c>
      <c r="K30" s="210"/>
    </row>
    <row r="31" spans="1:11" ht="31.5" x14ac:dyDescent="0.25">
      <c r="A31" s="79" t="s">
        <v>33</v>
      </c>
      <c r="B31" s="155" t="s">
        <v>34</v>
      </c>
      <c r="C31" s="223">
        <v>3003</v>
      </c>
      <c r="D31" s="223">
        <v>3223</v>
      </c>
      <c r="K31" s="210"/>
    </row>
    <row r="32" spans="1:11" ht="18.75" x14ac:dyDescent="0.25">
      <c r="A32" s="84" t="s">
        <v>35</v>
      </c>
      <c r="B32" s="85" t="s">
        <v>36</v>
      </c>
      <c r="C32" s="218">
        <f>C33+C35</f>
        <v>1781</v>
      </c>
      <c r="D32" s="218">
        <f t="shared" ref="D32" si="4">D33+D35</f>
        <v>1805</v>
      </c>
      <c r="K32" s="210"/>
    </row>
    <row r="33" spans="1:11" ht="18.75" x14ac:dyDescent="0.25">
      <c r="A33" s="84" t="s">
        <v>37</v>
      </c>
      <c r="B33" s="85" t="s">
        <v>38</v>
      </c>
      <c r="C33" s="218">
        <f t="shared" ref="C33:D33" si="5">C34</f>
        <v>1141</v>
      </c>
      <c r="D33" s="218">
        <f t="shared" si="5"/>
        <v>1152</v>
      </c>
      <c r="K33" s="210"/>
    </row>
    <row r="34" spans="1:11" ht="47.25" x14ac:dyDescent="0.25">
      <c r="A34" s="126" t="s">
        <v>39</v>
      </c>
      <c r="B34" s="91" t="s">
        <v>40</v>
      </c>
      <c r="C34" s="223">
        <v>1141</v>
      </c>
      <c r="D34" s="223">
        <v>1152</v>
      </c>
      <c r="K34" s="210"/>
    </row>
    <row r="35" spans="1:11" ht="18.75" x14ac:dyDescent="0.25">
      <c r="A35" s="84" t="s">
        <v>41</v>
      </c>
      <c r="B35" s="85" t="s">
        <v>42</v>
      </c>
      <c r="C35" s="218">
        <f>C36+C38</f>
        <v>640</v>
      </c>
      <c r="D35" s="218">
        <f>D36+D38</f>
        <v>653</v>
      </c>
      <c r="K35" s="211"/>
    </row>
    <row r="36" spans="1:11" ht="18.75" x14ac:dyDescent="0.25">
      <c r="A36" s="84" t="s">
        <v>678</v>
      </c>
      <c r="B36" s="85" t="s">
        <v>677</v>
      </c>
      <c r="C36" s="218">
        <f>C37</f>
        <v>511</v>
      </c>
      <c r="D36" s="218">
        <f>D37</f>
        <v>519</v>
      </c>
      <c r="K36" s="210"/>
    </row>
    <row r="37" spans="1:11" ht="31.5" x14ac:dyDescent="0.25">
      <c r="A37" s="126" t="s">
        <v>43</v>
      </c>
      <c r="B37" s="91" t="s">
        <v>44</v>
      </c>
      <c r="C37" s="223">
        <v>511</v>
      </c>
      <c r="D37" s="223">
        <v>519</v>
      </c>
      <c r="K37" s="210"/>
    </row>
    <row r="38" spans="1:11" ht="18.75" x14ac:dyDescent="0.25">
      <c r="A38" s="84" t="s">
        <v>680</v>
      </c>
      <c r="B38" s="85" t="s">
        <v>679</v>
      </c>
      <c r="C38" s="218">
        <f>C39</f>
        <v>129</v>
      </c>
      <c r="D38" s="218">
        <f>D39</f>
        <v>134</v>
      </c>
      <c r="K38" s="210"/>
    </row>
    <row r="39" spans="1:11" ht="31.5" x14ac:dyDescent="0.25">
      <c r="A39" s="126" t="s">
        <v>45</v>
      </c>
      <c r="B39" s="91" t="s">
        <v>46</v>
      </c>
      <c r="C39" s="223">
        <v>129</v>
      </c>
      <c r="D39" s="223">
        <v>134</v>
      </c>
      <c r="K39" s="210"/>
    </row>
    <row r="40" spans="1:11" ht="18.75" x14ac:dyDescent="0.25">
      <c r="A40" s="84" t="s">
        <v>47</v>
      </c>
      <c r="B40" s="85" t="s">
        <v>48</v>
      </c>
      <c r="C40" s="218">
        <f t="shared" ref="C40:D41" si="6">C41</f>
        <v>1334</v>
      </c>
      <c r="D40" s="218">
        <f t="shared" si="6"/>
        <v>1388</v>
      </c>
      <c r="K40" s="210"/>
    </row>
    <row r="41" spans="1:11" ht="31.5" x14ac:dyDescent="0.25">
      <c r="A41" s="84" t="s">
        <v>49</v>
      </c>
      <c r="B41" s="85" t="s">
        <v>50</v>
      </c>
      <c r="C41" s="218">
        <f t="shared" si="6"/>
        <v>1334</v>
      </c>
      <c r="D41" s="218">
        <f t="shared" si="6"/>
        <v>1388</v>
      </c>
      <c r="K41" s="210"/>
    </row>
    <row r="42" spans="1:11" ht="47.25" x14ac:dyDescent="0.25">
      <c r="A42" s="126" t="s">
        <v>51</v>
      </c>
      <c r="B42" s="91" t="s">
        <v>52</v>
      </c>
      <c r="C42" s="223">
        <v>1334</v>
      </c>
      <c r="D42" s="223">
        <v>1388</v>
      </c>
      <c r="K42" s="210"/>
    </row>
    <row r="43" spans="1:11" ht="47.25" x14ac:dyDescent="0.25">
      <c r="A43" s="84" t="s">
        <v>53</v>
      </c>
      <c r="B43" s="85" t="s">
        <v>54</v>
      </c>
      <c r="C43" s="218">
        <f t="shared" ref="C43:D43" si="7">C44</f>
        <v>44000</v>
      </c>
      <c r="D43" s="218">
        <f t="shared" si="7"/>
        <v>44000</v>
      </c>
      <c r="E43" s="15"/>
      <c r="F43" s="15"/>
      <c r="H43" s="151"/>
      <c r="I43" s="151"/>
      <c r="J43" s="151"/>
      <c r="K43" s="211"/>
    </row>
    <row r="44" spans="1:11" ht="78.75" x14ac:dyDescent="0.25">
      <c r="A44" s="84" t="s">
        <v>55</v>
      </c>
      <c r="B44" s="85" t="s">
        <v>56</v>
      </c>
      <c r="C44" s="218">
        <f t="shared" ref="C44:D44" si="8">C45+C47</f>
        <v>44000</v>
      </c>
      <c r="D44" s="218">
        <f t="shared" si="8"/>
        <v>44000</v>
      </c>
      <c r="K44" s="210"/>
    </row>
    <row r="45" spans="1:11" ht="63" x14ac:dyDescent="0.25">
      <c r="A45" s="84" t="s">
        <v>57</v>
      </c>
      <c r="B45" s="85" t="s">
        <v>58</v>
      </c>
      <c r="C45" s="218">
        <f t="shared" ref="C45:D45" si="9">C46</f>
        <v>40000</v>
      </c>
      <c r="D45" s="218">
        <f t="shared" si="9"/>
        <v>40000</v>
      </c>
      <c r="K45" s="210"/>
    </row>
    <row r="46" spans="1:11" ht="78.75" x14ac:dyDescent="0.25">
      <c r="A46" s="126" t="s">
        <v>59</v>
      </c>
      <c r="B46" s="91" t="s">
        <v>60</v>
      </c>
      <c r="C46" s="223">
        <v>40000</v>
      </c>
      <c r="D46" s="223">
        <v>40000</v>
      </c>
      <c r="K46" s="210"/>
    </row>
    <row r="47" spans="1:11" ht="47.25" x14ac:dyDescent="0.25">
      <c r="A47" s="84" t="s">
        <v>61</v>
      </c>
      <c r="B47" s="85" t="s">
        <v>62</v>
      </c>
      <c r="C47" s="218">
        <f t="shared" ref="C47:D47" si="10">C48</f>
        <v>4000</v>
      </c>
      <c r="D47" s="218">
        <f t="shared" si="10"/>
        <v>4000</v>
      </c>
      <c r="K47" s="210"/>
    </row>
    <row r="48" spans="1:11" ht="31.5" x14ac:dyDescent="0.25">
      <c r="A48" s="126" t="s">
        <v>63</v>
      </c>
      <c r="B48" s="91" t="s">
        <v>64</v>
      </c>
      <c r="C48" s="223">
        <v>4000</v>
      </c>
      <c r="D48" s="223">
        <v>4000</v>
      </c>
      <c r="K48" s="210"/>
    </row>
    <row r="49" spans="1:11" ht="26.45" customHeight="1" x14ac:dyDescent="0.25">
      <c r="A49" s="84" t="s">
        <v>65</v>
      </c>
      <c r="B49" s="94" t="s">
        <v>66</v>
      </c>
      <c r="C49" s="218">
        <f t="shared" ref="C49:D49" si="11">SUM(C50)</f>
        <v>3065.8999999999996</v>
      </c>
      <c r="D49" s="218">
        <f t="shared" si="11"/>
        <v>3188.4999999999995</v>
      </c>
      <c r="H49" s="151"/>
      <c r="I49" s="151"/>
      <c r="J49" s="151"/>
      <c r="K49" s="211"/>
    </row>
    <row r="50" spans="1:11" ht="18.75" x14ac:dyDescent="0.25">
      <c r="A50" s="84" t="s">
        <v>67</v>
      </c>
      <c r="B50" s="85" t="s">
        <v>68</v>
      </c>
      <c r="C50" s="218">
        <f>C51+C52+C53</f>
        <v>3065.8999999999996</v>
      </c>
      <c r="D50" s="218">
        <f>D51+D52+D53</f>
        <v>3188.4999999999995</v>
      </c>
      <c r="K50" s="210"/>
    </row>
    <row r="51" spans="1:11" ht="31.5" x14ac:dyDescent="0.25">
      <c r="A51" s="84" t="s">
        <v>69</v>
      </c>
      <c r="B51" s="85" t="s">
        <v>70</v>
      </c>
      <c r="C51" s="218">
        <v>167.4</v>
      </c>
      <c r="D51" s="218">
        <v>174.1</v>
      </c>
      <c r="K51" s="210"/>
    </row>
    <row r="52" spans="1:11" ht="18.75" x14ac:dyDescent="0.25">
      <c r="A52" s="84" t="s">
        <v>71</v>
      </c>
      <c r="B52" s="85" t="s">
        <v>72</v>
      </c>
      <c r="C52" s="218">
        <v>172.7</v>
      </c>
      <c r="D52" s="218">
        <v>179.6</v>
      </c>
      <c r="K52" s="210"/>
    </row>
    <row r="53" spans="1:11" ht="36" customHeight="1" x14ac:dyDescent="0.25">
      <c r="A53" s="84" t="s">
        <v>925</v>
      </c>
      <c r="B53" s="94" t="s">
        <v>669</v>
      </c>
      <c r="C53" s="218">
        <f>C54+C55</f>
        <v>2725.7999999999997</v>
      </c>
      <c r="D53" s="218">
        <f>D54+D55</f>
        <v>2834.7999999999997</v>
      </c>
      <c r="K53" s="210"/>
    </row>
    <row r="54" spans="1:11" ht="18.75" x14ac:dyDescent="0.25">
      <c r="A54" s="126" t="s">
        <v>371</v>
      </c>
      <c r="B54" s="91" t="s">
        <v>372</v>
      </c>
      <c r="C54" s="223">
        <v>2465.6</v>
      </c>
      <c r="D54" s="223">
        <v>2564.1999999999998</v>
      </c>
      <c r="K54" s="210"/>
    </row>
    <row r="55" spans="1:11" ht="18.75" x14ac:dyDescent="0.25">
      <c r="A55" s="126" t="s">
        <v>373</v>
      </c>
      <c r="B55" s="91" t="s">
        <v>374</v>
      </c>
      <c r="C55" s="223">
        <v>260.2</v>
      </c>
      <c r="D55" s="223">
        <v>270.60000000000002</v>
      </c>
      <c r="K55" s="210"/>
    </row>
    <row r="56" spans="1:11" ht="31.5" x14ac:dyDescent="0.25">
      <c r="A56" s="84" t="s">
        <v>73</v>
      </c>
      <c r="B56" s="85" t="s">
        <v>74</v>
      </c>
      <c r="C56" s="218">
        <f>C58</f>
        <v>833.9</v>
      </c>
      <c r="D56" s="218">
        <f>D58</f>
        <v>833.9</v>
      </c>
      <c r="K56" s="210"/>
    </row>
    <row r="57" spans="1:11" ht="18.75" x14ac:dyDescent="0.25">
      <c r="A57" s="84" t="s">
        <v>75</v>
      </c>
      <c r="B57" s="85" t="s">
        <v>76</v>
      </c>
      <c r="C57" s="218">
        <f>C58</f>
        <v>833.9</v>
      </c>
      <c r="D57" s="218">
        <f>D58</f>
        <v>833.9</v>
      </c>
      <c r="K57" s="210"/>
    </row>
    <row r="58" spans="1:11" ht="31.5" x14ac:dyDescent="0.25">
      <c r="A58" s="126" t="s">
        <v>77</v>
      </c>
      <c r="B58" s="91" t="s">
        <v>78</v>
      </c>
      <c r="C58" s="264">
        <v>833.9</v>
      </c>
      <c r="D58" s="264">
        <v>833.9</v>
      </c>
      <c r="E58" s="293" t="s">
        <v>1240</v>
      </c>
      <c r="K58" s="210"/>
    </row>
    <row r="59" spans="1:11" ht="31.5" x14ac:dyDescent="0.25">
      <c r="A59" s="84" t="s">
        <v>79</v>
      </c>
      <c r="B59" s="85" t="s">
        <v>80</v>
      </c>
      <c r="C59" s="218">
        <f t="shared" ref="C59:D59" si="12">SUM(C60+C62)</f>
        <v>236</v>
      </c>
      <c r="D59" s="218">
        <f t="shared" si="12"/>
        <v>236</v>
      </c>
      <c r="K59" s="210"/>
    </row>
    <row r="60" spans="1:11" ht="78.75" x14ac:dyDescent="0.25">
      <c r="A60" s="84" t="s">
        <v>81</v>
      </c>
      <c r="B60" s="85" t="s">
        <v>82</v>
      </c>
      <c r="C60" s="218">
        <f t="shared" ref="C60:D60" si="13">C61</f>
        <v>235</v>
      </c>
      <c r="D60" s="218">
        <f t="shared" si="13"/>
        <v>235</v>
      </c>
      <c r="K60" s="210"/>
    </row>
    <row r="61" spans="1:11" ht="94.5" x14ac:dyDescent="0.25">
      <c r="A61" s="126" t="s">
        <v>83</v>
      </c>
      <c r="B61" s="91" t="s">
        <v>337</v>
      </c>
      <c r="C61" s="223">
        <v>235</v>
      </c>
      <c r="D61" s="223">
        <v>235</v>
      </c>
      <c r="K61" s="210"/>
    </row>
    <row r="62" spans="1:11" ht="31.5" x14ac:dyDescent="0.25">
      <c r="A62" s="84" t="s">
        <v>84</v>
      </c>
      <c r="B62" s="85" t="s">
        <v>85</v>
      </c>
      <c r="C62" s="218">
        <f t="shared" ref="C62:D62" si="14">SUM(C63)</f>
        <v>1</v>
      </c>
      <c r="D62" s="218">
        <f t="shared" si="14"/>
        <v>1</v>
      </c>
      <c r="K62" s="210"/>
    </row>
    <row r="63" spans="1:11" ht="47.25" x14ac:dyDescent="0.25">
      <c r="A63" s="126" t="s">
        <v>86</v>
      </c>
      <c r="B63" s="91" t="s">
        <v>87</v>
      </c>
      <c r="C63" s="223">
        <v>1</v>
      </c>
      <c r="D63" s="223">
        <v>1</v>
      </c>
      <c r="K63" s="210"/>
    </row>
    <row r="64" spans="1:11" ht="18.75" x14ac:dyDescent="0.25">
      <c r="A64" s="84" t="s">
        <v>88</v>
      </c>
      <c r="B64" s="85" t="s">
        <v>89</v>
      </c>
      <c r="C64" s="218">
        <f>C65</f>
        <v>17</v>
      </c>
      <c r="D64" s="218">
        <f>D65</f>
        <v>18</v>
      </c>
      <c r="K64" s="210"/>
    </row>
    <row r="65" spans="1:11" ht="31.5" x14ac:dyDescent="0.25">
      <c r="A65" s="84" t="s">
        <v>648</v>
      </c>
      <c r="B65" s="94" t="s">
        <v>90</v>
      </c>
      <c r="C65" s="237">
        <f>C66+C68+C72+C70</f>
        <v>17</v>
      </c>
      <c r="D65" s="237">
        <f>D66+D68+D72+D70</f>
        <v>18</v>
      </c>
      <c r="K65" s="210"/>
    </row>
    <row r="66" spans="1:11" ht="63" x14ac:dyDescent="0.25">
      <c r="A66" s="84" t="s">
        <v>662</v>
      </c>
      <c r="B66" s="363" t="s">
        <v>661</v>
      </c>
      <c r="C66" s="237">
        <f>C67</f>
        <v>11</v>
      </c>
      <c r="D66" s="237">
        <f>D67</f>
        <v>12</v>
      </c>
      <c r="K66" s="210"/>
    </row>
    <row r="67" spans="1:11" ht="83.25" customHeight="1" x14ac:dyDescent="0.25">
      <c r="A67" s="126" t="s">
        <v>650</v>
      </c>
      <c r="B67" s="364" t="s">
        <v>656</v>
      </c>
      <c r="C67" s="233">
        <v>11</v>
      </c>
      <c r="D67" s="233">
        <v>12</v>
      </c>
      <c r="K67" s="210"/>
    </row>
    <row r="68" spans="1:11" ht="78.75" x14ac:dyDescent="0.25">
      <c r="A68" s="84" t="s">
        <v>664</v>
      </c>
      <c r="B68" s="363" t="s">
        <v>663</v>
      </c>
      <c r="C68" s="237">
        <f>C69</f>
        <v>2.5</v>
      </c>
      <c r="D68" s="237">
        <f>D69</f>
        <v>2.5</v>
      </c>
      <c r="K68" s="210"/>
    </row>
    <row r="69" spans="1:11" ht="103.5" customHeight="1" x14ac:dyDescent="0.25">
      <c r="A69" s="126" t="s">
        <v>649</v>
      </c>
      <c r="B69" s="364" t="s">
        <v>657</v>
      </c>
      <c r="C69" s="233">
        <v>2.5</v>
      </c>
      <c r="D69" s="233">
        <v>2.5</v>
      </c>
      <c r="K69" s="210"/>
    </row>
    <row r="70" spans="1:11" s="111" customFormat="1" ht="61.5" customHeight="1" x14ac:dyDescent="0.25">
      <c r="A70" s="84" t="s">
        <v>1196</v>
      </c>
      <c r="B70" s="365" t="s">
        <v>1198</v>
      </c>
      <c r="C70" s="237">
        <f>C71</f>
        <v>0.5</v>
      </c>
      <c r="D70" s="237">
        <f>D71</f>
        <v>0.5</v>
      </c>
      <c r="K70" s="357"/>
    </row>
    <row r="71" spans="1:11" s="343" customFormat="1" ht="81.75" customHeight="1" x14ac:dyDescent="0.25">
      <c r="A71" s="126" t="s">
        <v>1197</v>
      </c>
      <c r="B71" s="364" t="s">
        <v>1199</v>
      </c>
      <c r="C71" s="233">
        <v>0.5</v>
      </c>
      <c r="D71" s="233">
        <v>0.5</v>
      </c>
      <c r="K71" s="210"/>
    </row>
    <row r="72" spans="1:11" ht="75.2" customHeight="1" x14ac:dyDescent="0.25">
      <c r="A72" s="84" t="s">
        <v>660</v>
      </c>
      <c r="B72" s="365" t="s">
        <v>659</v>
      </c>
      <c r="C72" s="237">
        <f>C73</f>
        <v>3</v>
      </c>
      <c r="D72" s="237">
        <f>D73</f>
        <v>3</v>
      </c>
    </row>
    <row r="73" spans="1:11" ht="87.75" customHeight="1" x14ac:dyDescent="0.25">
      <c r="A73" s="126" t="s">
        <v>653</v>
      </c>
      <c r="B73" s="366" t="s">
        <v>658</v>
      </c>
      <c r="C73" s="223">
        <v>3</v>
      </c>
      <c r="D73" s="223">
        <v>3</v>
      </c>
      <c r="F73" s="151">
        <v>260551131.97999999</v>
      </c>
      <c r="G73" s="151">
        <v>210284770</v>
      </c>
    </row>
    <row r="74" spans="1:11" ht="18.75" hidden="1" x14ac:dyDescent="0.25">
      <c r="A74" s="3" t="s">
        <v>651</v>
      </c>
      <c r="B74" s="367" t="s">
        <v>345</v>
      </c>
      <c r="C74" s="218">
        <f>C75</f>
        <v>0</v>
      </c>
      <c r="D74" s="218">
        <f>D75</f>
        <v>0</v>
      </c>
    </row>
    <row r="75" spans="1:11" ht="18.75" hidden="1" x14ac:dyDescent="0.25">
      <c r="A75" s="3" t="s">
        <v>652</v>
      </c>
      <c r="B75" s="367" t="s">
        <v>346</v>
      </c>
      <c r="C75" s="218">
        <f t="shared" ref="C75:D75" si="15">SUM(C76)</f>
        <v>0</v>
      </c>
      <c r="D75" s="218">
        <f t="shared" si="15"/>
        <v>0</v>
      </c>
    </row>
    <row r="76" spans="1:11" ht="18.75" hidden="1" x14ac:dyDescent="0.25">
      <c r="A76" s="2" t="s">
        <v>347</v>
      </c>
      <c r="B76" s="368" t="s">
        <v>348</v>
      </c>
      <c r="C76" s="223">
        <v>0</v>
      </c>
      <c r="D76" s="223">
        <v>0</v>
      </c>
    </row>
    <row r="77" spans="1:11" ht="18.75" x14ac:dyDescent="0.25">
      <c r="A77" s="84" t="s">
        <v>91</v>
      </c>
      <c r="B77" s="85" t="s">
        <v>92</v>
      </c>
      <c r="C77" s="218">
        <f>SUM(C78+C152)</f>
        <v>465044.13199999998</v>
      </c>
      <c r="D77" s="218">
        <f>SUM(D78+D152)</f>
        <v>414777.87</v>
      </c>
      <c r="E77" s="15"/>
      <c r="F77" s="580">
        <f>C77-C79</f>
        <v>260551.13199999998</v>
      </c>
      <c r="G77" s="580">
        <f>D77-D79</f>
        <v>210284.87</v>
      </c>
    </row>
    <row r="78" spans="1:11" ht="31.5" x14ac:dyDescent="0.25">
      <c r="A78" s="84" t="s">
        <v>93</v>
      </c>
      <c r="B78" s="85" t="s">
        <v>94</v>
      </c>
      <c r="C78" s="218">
        <f>SUM(C79+C84+C118+C144)</f>
        <v>465044.13199999998</v>
      </c>
      <c r="D78" s="218">
        <f>SUM(D79+D84+D118+D144)</f>
        <v>414777.87</v>
      </c>
    </row>
    <row r="79" spans="1:11" ht="18.75" x14ac:dyDescent="0.25">
      <c r="A79" s="84" t="s">
        <v>390</v>
      </c>
      <c r="B79" s="94" t="s">
        <v>95</v>
      </c>
      <c r="C79" s="218">
        <f>C80+C82</f>
        <v>204493</v>
      </c>
      <c r="D79" s="218">
        <f>D80+D82</f>
        <v>204493</v>
      </c>
      <c r="E79" s="15"/>
    </row>
    <row r="80" spans="1:11" ht="31.5" x14ac:dyDescent="0.25">
      <c r="A80" s="84" t="s">
        <v>682</v>
      </c>
      <c r="B80" s="94" t="s">
        <v>681</v>
      </c>
      <c r="C80" s="218">
        <f>C81</f>
        <v>193111</v>
      </c>
      <c r="D80" s="218">
        <f t="shared" ref="D80" si="16">D81</f>
        <v>193111</v>
      </c>
    </row>
    <row r="81" spans="1:6" ht="36.75" customHeight="1" x14ac:dyDescent="0.25">
      <c r="A81" s="126" t="s">
        <v>389</v>
      </c>
      <c r="B81" s="91" t="s">
        <v>689</v>
      </c>
      <c r="C81" s="223">
        <v>193111</v>
      </c>
      <c r="D81" s="223">
        <v>193111</v>
      </c>
    </row>
    <row r="82" spans="1:6" ht="31.5" x14ac:dyDescent="0.25">
      <c r="A82" s="81" t="s">
        <v>940</v>
      </c>
      <c r="B82" s="85" t="s">
        <v>941</v>
      </c>
      <c r="C82" s="218">
        <f>C83</f>
        <v>11382</v>
      </c>
      <c r="D82" s="218">
        <f>D83</f>
        <v>11382</v>
      </c>
    </row>
    <row r="83" spans="1:6" ht="31.5" x14ac:dyDescent="0.25">
      <c r="A83" s="79" t="s">
        <v>942</v>
      </c>
      <c r="B83" s="91" t="s">
        <v>943</v>
      </c>
      <c r="C83" s="223">
        <v>11382</v>
      </c>
      <c r="D83" s="223">
        <v>11382</v>
      </c>
    </row>
    <row r="84" spans="1:6" ht="31.5" x14ac:dyDescent="0.25">
      <c r="A84" s="84" t="s">
        <v>388</v>
      </c>
      <c r="B84" s="85" t="s">
        <v>96</v>
      </c>
      <c r="C84" s="218">
        <f>C94+C99+C102+C95+C97+C91+C89+C85+C87</f>
        <v>26380.112000000001</v>
      </c>
      <c r="D84" s="218">
        <f>D94+D99+D102+D95+D97+D91+D89+D85+D87</f>
        <v>17846.45</v>
      </c>
    </row>
    <row r="85" spans="1:6" ht="47.25" hidden="1" x14ac:dyDescent="0.25">
      <c r="A85" s="425" t="s">
        <v>704</v>
      </c>
      <c r="B85" s="362" t="s">
        <v>706</v>
      </c>
      <c r="C85" s="220">
        <f>C86</f>
        <v>0</v>
      </c>
      <c r="D85" s="220">
        <f>D86</f>
        <v>0</v>
      </c>
    </row>
    <row r="86" spans="1:6" ht="47.25" hidden="1" x14ac:dyDescent="0.25">
      <c r="A86" s="126" t="s">
        <v>703</v>
      </c>
      <c r="B86" s="166" t="s">
        <v>705</v>
      </c>
      <c r="C86" s="223">
        <v>0</v>
      </c>
      <c r="D86" s="223">
        <v>0</v>
      </c>
    </row>
    <row r="87" spans="1:6" ht="53.45" customHeight="1" x14ac:dyDescent="0.25">
      <c r="A87" s="84" t="s">
        <v>955</v>
      </c>
      <c r="B87" s="432" t="s">
        <v>1192</v>
      </c>
      <c r="C87" s="218">
        <f>C88</f>
        <v>2245</v>
      </c>
      <c r="D87" s="218">
        <f>D88</f>
        <v>0</v>
      </c>
    </row>
    <row r="88" spans="1:6" ht="45.75" customHeight="1" x14ac:dyDescent="0.25">
      <c r="A88" s="126" t="s">
        <v>956</v>
      </c>
      <c r="B88" s="369" t="s">
        <v>1127</v>
      </c>
      <c r="C88" s="264">
        <f>2245.1-0.1</f>
        <v>2245</v>
      </c>
      <c r="D88" s="223">
        <v>0</v>
      </c>
      <c r="E88" s="151" t="s">
        <v>1234</v>
      </c>
      <c r="F88" s="151"/>
    </row>
    <row r="89" spans="1:6" ht="47.25" hidden="1" x14ac:dyDescent="0.25">
      <c r="A89" s="84" t="s">
        <v>707</v>
      </c>
      <c r="B89" s="361" t="s">
        <v>710</v>
      </c>
      <c r="C89" s="218">
        <f>C90</f>
        <v>0</v>
      </c>
      <c r="D89" s="218">
        <f>D90</f>
        <v>0</v>
      </c>
    </row>
    <row r="90" spans="1:6" ht="47.25" hidden="1" x14ac:dyDescent="0.25">
      <c r="A90" s="126" t="s">
        <v>708</v>
      </c>
      <c r="B90" s="166" t="s">
        <v>709</v>
      </c>
      <c r="C90" s="223">
        <v>0</v>
      </c>
      <c r="D90" s="223">
        <v>0</v>
      </c>
    </row>
    <row r="91" spans="1:6" ht="18.75" hidden="1" x14ac:dyDescent="0.25">
      <c r="A91" s="425"/>
      <c r="B91" s="226" t="s">
        <v>804</v>
      </c>
      <c r="C91" s="218">
        <f>C92</f>
        <v>0</v>
      </c>
      <c r="D91" s="218">
        <f>D92</f>
        <v>0</v>
      </c>
    </row>
    <row r="92" spans="1:6" ht="18.75" hidden="1" x14ac:dyDescent="0.25">
      <c r="A92" s="427"/>
      <c r="B92" s="227"/>
      <c r="C92" s="223">
        <v>0</v>
      </c>
      <c r="D92" s="218">
        <v>0</v>
      </c>
      <c r="E92" s="151"/>
    </row>
    <row r="93" spans="1:6" ht="34.5" customHeight="1" x14ac:dyDescent="0.25">
      <c r="A93" s="425" t="s">
        <v>1186</v>
      </c>
      <c r="B93" s="85" t="s">
        <v>1193</v>
      </c>
      <c r="C93" s="218">
        <f>C94</f>
        <v>177.97499999999999</v>
      </c>
      <c r="D93" s="218">
        <f>D94</f>
        <v>142.35</v>
      </c>
    </row>
    <row r="94" spans="1:6" ht="37.5" customHeight="1" x14ac:dyDescent="0.25">
      <c r="A94" s="427" t="s">
        <v>368</v>
      </c>
      <c r="B94" s="91" t="s">
        <v>1194</v>
      </c>
      <c r="C94" s="264">
        <f>178.1-0.125</f>
        <v>177.97499999999999</v>
      </c>
      <c r="D94" s="264">
        <f>142.4-0.05</f>
        <v>142.35</v>
      </c>
      <c r="E94" s="581" t="s">
        <v>1236</v>
      </c>
      <c r="F94" s="151"/>
    </row>
    <row r="95" spans="1:6" ht="40.700000000000003" hidden="1" customHeight="1" x14ac:dyDescent="0.25">
      <c r="A95" s="425" t="s">
        <v>670</v>
      </c>
      <c r="B95" s="85" t="s">
        <v>401</v>
      </c>
      <c r="C95" s="218">
        <f>C96</f>
        <v>0</v>
      </c>
      <c r="D95" s="218">
        <f>D96</f>
        <v>0</v>
      </c>
      <c r="E95" s="582"/>
    </row>
    <row r="96" spans="1:6" ht="39.75" hidden="1" customHeight="1" x14ac:dyDescent="0.25">
      <c r="A96" s="427" t="s">
        <v>400</v>
      </c>
      <c r="B96" s="91" t="s">
        <v>401</v>
      </c>
      <c r="C96" s="223">
        <v>0</v>
      </c>
      <c r="D96" s="223">
        <v>0</v>
      </c>
      <c r="E96" s="582"/>
    </row>
    <row r="97" spans="1:6" ht="19.5" hidden="1" customHeight="1" x14ac:dyDescent="0.25">
      <c r="A97" s="174" t="s">
        <v>700</v>
      </c>
      <c r="B97" s="175" t="s">
        <v>701</v>
      </c>
      <c r="C97" s="218">
        <f>C98</f>
        <v>0</v>
      </c>
      <c r="D97" s="218">
        <f>D98</f>
        <v>0</v>
      </c>
      <c r="E97" s="582"/>
    </row>
    <row r="98" spans="1:6" ht="87.75" hidden="1" customHeight="1" x14ac:dyDescent="0.25">
      <c r="A98" s="176" t="s">
        <v>698</v>
      </c>
      <c r="B98" s="166" t="s">
        <v>727</v>
      </c>
      <c r="C98" s="223">
        <v>0</v>
      </c>
      <c r="D98" s="223">
        <v>0</v>
      </c>
      <c r="E98" s="582"/>
    </row>
    <row r="99" spans="1:6" ht="54" customHeight="1" x14ac:dyDescent="0.25">
      <c r="A99" s="425" t="s">
        <v>931</v>
      </c>
      <c r="B99" s="85" t="s">
        <v>932</v>
      </c>
      <c r="C99" s="218">
        <f t="shared" ref="C99:D101" si="17">SUM(C100)</f>
        <v>4931.5999999999995</v>
      </c>
      <c r="D99" s="218">
        <f t="shared" si="17"/>
        <v>5080.5999999999995</v>
      </c>
      <c r="E99" s="582"/>
    </row>
    <row r="100" spans="1:6" ht="68.25" customHeight="1" x14ac:dyDescent="0.25">
      <c r="A100" s="427" t="s">
        <v>933</v>
      </c>
      <c r="B100" s="91" t="s">
        <v>914</v>
      </c>
      <c r="C100" s="264">
        <f>4931.7-0.1</f>
        <v>4931.5999999999995</v>
      </c>
      <c r="D100" s="264">
        <f>5080.7-0.1</f>
        <v>5080.5999999999995</v>
      </c>
      <c r="E100" s="581" t="s">
        <v>1256</v>
      </c>
      <c r="F100" s="151"/>
    </row>
    <row r="101" spans="1:6" ht="18.75" x14ac:dyDescent="0.25">
      <c r="A101" s="425" t="s">
        <v>674</v>
      </c>
      <c r="B101" s="85" t="s">
        <v>673</v>
      </c>
      <c r="C101" s="218">
        <f t="shared" si="17"/>
        <v>19025.537</v>
      </c>
      <c r="D101" s="218">
        <f t="shared" si="17"/>
        <v>12623.5</v>
      </c>
    </row>
    <row r="102" spans="1:6" ht="18.75" x14ac:dyDescent="0.25">
      <c r="A102" s="126" t="s">
        <v>386</v>
      </c>
      <c r="B102" s="91" t="s">
        <v>97</v>
      </c>
      <c r="C102" s="230">
        <f>C103+C104+C105+C107+C108+C111+C112+C113+C114+C115+C117+C110+C116+C106</f>
        <v>19025.537</v>
      </c>
      <c r="D102" s="230">
        <f>D103+D104+D105+D107+D108+D111+D112+D113+D114+D115+D117+D110+D116+D106</f>
        <v>12623.5</v>
      </c>
    </row>
    <row r="103" spans="1:6" ht="63" hidden="1" customHeight="1" x14ac:dyDescent="0.25">
      <c r="A103" s="663"/>
      <c r="B103" s="91"/>
      <c r="C103" s="223"/>
      <c r="D103" s="223"/>
      <c r="E103" s="211"/>
      <c r="F103" s="211"/>
    </row>
    <row r="104" spans="1:6" ht="134.25" customHeight="1" x14ac:dyDescent="0.25">
      <c r="A104" s="664"/>
      <c r="B104" s="221" t="s">
        <v>1151</v>
      </c>
      <c r="C104" s="274">
        <v>652</v>
      </c>
      <c r="D104" s="231">
        <v>652</v>
      </c>
      <c r="E104" s="214"/>
      <c r="F104" s="214"/>
    </row>
    <row r="105" spans="1:6" ht="143.44999999999999" hidden="1" customHeight="1" x14ac:dyDescent="0.25">
      <c r="A105" s="664"/>
      <c r="B105" s="173" t="s">
        <v>702</v>
      </c>
      <c r="C105" s="231">
        <v>0</v>
      </c>
      <c r="D105" s="231">
        <v>0</v>
      </c>
      <c r="E105" s="151"/>
      <c r="F105" s="151"/>
    </row>
    <row r="106" spans="1:6" ht="101.25" customHeight="1" x14ac:dyDescent="0.25">
      <c r="A106" s="664"/>
      <c r="B106" s="173" t="s">
        <v>1147</v>
      </c>
      <c r="C106" s="231">
        <v>200</v>
      </c>
      <c r="D106" s="231">
        <v>200</v>
      </c>
      <c r="E106" s="151"/>
      <c r="F106" s="151"/>
    </row>
    <row r="107" spans="1:6" ht="31.5" x14ac:dyDescent="0.25">
      <c r="A107" s="664"/>
      <c r="B107" s="370" t="s">
        <v>1097</v>
      </c>
      <c r="C107" s="232">
        <v>4278.5</v>
      </c>
      <c r="D107" s="232">
        <v>4449.6000000000004</v>
      </c>
      <c r="E107" s="211"/>
      <c r="F107" s="211"/>
    </row>
    <row r="108" spans="1:6" ht="67.7" hidden="1" customHeight="1" x14ac:dyDescent="0.25">
      <c r="A108" s="664"/>
      <c r="B108" s="221" t="s">
        <v>912</v>
      </c>
      <c r="C108" s="233"/>
      <c r="D108" s="233"/>
    </row>
    <row r="109" spans="1:6" ht="116.45" hidden="1" customHeight="1" x14ac:dyDescent="0.25">
      <c r="A109" s="664"/>
      <c r="B109" s="371" t="s">
        <v>378</v>
      </c>
      <c r="C109" s="234">
        <v>0</v>
      </c>
      <c r="D109" s="234">
        <v>0</v>
      </c>
    </row>
    <row r="110" spans="1:6" ht="47.25" x14ac:dyDescent="0.25">
      <c r="A110" s="664"/>
      <c r="B110" s="327" t="s">
        <v>1043</v>
      </c>
      <c r="C110" s="223">
        <v>200</v>
      </c>
      <c r="D110" s="223">
        <v>200</v>
      </c>
      <c r="E110" s="214"/>
      <c r="F110" s="214"/>
    </row>
    <row r="111" spans="1:6" ht="32.65" customHeight="1" x14ac:dyDescent="0.25">
      <c r="A111" s="664"/>
      <c r="B111" s="91" t="s">
        <v>1137</v>
      </c>
      <c r="C111" s="223">
        <v>2373.8000000000002</v>
      </c>
      <c r="D111" s="223">
        <v>2446.1</v>
      </c>
      <c r="E111" s="214"/>
      <c r="F111" s="214"/>
    </row>
    <row r="112" spans="1:6" ht="98.25" customHeight="1" x14ac:dyDescent="0.25">
      <c r="A112" s="664"/>
      <c r="B112" s="91" t="s">
        <v>1158</v>
      </c>
      <c r="C112" s="264">
        <f>255-255</f>
        <v>0</v>
      </c>
      <c r="D112" s="223">
        <v>255</v>
      </c>
      <c r="E112" s="214">
        <v>-255</v>
      </c>
      <c r="F112" s="214"/>
    </row>
    <row r="113" spans="1:7" ht="126" x14ac:dyDescent="0.25">
      <c r="A113" s="664"/>
      <c r="B113" s="327" t="s">
        <v>1164</v>
      </c>
      <c r="C113" s="264">
        <f>6900.5-0.063</f>
        <v>6900.4369999999999</v>
      </c>
      <c r="D113" s="223">
        <v>0</v>
      </c>
      <c r="E113" s="579" t="s">
        <v>1255</v>
      </c>
      <c r="F113" s="214"/>
    </row>
    <row r="114" spans="1:7" ht="95.25" hidden="1" customHeight="1" x14ac:dyDescent="0.25">
      <c r="A114" s="664"/>
      <c r="B114" s="166" t="s">
        <v>711</v>
      </c>
      <c r="C114" s="241"/>
      <c r="D114" s="223"/>
    </row>
    <row r="115" spans="1:7" ht="57.75" customHeight="1" x14ac:dyDescent="0.25">
      <c r="A115" s="664"/>
      <c r="B115" s="327" t="s">
        <v>1144</v>
      </c>
      <c r="C115" s="230">
        <v>247.3</v>
      </c>
      <c r="D115" s="230">
        <v>247.3</v>
      </c>
      <c r="E115" s="214"/>
      <c r="F115" s="214"/>
      <c r="G115" s="210"/>
    </row>
    <row r="116" spans="1:7" ht="31.5" x14ac:dyDescent="0.25">
      <c r="A116" s="664"/>
      <c r="B116" s="372" t="s">
        <v>1081</v>
      </c>
      <c r="C116" s="230">
        <v>4173.5</v>
      </c>
      <c r="D116" s="230">
        <v>4173.5</v>
      </c>
      <c r="E116" s="214"/>
      <c r="F116" s="214"/>
    </row>
    <row r="117" spans="1:7" ht="63" hidden="1" x14ac:dyDescent="0.25">
      <c r="A117" s="665"/>
      <c r="B117" s="433" t="s">
        <v>914</v>
      </c>
      <c r="C117" s="230">
        <v>0</v>
      </c>
      <c r="D117" s="230">
        <v>0</v>
      </c>
      <c r="E117" s="211"/>
      <c r="F117" s="211"/>
    </row>
    <row r="118" spans="1:7" ht="24.75" customHeight="1" x14ac:dyDescent="0.25">
      <c r="A118" s="84" t="s">
        <v>385</v>
      </c>
      <c r="B118" s="94" t="s">
        <v>99</v>
      </c>
      <c r="C118" s="218">
        <f>C142+C119+C140</f>
        <v>226749.62</v>
      </c>
      <c r="D118" s="218">
        <f>D142+D119+D140</f>
        <v>185017.01999999996</v>
      </c>
    </row>
    <row r="119" spans="1:7" ht="31.5" x14ac:dyDescent="0.25">
      <c r="A119" s="84" t="s">
        <v>384</v>
      </c>
      <c r="B119" s="85" t="s">
        <v>100</v>
      </c>
      <c r="C119" s="218">
        <f>C120</f>
        <v>226148.41999999998</v>
      </c>
      <c r="D119" s="218">
        <f t="shared" ref="D119" si="18">D120</f>
        <v>184392.81999999995</v>
      </c>
    </row>
    <row r="120" spans="1:7" ht="31.5" x14ac:dyDescent="0.25">
      <c r="A120" s="126" t="s">
        <v>383</v>
      </c>
      <c r="B120" s="91" t="s">
        <v>101</v>
      </c>
      <c r="C120" s="223">
        <f>C121+C122+C127+C130+C131+C132+C133+C134+C136</f>
        <v>226148.41999999998</v>
      </c>
      <c r="D120" s="223">
        <f>D121+D122+D127+D130+D131+D132+D133+D134+D136</f>
        <v>184392.81999999995</v>
      </c>
    </row>
    <row r="121" spans="1:7" ht="54.75" customHeight="1" x14ac:dyDescent="0.25">
      <c r="A121" s="663"/>
      <c r="B121" s="221" t="s">
        <v>1114</v>
      </c>
      <c r="C121" s="578">
        <f>204296.3-0.08</f>
        <v>204296.22</v>
      </c>
      <c r="D121" s="578">
        <f>162319.9+0.02</f>
        <v>162319.91999999998</v>
      </c>
      <c r="E121" s="579" t="s">
        <v>1267</v>
      </c>
      <c r="F121" s="214"/>
    </row>
    <row r="122" spans="1:7" ht="148.5" customHeight="1" x14ac:dyDescent="0.25">
      <c r="A122" s="664"/>
      <c r="B122" s="91" t="s">
        <v>1098</v>
      </c>
      <c r="C122" s="233">
        <v>328.5</v>
      </c>
      <c r="D122" s="233">
        <v>341.7</v>
      </c>
      <c r="E122" s="214"/>
      <c r="F122" s="214"/>
    </row>
    <row r="123" spans="1:7" ht="145.5" hidden="1" customHeight="1" x14ac:dyDescent="0.25">
      <c r="A123" s="664"/>
      <c r="B123" s="91"/>
      <c r="C123" s="233"/>
      <c r="D123" s="233"/>
      <c r="E123" s="216"/>
      <c r="F123" s="216"/>
      <c r="G123" s="217"/>
    </row>
    <row r="124" spans="1:7" ht="64.5" hidden="1" customHeight="1" x14ac:dyDescent="0.25">
      <c r="A124" s="664"/>
      <c r="B124" s="91"/>
      <c r="C124" s="233"/>
      <c r="D124" s="233"/>
      <c r="E124" s="214"/>
      <c r="F124" s="214"/>
    </row>
    <row r="125" spans="1:7" ht="46.9" hidden="1" customHeight="1" x14ac:dyDescent="0.25">
      <c r="A125" s="664"/>
      <c r="B125" s="91"/>
      <c r="C125" s="233"/>
      <c r="D125" s="233"/>
      <c r="E125" s="214"/>
      <c r="F125" s="214"/>
    </row>
    <row r="126" spans="1:7" ht="18.75" hidden="1" x14ac:dyDescent="0.25">
      <c r="A126" s="664"/>
      <c r="B126" s="91"/>
      <c r="C126" s="233"/>
      <c r="D126" s="233"/>
      <c r="E126" s="214"/>
      <c r="F126" s="214"/>
    </row>
    <row r="127" spans="1:7" ht="54.75" customHeight="1" x14ac:dyDescent="0.25">
      <c r="A127" s="664"/>
      <c r="B127" s="91" t="s">
        <v>1177</v>
      </c>
      <c r="C127" s="233">
        <f>SUM(C128:C129)</f>
        <v>3693.7000000000003</v>
      </c>
      <c r="D127" s="233">
        <f>SUM(D128:D129)</f>
        <v>3841.5</v>
      </c>
      <c r="E127" s="211"/>
      <c r="F127" s="211"/>
      <c r="G127" s="211"/>
    </row>
    <row r="128" spans="1:7" ht="93.75" customHeight="1" x14ac:dyDescent="0.25">
      <c r="A128" s="664"/>
      <c r="B128" s="379" t="s">
        <v>1005</v>
      </c>
      <c r="C128" s="233">
        <v>3283.3</v>
      </c>
      <c r="D128" s="233">
        <v>3414.7</v>
      </c>
    </row>
    <row r="129" spans="1:6" ht="167.25" customHeight="1" x14ac:dyDescent="0.25">
      <c r="A129" s="664"/>
      <c r="B129" s="379" t="s">
        <v>1006</v>
      </c>
      <c r="C129" s="233">
        <v>410.4</v>
      </c>
      <c r="D129" s="233">
        <v>426.8</v>
      </c>
    </row>
    <row r="130" spans="1:6" ht="149.25" customHeight="1" x14ac:dyDescent="0.25">
      <c r="A130" s="664"/>
      <c r="B130" s="91" t="s">
        <v>1162</v>
      </c>
      <c r="C130" s="233">
        <v>384.5</v>
      </c>
      <c r="D130" s="233">
        <v>384.5</v>
      </c>
      <c r="E130" s="214"/>
      <c r="F130" s="214"/>
    </row>
    <row r="131" spans="1:6" ht="119.25" customHeight="1" x14ac:dyDescent="0.25">
      <c r="A131" s="664"/>
      <c r="B131" s="91" t="s">
        <v>1161</v>
      </c>
      <c r="C131" s="233">
        <v>909.3</v>
      </c>
      <c r="D131" s="233">
        <v>909.3</v>
      </c>
      <c r="E131" s="214"/>
      <c r="F131" s="214"/>
    </row>
    <row r="132" spans="1:6" ht="47.25" customHeight="1" x14ac:dyDescent="0.25">
      <c r="A132" s="664"/>
      <c r="B132" s="91" t="s">
        <v>1099</v>
      </c>
      <c r="C132" s="233">
        <v>1477.7</v>
      </c>
      <c r="D132" s="233">
        <v>1536.8</v>
      </c>
      <c r="E132" s="214"/>
      <c r="F132" s="214"/>
    </row>
    <row r="133" spans="1:6" ht="157.5" x14ac:dyDescent="0.25">
      <c r="A133" s="664"/>
      <c r="B133" s="20" t="s">
        <v>1159</v>
      </c>
      <c r="C133" s="233">
        <v>17.3</v>
      </c>
      <c r="D133" s="233">
        <v>17.899999999999999</v>
      </c>
      <c r="E133" s="214"/>
      <c r="F133" s="214"/>
    </row>
    <row r="134" spans="1:6" ht="65.25" customHeight="1" x14ac:dyDescent="0.25">
      <c r="A134" s="664"/>
      <c r="B134" s="91" t="s">
        <v>934</v>
      </c>
      <c r="C134" s="233">
        <v>2145.8000000000002</v>
      </c>
      <c r="D134" s="233">
        <v>2145.8000000000002</v>
      </c>
      <c r="E134" s="214"/>
      <c r="F134" s="214"/>
    </row>
    <row r="135" spans="1:6" ht="63" hidden="1" x14ac:dyDescent="0.25">
      <c r="A135" s="664"/>
      <c r="B135" s="91" t="s">
        <v>934</v>
      </c>
      <c r="C135" s="233"/>
      <c r="D135" s="233"/>
      <c r="E135" s="214"/>
      <c r="F135" s="214"/>
    </row>
    <row r="136" spans="1:6" ht="71.25" customHeight="1" x14ac:dyDescent="0.25">
      <c r="A136" s="664"/>
      <c r="B136" s="373" t="s">
        <v>1100</v>
      </c>
      <c r="C136" s="235">
        <f>C137+C138+C139</f>
        <v>12895.4</v>
      </c>
      <c r="D136" s="235">
        <f>D137+D138+D139</f>
        <v>12895.4</v>
      </c>
      <c r="E136" s="151"/>
      <c r="F136" s="151"/>
    </row>
    <row r="137" spans="1:6" ht="55.5" customHeight="1" x14ac:dyDescent="0.25">
      <c r="A137" s="664"/>
      <c r="B137" s="203" t="s">
        <v>935</v>
      </c>
      <c r="C137" s="236">
        <v>9911</v>
      </c>
      <c r="D137" s="233">
        <v>9911</v>
      </c>
      <c r="E137" s="214"/>
      <c r="F137" s="214"/>
    </row>
    <row r="138" spans="1:6" ht="77.25" customHeight="1" x14ac:dyDescent="0.25">
      <c r="A138" s="664"/>
      <c r="B138" s="203" t="s">
        <v>936</v>
      </c>
      <c r="C138" s="236">
        <v>2100.5</v>
      </c>
      <c r="D138" s="233">
        <v>2100.5</v>
      </c>
      <c r="E138" s="214"/>
      <c r="F138" s="214"/>
    </row>
    <row r="139" spans="1:6" ht="64.5" customHeight="1" x14ac:dyDescent="0.25">
      <c r="A139" s="665"/>
      <c r="B139" s="203" t="s">
        <v>937</v>
      </c>
      <c r="C139" s="236">
        <v>883.9</v>
      </c>
      <c r="D139" s="233">
        <v>883.9</v>
      </c>
      <c r="E139" s="214"/>
      <c r="F139" s="214"/>
    </row>
    <row r="140" spans="1:6" ht="63" hidden="1" x14ac:dyDescent="0.25">
      <c r="A140" s="84" t="s">
        <v>712</v>
      </c>
      <c r="B140" s="361" t="s">
        <v>714</v>
      </c>
      <c r="C140" s="237">
        <f>C141</f>
        <v>0</v>
      </c>
      <c r="D140" s="237">
        <f>D141</f>
        <v>0</v>
      </c>
    </row>
    <row r="141" spans="1:6" ht="63" hidden="1" x14ac:dyDescent="0.25">
      <c r="A141" s="126" t="s">
        <v>713</v>
      </c>
      <c r="B141" s="166" t="s">
        <v>714</v>
      </c>
      <c r="C141" s="233">
        <v>0</v>
      </c>
      <c r="D141" s="233">
        <v>0</v>
      </c>
      <c r="E141" s="151"/>
      <c r="F141" s="151"/>
    </row>
    <row r="142" spans="1:6" ht="31.5" x14ac:dyDescent="0.25">
      <c r="A142" s="84" t="s">
        <v>382</v>
      </c>
      <c r="B142" s="85" t="s">
        <v>102</v>
      </c>
      <c r="C142" s="218">
        <f t="shared" ref="C142:D142" si="19">C143</f>
        <v>601.20000000000005</v>
      </c>
      <c r="D142" s="218">
        <f t="shared" si="19"/>
        <v>624.20000000000005</v>
      </c>
    </row>
    <row r="143" spans="1:6" ht="31.5" x14ac:dyDescent="0.25">
      <c r="A143" s="126" t="s">
        <v>381</v>
      </c>
      <c r="B143" s="91" t="s">
        <v>103</v>
      </c>
      <c r="C143" s="223">
        <v>601.20000000000005</v>
      </c>
      <c r="D143" s="223">
        <v>624.20000000000005</v>
      </c>
      <c r="E143" s="214"/>
      <c r="F143" s="214"/>
    </row>
    <row r="144" spans="1:6" ht="18.75" x14ac:dyDescent="0.25">
      <c r="A144" s="84" t="s">
        <v>380</v>
      </c>
      <c r="B144" s="85" t="s">
        <v>104</v>
      </c>
      <c r="C144" s="218">
        <f>C145</f>
        <v>7421.4</v>
      </c>
      <c r="D144" s="218">
        <f>D145</f>
        <v>7421.4</v>
      </c>
    </row>
    <row r="145" spans="1:6" ht="67.7" customHeight="1" x14ac:dyDescent="0.25">
      <c r="A145" s="426" t="s">
        <v>883</v>
      </c>
      <c r="B145" s="374" t="s">
        <v>881</v>
      </c>
      <c r="C145" s="218">
        <f>C146</f>
        <v>7421.4</v>
      </c>
      <c r="D145" s="218">
        <f>D146</f>
        <v>7421.4</v>
      </c>
    </row>
    <row r="146" spans="1:6" ht="66" customHeight="1" x14ac:dyDescent="0.25">
      <c r="A146" s="126" t="s">
        <v>884</v>
      </c>
      <c r="B146" s="375" t="s">
        <v>1007</v>
      </c>
      <c r="C146" s="223">
        <v>7421.4</v>
      </c>
      <c r="D146" s="223">
        <v>7421.4</v>
      </c>
      <c r="E146" s="211"/>
      <c r="F146" s="151"/>
    </row>
    <row r="147" spans="1:6" ht="18.75" hidden="1" x14ac:dyDescent="0.25">
      <c r="A147" s="84" t="s">
        <v>379</v>
      </c>
      <c r="B147" s="85" t="s">
        <v>105</v>
      </c>
      <c r="C147" s="218">
        <f t="shared" ref="C147:D147" si="20">C148</f>
        <v>0</v>
      </c>
      <c r="D147" s="218">
        <f t="shared" si="20"/>
        <v>0</v>
      </c>
    </row>
    <row r="148" spans="1:6" ht="31.5" hidden="1" x14ac:dyDescent="0.25">
      <c r="A148" s="126" t="s">
        <v>391</v>
      </c>
      <c r="B148" s="91" t="s">
        <v>675</v>
      </c>
      <c r="C148" s="223">
        <f>SUM(C149:C151)</f>
        <v>0</v>
      </c>
      <c r="D148" s="223">
        <f>SUM(D149:D151)</f>
        <v>0</v>
      </c>
    </row>
    <row r="149" spans="1:6" ht="126" hidden="1" x14ac:dyDescent="0.25">
      <c r="A149" s="663"/>
      <c r="B149" s="373" t="s">
        <v>363</v>
      </c>
      <c r="C149" s="236">
        <f>[1]пр.1дох.21!C153</f>
        <v>0</v>
      </c>
      <c r="D149" s="236">
        <f>C149</f>
        <v>0</v>
      </c>
    </row>
    <row r="150" spans="1:6" ht="141.75" hidden="1" x14ac:dyDescent="0.25">
      <c r="A150" s="664"/>
      <c r="B150" s="373" t="s">
        <v>364</v>
      </c>
      <c r="C150" s="236">
        <f>[1]пр.1дох.21!C154</f>
        <v>0</v>
      </c>
      <c r="D150" s="236">
        <f t="shared" ref="D150:D151" si="21">C150</f>
        <v>0</v>
      </c>
    </row>
    <row r="151" spans="1:6" ht="126" hidden="1" x14ac:dyDescent="0.25">
      <c r="A151" s="665"/>
      <c r="B151" s="373" t="s">
        <v>404</v>
      </c>
      <c r="C151" s="236">
        <f>[1]пр.1дох.21!C155</f>
        <v>0</v>
      </c>
      <c r="D151" s="236">
        <f t="shared" si="21"/>
        <v>0</v>
      </c>
    </row>
    <row r="152" spans="1:6" ht="18.75" hidden="1" x14ac:dyDescent="0.25">
      <c r="A152" s="296" t="s">
        <v>359</v>
      </c>
      <c r="B152" s="376" t="s">
        <v>360</v>
      </c>
      <c r="C152" s="238">
        <f>SUM(C153)</f>
        <v>0</v>
      </c>
      <c r="D152" s="238">
        <f>SUM(D153)</f>
        <v>0</v>
      </c>
    </row>
    <row r="153" spans="1:6" ht="31.5" hidden="1" x14ac:dyDescent="0.25">
      <c r="A153" s="296" t="s">
        <v>361</v>
      </c>
      <c r="B153" s="376" t="s">
        <v>362</v>
      </c>
      <c r="C153" s="238">
        <f>SUM(C154)</f>
        <v>0</v>
      </c>
      <c r="D153" s="238">
        <f>SUM(D154)</f>
        <v>0</v>
      </c>
    </row>
    <row r="154" spans="1:6" ht="18.75" hidden="1" x14ac:dyDescent="0.25">
      <c r="A154" s="657" t="s">
        <v>409</v>
      </c>
      <c r="B154" s="377" t="s">
        <v>362</v>
      </c>
      <c r="C154" s="238">
        <f>SUM(C156:C157)</f>
        <v>0</v>
      </c>
      <c r="D154" s="238">
        <f>SUM(D156:D157)</f>
        <v>0</v>
      </c>
    </row>
    <row r="155" spans="1:6" ht="18.75" hidden="1" x14ac:dyDescent="0.25">
      <c r="A155" s="658"/>
      <c r="B155" s="377" t="s">
        <v>98</v>
      </c>
      <c r="C155" s="238"/>
      <c r="D155" s="238"/>
    </row>
    <row r="156" spans="1:6" ht="94.5" hidden="1" x14ac:dyDescent="0.25">
      <c r="A156" s="658"/>
      <c r="B156" s="378" t="s">
        <v>406</v>
      </c>
      <c r="C156" s="236">
        <v>0</v>
      </c>
      <c r="D156" s="236">
        <v>0</v>
      </c>
    </row>
    <row r="157" spans="1:6" ht="78.75" hidden="1" x14ac:dyDescent="0.25">
      <c r="A157" s="667"/>
      <c r="B157" s="378" t="s">
        <v>407</v>
      </c>
      <c r="C157" s="236">
        <v>0</v>
      </c>
      <c r="D157" s="236">
        <v>0</v>
      </c>
    </row>
    <row r="158" spans="1:6" ht="18.75" x14ac:dyDescent="0.25">
      <c r="A158" s="126"/>
      <c r="B158" s="110" t="s">
        <v>106</v>
      </c>
      <c r="C158" s="218">
        <f>SUM(C9+C77)</f>
        <v>807747.37199999997</v>
      </c>
      <c r="D158" s="218">
        <f>SUM(D9+D77)</f>
        <v>777654.58000000007</v>
      </c>
    </row>
    <row r="159" spans="1:6" x14ac:dyDescent="0.25">
      <c r="C159" s="71">
        <f>C77-C79</f>
        <v>260551.13199999998</v>
      </c>
      <c r="D159" s="71">
        <f>D77-D79</f>
        <v>210284.87</v>
      </c>
    </row>
    <row r="160" spans="1:6" x14ac:dyDescent="0.25">
      <c r="C160" s="71">
        <f>C9+C81+C83</f>
        <v>547196.24</v>
      </c>
      <c r="D160" s="71">
        <f>D9+D81+D83</f>
        <v>567369.71000000008</v>
      </c>
    </row>
  </sheetData>
  <mergeCells count="11">
    <mergeCell ref="H8:K8"/>
    <mergeCell ref="A103:A117"/>
    <mergeCell ref="A121:A139"/>
    <mergeCell ref="A149:A151"/>
    <mergeCell ref="A154:A157"/>
    <mergeCell ref="A6:D6"/>
    <mergeCell ref="C1:D1"/>
    <mergeCell ref="C2:D2"/>
    <mergeCell ref="C3:D3"/>
    <mergeCell ref="A4:D4"/>
    <mergeCell ref="A5:D5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3" r:id="rId3" display="consultantplus://offline/ref=90DD075742B43C415054D7C57EEE35341F87E5BC1D9D1BDE3A747C0D881C15D50B24F795703CF7A64B588B73F9A8AC3C8A6AC02CDB9A5E68c4m2F"/>
    <hyperlink ref="B72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topLeftCell="A29" zoomScale="90" zoomScaleNormal="100" zoomScaleSheetLayoutView="90" workbookViewId="0">
      <selection activeCell="J49" sqref="J49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15" customWidth="1"/>
  </cols>
  <sheetData>
    <row r="1" spans="1:5" ht="15.75" x14ac:dyDescent="0.25">
      <c r="A1" s="10"/>
      <c r="B1" s="668" t="s">
        <v>1173</v>
      </c>
      <c r="C1" s="668"/>
      <c r="D1" s="668"/>
    </row>
    <row r="2" spans="1:5" ht="15.75" x14ac:dyDescent="0.25">
      <c r="A2" s="10"/>
      <c r="B2" s="668" t="s">
        <v>0</v>
      </c>
      <c r="C2" s="668"/>
      <c r="D2" s="668"/>
    </row>
    <row r="3" spans="1:5" ht="16.5" customHeight="1" x14ac:dyDescent="0.25">
      <c r="A3" s="10"/>
      <c r="B3" s="668" t="s">
        <v>1365</v>
      </c>
      <c r="C3" s="668"/>
      <c r="D3" s="668"/>
    </row>
    <row r="4" spans="1:5" s="128" customFormat="1" ht="18.75" x14ac:dyDescent="0.3">
      <c r="A4" s="10"/>
      <c r="B4" s="99"/>
      <c r="C4" s="10"/>
      <c r="D4" s="626"/>
    </row>
    <row r="5" spans="1:5" ht="15.75" x14ac:dyDescent="0.25">
      <c r="A5" s="669" t="s">
        <v>684</v>
      </c>
      <c r="B5" s="669"/>
      <c r="C5" s="669"/>
      <c r="D5" s="669"/>
    </row>
    <row r="6" spans="1:5" ht="15.75" x14ac:dyDescent="0.25">
      <c r="A6" s="669" t="s">
        <v>685</v>
      </c>
      <c r="B6" s="669"/>
      <c r="C6" s="669"/>
      <c r="D6" s="669"/>
    </row>
    <row r="7" spans="1:5" ht="15.75" x14ac:dyDescent="0.25">
      <c r="A7" s="669" t="s">
        <v>1171</v>
      </c>
      <c r="B7" s="669"/>
      <c r="C7" s="669"/>
      <c r="D7" s="669"/>
    </row>
    <row r="8" spans="1:5" x14ac:dyDescent="0.25">
      <c r="B8" s="59"/>
      <c r="C8" s="59"/>
      <c r="D8" s="242" t="s">
        <v>1</v>
      </c>
    </row>
    <row r="9" spans="1:5" ht="66.2" customHeight="1" x14ac:dyDescent="0.25">
      <c r="A9" s="60" t="s">
        <v>327</v>
      </c>
      <c r="B9" s="60" t="s">
        <v>328</v>
      </c>
      <c r="C9" s="60" t="s">
        <v>329</v>
      </c>
      <c r="D9" s="243" t="s">
        <v>588</v>
      </c>
    </row>
    <row r="10" spans="1:5" ht="15.75" x14ac:dyDescent="0.25">
      <c r="A10" s="31" t="s">
        <v>115</v>
      </c>
      <c r="B10" s="16" t="s">
        <v>116</v>
      </c>
      <c r="C10" s="61"/>
      <c r="D10" s="244">
        <f>SUM(D11:D17)</f>
        <v>201126.97110999998</v>
      </c>
    </row>
    <row r="11" spans="1:5" ht="31.5" x14ac:dyDescent="0.25">
      <c r="A11" s="22" t="s">
        <v>285</v>
      </c>
      <c r="B11" s="14" t="s">
        <v>116</v>
      </c>
      <c r="C11" s="14" t="s">
        <v>158</v>
      </c>
      <c r="D11" s="18">
        <f>'Пр.3 Рд,пр, ЦС,ВР 22'!F9</f>
        <v>6554.24</v>
      </c>
      <c r="E11" s="15"/>
    </row>
    <row r="12" spans="1:5" ht="47.25" x14ac:dyDescent="0.25">
      <c r="A12" s="22" t="s">
        <v>287</v>
      </c>
      <c r="B12" s="14" t="s">
        <v>116</v>
      </c>
      <c r="C12" s="14" t="s">
        <v>159</v>
      </c>
      <c r="D12" s="18">
        <f>'Пр.3 Рд,пр, ЦС,ВР 22'!F25</f>
        <v>7874.24</v>
      </c>
    </row>
    <row r="13" spans="1:5" ht="47.25" x14ac:dyDescent="0.25">
      <c r="A13" s="17" t="s">
        <v>138</v>
      </c>
      <c r="B13" s="14" t="s">
        <v>116</v>
      </c>
      <c r="C13" s="14" t="s">
        <v>139</v>
      </c>
      <c r="D13" s="18">
        <f>'Пр.3 Рд,пр, ЦС,ВР 22'!F41</f>
        <v>74912.797959999996</v>
      </c>
    </row>
    <row r="14" spans="1:5" ht="31.5" x14ac:dyDescent="0.25">
      <c r="A14" s="17" t="s">
        <v>117</v>
      </c>
      <c r="B14" s="14" t="s">
        <v>116</v>
      </c>
      <c r="C14" s="14" t="s">
        <v>118</v>
      </c>
      <c r="D14" s="18">
        <f>'Пр.3 Рд,пр, ЦС,ВР 22'!F104</f>
        <v>19700.849999999999</v>
      </c>
    </row>
    <row r="15" spans="1:5" s="128" customFormat="1" ht="15.75" hidden="1" x14ac:dyDescent="0.25">
      <c r="A15" s="17" t="s">
        <v>696</v>
      </c>
      <c r="B15" s="14" t="s">
        <v>116</v>
      </c>
      <c r="C15" s="14" t="s">
        <v>187</v>
      </c>
      <c r="D15" s="18">
        <f>'Пр.3 Рд,пр, ЦС,ВР 22'!F131</f>
        <v>0</v>
      </c>
    </row>
    <row r="16" spans="1:5" s="128" customFormat="1" ht="15.75" x14ac:dyDescent="0.25">
      <c r="A16" s="17" t="s">
        <v>902</v>
      </c>
      <c r="B16" s="14" t="s">
        <v>116</v>
      </c>
      <c r="C16" s="14" t="s">
        <v>251</v>
      </c>
      <c r="D16" s="18">
        <f>'Пр.3 Рд,пр, ЦС,ВР 22'!F139</f>
        <v>75.095000000000027</v>
      </c>
    </row>
    <row r="17" spans="1:5" ht="15.75" x14ac:dyDescent="0.25">
      <c r="A17" s="62" t="s">
        <v>131</v>
      </c>
      <c r="B17" s="14" t="s">
        <v>116</v>
      </c>
      <c r="C17" s="14" t="s">
        <v>132</v>
      </c>
      <c r="D17" s="18">
        <f>'Пр.3 Рд,пр, ЦС,ВР 22'!F145</f>
        <v>92009.748149999999</v>
      </c>
    </row>
    <row r="18" spans="1:5" ht="15.75" hidden="1" x14ac:dyDescent="0.25">
      <c r="A18" s="13" t="s">
        <v>157</v>
      </c>
      <c r="B18" s="16" t="s">
        <v>158</v>
      </c>
      <c r="C18" s="14"/>
      <c r="D18" s="28">
        <f t="shared" ref="D18" si="0">D19</f>
        <v>0</v>
      </c>
    </row>
    <row r="19" spans="1:5" ht="15.75" hidden="1" x14ac:dyDescent="0.25">
      <c r="A19" s="17" t="s">
        <v>160</v>
      </c>
      <c r="B19" s="14" t="s">
        <v>158</v>
      </c>
      <c r="C19" s="14" t="s">
        <v>161</v>
      </c>
      <c r="D19" s="18"/>
    </row>
    <row r="20" spans="1:5" ht="18" customHeight="1" x14ac:dyDescent="0.25">
      <c r="A20" s="24" t="s">
        <v>163</v>
      </c>
      <c r="B20" s="16" t="s">
        <v>159</v>
      </c>
      <c r="C20" s="16"/>
      <c r="D20" s="28">
        <f t="shared" ref="D20" si="1">D21</f>
        <v>10465.955</v>
      </c>
    </row>
    <row r="21" spans="1:5" ht="31.5" x14ac:dyDescent="0.25">
      <c r="A21" s="22" t="s">
        <v>849</v>
      </c>
      <c r="B21" s="14" t="s">
        <v>159</v>
      </c>
      <c r="C21" s="14" t="s">
        <v>174</v>
      </c>
      <c r="D21" s="18">
        <f>'Пр.3 Рд,пр, ЦС,ВР 22'!F256</f>
        <v>10465.955</v>
      </c>
    </row>
    <row r="22" spans="1:5" ht="15.75" x14ac:dyDescent="0.25">
      <c r="A22" s="31" t="s">
        <v>166</v>
      </c>
      <c r="B22" s="16" t="s">
        <v>139</v>
      </c>
      <c r="C22" s="16"/>
      <c r="D22" s="28">
        <f t="shared" ref="D22" si="2">D23+D24+D25+D26</f>
        <v>8133.4000000000005</v>
      </c>
    </row>
    <row r="23" spans="1:5" ht="15.75" x14ac:dyDescent="0.25">
      <c r="A23" s="63" t="s">
        <v>167</v>
      </c>
      <c r="B23" s="14" t="s">
        <v>139</v>
      </c>
      <c r="C23" s="14" t="s">
        <v>168</v>
      </c>
      <c r="D23" s="18">
        <f>'Пр.3 Рд,пр, ЦС,ВР 22'!F296</f>
        <v>19.199999999999989</v>
      </c>
    </row>
    <row r="24" spans="1:5" ht="15.75" x14ac:dyDescent="0.25">
      <c r="A24" s="62" t="s">
        <v>256</v>
      </c>
      <c r="B24" s="14" t="s">
        <v>139</v>
      </c>
      <c r="C24" s="14" t="s">
        <v>203</v>
      </c>
      <c r="D24" s="18">
        <f>'Пр.3 Рд,пр, ЦС,ВР 22'!F306</f>
        <v>3258</v>
      </c>
    </row>
    <row r="25" spans="1:5" ht="15.75" x14ac:dyDescent="0.25">
      <c r="A25" s="62" t="s">
        <v>258</v>
      </c>
      <c r="B25" s="14" t="s">
        <v>139</v>
      </c>
      <c r="C25" s="14" t="s">
        <v>161</v>
      </c>
      <c r="D25" s="18">
        <f>'Пр.3 Рд,пр, ЦС,ВР 22'!F312</f>
        <v>4110.4000000000005</v>
      </c>
    </row>
    <row r="26" spans="1:5" ht="15.75" x14ac:dyDescent="0.25">
      <c r="A26" s="64" t="s">
        <v>170</v>
      </c>
      <c r="B26" s="14" t="s">
        <v>139</v>
      </c>
      <c r="C26" s="14" t="s">
        <v>171</v>
      </c>
      <c r="D26" s="18">
        <f>'Пр.3 Рд,пр, ЦС,ВР 22'!F326</f>
        <v>745.8</v>
      </c>
    </row>
    <row r="27" spans="1:5" ht="15.75" x14ac:dyDescent="0.25">
      <c r="A27" s="31" t="s">
        <v>231</v>
      </c>
      <c r="B27" s="16" t="s">
        <v>168</v>
      </c>
      <c r="C27" s="16"/>
      <c r="D27" s="28">
        <f t="shared" ref="D27" si="3">SUM(D28:D31)</f>
        <v>153342.36051</v>
      </c>
    </row>
    <row r="28" spans="1:5" ht="15.75" x14ac:dyDescent="0.25">
      <c r="A28" s="63" t="s">
        <v>232</v>
      </c>
      <c r="B28" s="14" t="s">
        <v>168</v>
      </c>
      <c r="C28" s="14" t="s">
        <v>116</v>
      </c>
      <c r="D28" s="18">
        <f>'Пр.3 Рд,пр, ЦС,ВР 22'!F358</f>
        <v>18834.92354</v>
      </c>
      <c r="E28" s="15"/>
    </row>
    <row r="29" spans="1:5" ht="15.75" x14ac:dyDescent="0.25">
      <c r="A29" s="63" t="s">
        <v>262</v>
      </c>
      <c r="B29" s="14" t="s">
        <v>168</v>
      </c>
      <c r="C29" s="14" t="s">
        <v>158</v>
      </c>
      <c r="D29" s="18">
        <f>'Пр.3 Рд,пр, ЦС,ВР 22'!F375</f>
        <v>50519.080010000005</v>
      </c>
    </row>
    <row r="30" spans="1:5" ht="15.75" x14ac:dyDescent="0.25">
      <c r="A30" s="62" t="s">
        <v>272</v>
      </c>
      <c r="B30" s="14" t="s">
        <v>168</v>
      </c>
      <c r="C30" s="14" t="s">
        <v>159</v>
      </c>
      <c r="D30" s="18">
        <f>'Пр.3 Рд,пр, ЦС,ВР 22'!F447</f>
        <v>50995.255960000002</v>
      </c>
    </row>
    <row r="31" spans="1:5" ht="15.75" x14ac:dyDescent="0.25">
      <c r="A31" s="17" t="s">
        <v>281</v>
      </c>
      <c r="B31" s="14" t="s">
        <v>168</v>
      </c>
      <c r="C31" s="14" t="s">
        <v>168</v>
      </c>
      <c r="D31" s="18">
        <f>'Пр.3 Рд,пр, ЦС,ВР 22'!F520</f>
        <v>32993.101000000002</v>
      </c>
    </row>
    <row r="32" spans="1:5" s="343" customFormat="1" ht="15.75" x14ac:dyDescent="0.25">
      <c r="A32" s="298" t="s">
        <v>1341</v>
      </c>
      <c r="B32" s="299" t="s">
        <v>118</v>
      </c>
      <c r="C32" s="299"/>
      <c r="D32" s="28">
        <f>D33</f>
        <v>6626.1484</v>
      </c>
    </row>
    <row r="33" spans="1:4" s="343" customFormat="1" ht="15.75" x14ac:dyDescent="0.25">
      <c r="A33" s="345" t="s">
        <v>1342</v>
      </c>
      <c r="B33" s="346" t="s">
        <v>118</v>
      </c>
      <c r="C33" s="346" t="s">
        <v>168</v>
      </c>
      <c r="D33" s="18">
        <f>'Пр.4 ведом.22'!G1322</f>
        <v>6626.1484</v>
      </c>
    </row>
    <row r="34" spans="1:4" ht="15.75" x14ac:dyDescent="0.25">
      <c r="A34" s="31" t="s">
        <v>186</v>
      </c>
      <c r="B34" s="16" t="s">
        <v>187</v>
      </c>
      <c r="C34" s="16"/>
      <c r="D34" s="28">
        <f t="shared" ref="D34" si="4">SUM(D35:D39)</f>
        <v>396081.28310000006</v>
      </c>
    </row>
    <row r="35" spans="1:4" ht="15.75" x14ac:dyDescent="0.25">
      <c r="A35" s="62" t="s">
        <v>236</v>
      </c>
      <c r="B35" s="14" t="s">
        <v>187</v>
      </c>
      <c r="C35" s="14" t="s">
        <v>116</v>
      </c>
      <c r="D35" s="18">
        <f>'Пр.3 Рд,пр, ЦС,ВР 22'!F580</f>
        <v>99155.607000000004</v>
      </c>
    </row>
    <row r="36" spans="1:4" ht="15.75" x14ac:dyDescent="0.25">
      <c r="A36" s="62" t="s">
        <v>239</v>
      </c>
      <c r="B36" s="14" t="s">
        <v>187</v>
      </c>
      <c r="C36" s="14" t="s">
        <v>158</v>
      </c>
      <c r="D36" s="18">
        <f>'Пр.3 Рд,пр, ЦС,ВР 22'!F642</f>
        <v>198494.01600000003</v>
      </c>
    </row>
    <row r="37" spans="1:4" ht="15.75" x14ac:dyDescent="0.25">
      <c r="A37" s="62" t="s">
        <v>188</v>
      </c>
      <c r="B37" s="14" t="s">
        <v>187</v>
      </c>
      <c r="C37" s="14" t="s">
        <v>159</v>
      </c>
      <c r="D37" s="18">
        <f>'Пр.3 Рд,пр, ЦС,ВР 22'!F734</f>
        <v>62337.460999999996</v>
      </c>
    </row>
    <row r="38" spans="1:4" ht="15.75" x14ac:dyDescent="0.25">
      <c r="A38" s="62" t="s">
        <v>246</v>
      </c>
      <c r="B38" s="14" t="s">
        <v>187</v>
      </c>
      <c r="C38" s="14" t="s">
        <v>187</v>
      </c>
      <c r="D38" s="18">
        <f>'Пр.3 Рд,пр, ЦС,ВР 22'!F807</f>
        <v>8919.8900000000012</v>
      </c>
    </row>
    <row r="39" spans="1:4" ht="15.75" x14ac:dyDescent="0.25">
      <c r="A39" s="62" t="s">
        <v>201</v>
      </c>
      <c r="B39" s="14" t="s">
        <v>187</v>
      </c>
      <c r="C39" s="14" t="s">
        <v>161</v>
      </c>
      <c r="D39" s="18">
        <f>'Пр.3 Рд,пр, ЦС,ВР 22'!F843</f>
        <v>27174.309099999999</v>
      </c>
    </row>
    <row r="40" spans="1:4" ht="15.75" x14ac:dyDescent="0.25">
      <c r="A40" s="65" t="s">
        <v>202</v>
      </c>
      <c r="B40" s="16" t="s">
        <v>203</v>
      </c>
      <c r="C40" s="14"/>
      <c r="D40" s="28">
        <f t="shared" ref="D40" si="5">D41+D42</f>
        <v>96324.704029999994</v>
      </c>
    </row>
    <row r="41" spans="1:4" ht="15.75" x14ac:dyDescent="0.25">
      <c r="A41" s="64" t="s">
        <v>204</v>
      </c>
      <c r="B41" s="14" t="s">
        <v>203</v>
      </c>
      <c r="C41" s="14" t="s">
        <v>116</v>
      </c>
      <c r="D41" s="18">
        <f>'Пр.3 Рд,пр, ЦС,ВР 22'!F896</f>
        <v>71851.15058999999</v>
      </c>
    </row>
    <row r="42" spans="1:4" ht="15.75" x14ac:dyDescent="0.25">
      <c r="A42" s="64" t="s">
        <v>208</v>
      </c>
      <c r="B42" s="14" t="s">
        <v>203</v>
      </c>
      <c r="C42" s="14" t="s">
        <v>139</v>
      </c>
      <c r="D42" s="18">
        <f>'Пр.3 Рд,пр, ЦС,ВР 22'!F994</f>
        <v>24473.553439999996</v>
      </c>
    </row>
    <row r="43" spans="1:4" ht="15.75" x14ac:dyDescent="0.25">
      <c r="A43" s="31" t="s">
        <v>173</v>
      </c>
      <c r="B43" s="16" t="s">
        <v>174</v>
      </c>
      <c r="C43" s="16"/>
      <c r="D43" s="28">
        <f>SUM(D44:D47)</f>
        <v>18145.82029</v>
      </c>
    </row>
    <row r="44" spans="1:4" ht="15.75" x14ac:dyDescent="0.25">
      <c r="A44" s="62" t="s">
        <v>175</v>
      </c>
      <c r="B44" s="14" t="s">
        <v>174</v>
      </c>
      <c r="C44" s="14" t="s">
        <v>116</v>
      </c>
      <c r="D44" s="18">
        <f>'Пр.3 Рд,пр, ЦС,ВР 22'!F1040</f>
        <v>12745.0224</v>
      </c>
    </row>
    <row r="45" spans="1:4" ht="15.75" x14ac:dyDescent="0.25">
      <c r="A45" s="17" t="s">
        <v>181</v>
      </c>
      <c r="B45" s="14" t="s">
        <v>174</v>
      </c>
      <c r="C45" s="14" t="s">
        <v>159</v>
      </c>
      <c r="D45" s="18">
        <f>'Пр.3 Рд,пр, ЦС,ВР 22'!F1046</f>
        <v>1369.2878900000001</v>
      </c>
    </row>
    <row r="46" spans="1:4" s="128" customFormat="1" ht="15.75" hidden="1" x14ac:dyDescent="0.25">
      <c r="A46" s="17" t="s">
        <v>234</v>
      </c>
      <c r="B46" s="14" t="s">
        <v>174</v>
      </c>
      <c r="C46" s="14" t="s">
        <v>139</v>
      </c>
      <c r="D46" s="18">
        <f>'Пр.3 Рд,пр, ЦС,ВР 22'!F1075</f>
        <v>16.600000000000001</v>
      </c>
    </row>
    <row r="47" spans="1:4" ht="15.75" x14ac:dyDescent="0.25">
      <c r="A47" s="17" t="s">
        <v>183</v>
      </c>
      <c r="B47" s="14" t="s">
        <v>174</v>
      </c>
      <c r="C47" s="14" t="s">
        <v>118</v>
      </c>
      <c r="D47" s="18">
        <f>'Пр.3 Рд,пр, ЦС,ВР 22'!F1080</f>
        <v>4014.9100000000003</v>
      </c>
    </row>
    <row r="48" spans="1:4" ht="15.75" x14ac:dyDescent="0.25">
      <c r="A48" s="65" t="s">
        <v>250</v>
      </c>
      <c r="B48" s="16" t="s">
        <v>251</v>
      </c>
      <c r="C48" s="14"/>
      <c r="D48" s="28">
        <f t="shared" ref="D48" si="6">D49+D50</f>
        <v>82692.24500000001</v>
      </c>
    </row>
    <row r="49" spans="1:5" ht="15.75" x14ac:dyDescent="0.25">
      <c r="A49" s="64" t="s">
        <v>252</v>
      </c>
      <c r="B49" s="14" t="s">
        <v>251</v>
      </c>
      <c r="C49" s="14" t="s">
        <v>116</v>
      </c>
      <c r="D49" s="18">
        <f>'Пр.3 Рд,пр, ЦС,ВР 22'!F1102</f>
        <v>64240.086360000008</v>
      </c>
    </row>
    <row r="50" spans="1:5" ht="15.75" x14ac:dyDescent="0.25">
      <c r="A50" s="64" t="s">
        <v>254</v>
      </c>
      <c r="B50" s="14" t="s">
        <v>251</v>
      </c>
      <c r="C50" s="14" t="s">
        <v>168</v>
      </c>
      <c r="D50" s="18">
        <f>'Пр.3 Рд,пр, ЦС,ВР 22'!F1153</f>
        <v>18452.158640000001</v>
      </c>
    </row>
    <row r="51" spans="1:5" ht="15.75" x14ac:dyDescent="0.25">
      <c r="A51" s="13" t="s">
        <v>288</v>
      </c>
      <c r="B51" s="16" t="s">
        <v>171</v>
      </c>
      <c r="C51" s="14"/>
      <c r="D51" s="28">
        <f t="shared" ref="D51" si="7">D52</f>
        <v>5749.9749700000011</v>
      </c>
    </row>
    <row r="52" spans="1:5" ht="15.75" x14ac:dyDescent="0.25">
      <c r="A52" s="22" t="s">
        <v>289</v>
      </c>
      <c r="B52" s="14" t="s">
        <v>171</v>
      </c>
      <c r="C52" s="14" t="s">
        <v>158</v>
      </c>
      <c r="D52" s="18">
        <f>'Пр.3 Рд,пр, ЦС,ВР 22'!F1193</f>
        <v>5749.9749700000011</v>
      </c>
    </row>
    <row r="53" spans="1:5" ht="15.75" x14ac:dyDescent="0.25">
      <c r="A53" s="61" t="s">
        <v>330</v>
      </c>
      <c r="B53" s="16"/>
      <c r="C53" s="16"/>
      <c r="D53" s="28">
        <f>D10+D20+D22+D27+D34+D40+D43+D48+D51+D18+D32</f>
        <v>978688.86240999983</v>
      </c>
      <c r="E53" s="15"/>
    </row>
    <row r="54" spans="1:5" hidden="1" x14ac:dyDescent="0.25">
      <c r="D54" s="15">
        <f>'Пр.4 ведом.22'!G1359</f>
        <v>978688.86740999995</v>
      </c>
    </row>
    <row r="55" spans="1:5" hidden="1" x14ac:dyDescent="0.25">
      <c r="D55" s="15">
        <f t="shared" ref="D55" si="8">D54-D53</f>
        <v>5.0000001210719347E-3</v>
      </c>
    </row>
    <row r="56" spans="1:5" hidden="1" x14ac:dyDescent="0.25">
      <c r="D56" s="15">
        <f>пр.1дох.22!C211</f>
        <v>949764.82790999999</v>
      </c>
    </row>
    <row r="57" spans="1:5" hidden="1" x14ac:dyDescent="0.25">
      <c r="D57" s="15">
        <f>D56-D53</f>
        <v>-28924.034499999834</v>
      </c>
    </row>
    <row r="58" spans="1:5" x14ac:dyDescent="0.25">
      <c r="D58" s="15">
        <f>'Пр.4 ведом.22'!G1359</f>
        <v>978688.86740999995</v>
      </c>
    </row>
    <row r="59" spans="1:5" x14ac:dyDescent="0.25">
      <c r="D59" s="15">
        <f>D58-D53</f>
        <v>5.0000001210719347E-3</v>
      </c>
    </row>
  </sheetData>
  <mergeCells count="6">
    <mergeCell ref="B1:D1"/>
    <mergeCell ref="A5:D5"/>
    <mergeCell ref="A6:D6"/>
    <mergeCell ref="A7:D7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17" zoomScaleNormal="100" zoomScaleSheetLayoutView="100" workbookViewId="0">
      <selection activeCell="B2" sqref="B2:D2"/>
    </sheetView>
  </sheetViews>
  <sheetFormatPr defaultColWidth="9.140625" defaultRowHeight="15" x14ac:dyDescent="0.25"/>
  <cols>
    <col min="1" max="1" width="80.7109375" style="343" customWidth="1"/>
    <col min="2" max="2" width="4.5703125" style="343" customWidth="1"/>
    <col min="3" max="3" width="6.140625" style="343" customWidth="1"/>
    <col min="4" max="5" width="14.42578125" style="15" customWidth="1"/>
    <col min="6" max="16384" width="9.140625" style="343"/>
  </cols>
  <sheetData>
    <row r="1" spans="1:5" ht="15.75" x14ac:dyDescent="0.25">
      <c r="A1" s="10"/>
      <c r="B1" s="670" t="s">
        <v>1226</v>
      </c>
      <c r="C1" s="670"/>
      <c r="D1" s="670"/>
      <c r="E1" s="343"/>
    </row>
    <row r="2" spans="1:5" ht="15.75" x14ac:dyDescent="0.25">
      <c r="A2" s="10"/>
      <c r="B2" s="670" t="s">
        <v>0</v>
      </c>
      <c r="C2" s="670"/>
      <c r="D2" s="670"/>
      <c r="E2" s="343"/>
    </row>
    <row r="3" spans="1:5" ht="18.75" customHeight="1" x14ac:dyDescent="0.25">
      <c r="A3" s="10"/>
      <c r="B3" s="671" t="s">
        <v>1172</v>
      </c>
      <c r="C3" s="671"/>
      <c r="D3" s="671"/>
      <c r="E3" s="343"/>
    </row>
    <row r="4" spans="1:5" ht="18.75" x14ac:dyDescent="0.3">
      <c r="A4" s="10"/>
      <c r="B4" s="99"/>
      <c r="C4" s="10"/>
      <c r="D4" s="386"/>
      <c r="E4" s="386"/>
    </row>
    <row r="5" spans="1:5" ht="15.75" x14ac:dyDescent="0.25">
      <c r="A5" s="669" t="s">
        <v>684</v>
      </c>
      <c r="B5" s="669"/>
      <c r="C5" s="669"/>
      <c r="D5" s="669"/>
      <c r="E5" s="343"/>
    </row>
    <row r="6" spans="1:5" ht="15.75" x14ac:dyDescent="0.25">
      <c r="A6" s="669" t="s">
        <v>685</v>
      </c>
      <c r="B6" s="669"/>
      <c r="C6" s="669"/>
      <c r="D6" s="669"/>
      <c r="E6" s="343"/>
    </row>
    <row r="7" spans="1:5" ht="15.75" x14ac:dyDescent="0.25">
      <c r="A7" s="669" t="s">
        <v>1206</v>
      </c>
      <c r="B7" s="669"/>
      <c r="C7" s="669"/>
      <c r="D7" s="669"/>
      <c r="E7" s="343"/>
    </row>
    <row r="8" spans="1:5" x14ac:dyDescent="0.25">
      <c r="B8" s="59"/>
      <c r="C8" s="59"/>
      <c r="D8" s="242"/>
      <c r="E8" s="242" t="s">
        <v>1</v>
      </c>
    </row>
    <row r="9" spans="1:5" ht="66.2" customHeight="1" x14ac:dyDescent="0.25">
      <c r="A9" s="60" t="s">
        <v>327</v>
      </c>
      <c r="B9" s="60" t="s">
        <v>328</v>
      </c>
      <c r="C9" s="60" t="s">
        <v>329</v>
      </c>
      <c r="D9" s="243" t="s">
        <v>808</v>
      </c>
      <c r="E9" s="243" t="s">
        <v>1180</v>
      </c>
    </row>
    <row r="10" spans="1:5" ht="15.75" x14ac:dyDescent="0.25">
      <c r="A10" s="198" t="s">
        <v>905</v>
      </c>
      <c r="B10" s="60"/>
      <c r="C10" s="60"/>
      <c r="D10" s="245">
        <f>'Пр.3.1 Рд,пр, ЦС,ВР 23-24'!F8</f>
        <v>13679.9</v>
      </c>
      <c r="E10" s="245">
        <f>'Пр.3.1 Рд,пр, ЦС,ВР 23-24'!G8</f>
        <v>28368.5</v>
      </c>
    </row>
    <row r="11" spans="1:5" ht="15.75" x14ac:dyDescent="0.25">
      <c r="A11" s="31" t="s">
        <v>115</v>
      </c>
      <c r="B11" s="299" t="s">
        <v>116</v>
      </c>
      <c r="C11" s="61"/>
      <c r="D11" s="244">
        <f>SUM(D12:D18)</f>
        <v>155799.01351000002</v>
      </c>
      <c r="E11" s="244">
        <f>SUM(E12:E18)</f>
        <v>161023.6</v>
      </c>
    </row>
    <row r="12" spans="1:5" ht="31.5" x14ac:dyDescent="0.25">
      <c r="A12" s="22" t="s">
        <v>285</v>
      </c>
      <c r="B12" s="346" t="s">
        <v>116</v>
      </c>
      <c r="C12" s="346" t="s">
        <v>158</v>
      </c>
      <c r="D12" s="18">
        <f>'Пр.3.1 Рд,пр, ЦС,ВР 23-24'!F10</f>
        <v>5300.4</v>
      </c>
      <c r="E12" s="18">
        <f>'Пр.3.1 Рд,пр, ЦС,ВР 23-24'!G10</f>
        <v>5386.4</v>
      </c>
    </row>
    <row r="13" spans="1:5" ht="47.25" x14ac:dyDescent="0.25">
      <c r="A13" s="22" t="s">
        <v>287</v>
      </c>
      <c r="B13" s="346" t="s">
        <v>116</v>
      </c>
      <c r="C13" s="346" t="s">
        <v>159</v>
      </c>
      <c r="D13" s="18">
        <f>'Пр.3.1 Рд,пр, ЦС,ВР 23-24'!F26</f>
        <v>5970</v>
      </c>
      <c r="E13" s="18">
        <f>'Пр.3.1 Рд,пр, ЦС,ВР 23-24'!G26</f>
        <v>5970</v>
      </c>
    </row>
    <row r="14" spans="1:5" ht="47.25" x14ac:dyDescent="0.25">
      <c r="A14" s="345" t="s">
        <v>138</v>
      </c>
      <c r="B14" s="346" t="s">
        <v>116</v>
      </c>
      <c r="C14" s="346" t="s">
        <v>139</v>
      </c>
      <c r="D14" s="18">
        <f>'Пр.3.1 Рд,пр, ЦС,ВР 23-24'!F42</f>
        <v>63606.80000000001</v>
      </c>
      <c r="E14" s="18">
        <f>'Пр.3.1 Рд,пр, ЦС,ВР 23-24'!G42</f>
        <v>69634.100000000006</v>
      </c>
    </row>
    <row r="15" spans="1:5" ht="31.5" x14ac:dyDescent="0.25">
      <c r="A15" s="345" t="s">
        <v>117</v>
      </c>
      <c r="B15" s="346" t="s">
        <v>116</v>
      </c>
      <c r="C15" s="346" t="s">
        <v>118</v>
      </c>
      <c r="D15" s="18">
        <f>'Пр.3.1 Рд,пр, ЦС,ВР 23-24'!F103</f>
        <v>18932.8</v>
      </c>
      <c r="E15" s="18">
        <f>'Пр.3.1 Рд,пр, ЦС,ВР 23-24'!G103</f>
        <v>18846.8</v>
      </c>
    </row>
    <row r="16" spans="1:5" ht="15.75" hidden="1" x14ac:dyDescent="0.25">
      <c r="A16" s="345" t="s">
        <v>696</v>
      </c>
      <c r="B16" s="346" t="s">
        <v>116</v>
      </c>
      <c r="C16" s="346" t="s">
        <v>187</v>
      </c>
      <c r="D16" s="18">
        <f>'Пр.3 Рд,пр, ЦС,ВР 22'!F131</f>
        <v>0</v>
      </c>
      <c r="E16" s="18">
        <f>'Пр.3 Рд,пр, ЦС,ВР 22'!G131</f>
        <v>0</v>
      </c>
    </row>
    <row r="17" spans="1:5" ht="15.75" x14ac:dyDescent="0.25">
      <c r="A17" s="345" t="s">
        <v>902</v>
      </c>
      <c r="B17" s="346" t="s">
        <v>116</v>
      </c>
      <c r="C17" s="346" t="s">
        <v>251</v>
      </c>
      <c r="D17" s="18">
        <f>'Пр.3.1 Рд,пр, ЦС,ВР 23-24'!F136</f>
        <v>50</v>
      </c>
      <c r="E17" s="18">
        <f>'Пр.3.1 Рд,пр, ЦС,ВР 23-24'!G136</f>
        <v>50</v>
      </c>
    </row>
    <row r="18" spans="1:5" ht="15.75" x14ac:dyDescent="0.25">
      <c r="A18" s="62" t="s">
        <v>131</v>
      </c>
      <c r="B18" s="346" t="s">
        <v>116</v>
      </c>
      <c r="C18" s="346" t="s">
        <v>132</v>
      </c>
      <c r="D18" s="18">
        <f>'Пр.3.1 Рд,пр, ЦС,ВР 23-24'!F142</f>
        <v>61939.013509999997</v>
      </c>
      <c r="E18" s="18">
        <f>'Пр.3.1 Рд,пр, ЦС,ВР 23-24'!G142</f>
        <v>61136.299999999996</v>
      </c>
    </row>
    <row r="19" spans="1:5" ht="15.75" hidden="1" x14ac:dyDescent="0.25">
      <c r="A19" s="296" t="s">
        <v>157</v>
      </c>
      <c r="B19" s="299" t="s">
        <v>158</v>
      </c>
      <c r="C19" s="346"/>
      <c r="D19" s="28">
        <f t="shared" ref="D19:E19" si="0">D20</f>
        <v>0</v>
      </c>
      <c r="E19" s="28">
        <f t="shared" si="0"/>
        <v>0</v>
      </c>
    </row>
    <row r="20" spans="1:5" ht="15.75" hidden="1" x14ac:dyDescent="0.25">
      <c r="A20" s="345" t="s">
        <v>160</v>
      </c>
      <c r="B20" s="346" t="s">
        <v>158</v>
      </c>
      <c r="C20" s="346" t="s">
        <v>161</v>
      </c>
      <c r="D20" s="18"/>
      <c r="E20" s="18"/>
    </row>
    <row r="21" spans="1:5" ht="18" customHeight="1" x14ac:dyDescent="0.25">
      <c r="A21" s="24" t="s">
        <v>163</v>
      </c>
      <c r="B21" s="299" t="s">
        <v>159</v>
      </c>
      <c r="C21" s="299"/>
      <c r="D21" s="28">
        <f t="shared" ref="D21:E21" si="1">D22</f>
        <v>8292.1999999999989</v>
      </c>
      <c r="E21" s="28">
        <f t="shared" si="1"/>
        <v>8292.1999999999989</v>
      </c>
    </row>
    <row r="22" spans="1:5" ht="31.5" x14ac:dyDescent="0.25">
      <c r="A22" s="22" t="s">
        <v>849</v>
      </c>
      <c r="B22" s="346" t="s">
        <v>159</v>
      </c>
      <c r="C22" s="346" t="s">
        <v>174</v>
      </c>
      <c r="D22" s="18">
        <f>'Пр.3.1 Рд,пр, ЦС,ВР 23-24'!F243</f>
        <v>8292.1999999999989</v>
      </c>
      <c r="E22" s="18">
        <f>'Пр.3.1 Рд,пр, ЦС,ВР 23-24'!G243</f>
        <v>8292.1999999999989</v>
      </c>
    </row>
    <row r="23" spans="1:5" ht="15.75" x14ac:dyDescent="0.25">
      <c r="A23" s="31" t="s">
        <v>166</v>
      </c>
      <c r="B23" s="299" t="s">
        <v>139</v>
      </c>
      <c r="C23" s="299"/>
      <c r="D23" s="28">
        <f t="shared" ref="D23:E23" si="2">D24+D25+D26+D27</f>
        <v>7163.66</v>
      </c>
      <c r="E23" s="28">
        <f t="shared" si="2"/>
        <v>7465.16</v>
      </c>
    </row>
    <row r="24" spans="1:5" ht="15.75" x14ac:dyDescent="0.25">
      <c r="A24" s="63" t="s">
        <v>167</v>
      </c>
      <c r="B24" s="346" t="s">
        <v>139</v>
      </c>
      <c r="C24" s="346" t="s">
        <v>168</v>
      </c>
      <c r="D24" s="18">
        <f>'Пр.3.1 Рд,пр, ЦС,ВР 23-24'!F270</f>
        <v>19.199999999999989</v>
      </c>
      <c r="E24" s="18">
        <f>'Пр.3.1 Рд,пр, ЦС,ВР 23-24'!G270</f>
        <v>274.2</v>
      </c>
    </row>
    <row r="25" spans="1:5" ht="15.75" x14ac:dyDescent="0.25">
      <c r="A25" s="62" t="s">
        <v>256</v>
      </c>
      <c r="B25" s="346" t="s">
        <v>139</v>
      </c>
      <c r="C25" s="346" t="s">
        <v>203</v>
      </c>
      <c r="D25" s="18">
        <f>'Пр.3.1 Рд,пр, ЦС,ВР 23-24'!F280</f>
        <v>3258</v>
      </c>
      <c r="E25" s="18">
        <f>'Пр.3.1 Рд,пр, ЦС,ВР 23-24'!G280</f>
        <v>3258</v>
      </c>
    </row>
    <row r="26" spans="1:5" ht="15.75" x14ac:dyDescent="0.25">
      <c r="A26" s="62" t="s">
        <v>258</v>
      </c>
      <c r="B26" s="346" t="s">
        <v>139</v>
      </c>
      <c r="C26" s="346" t="s">
        <v>161</v>
      </c>
      <c r="D26" s="18">
        <f>'Пр.3.1 Рд,пр, ЦС,ВР 23-24'!F286</f>
        <v>3193</v>
      </c>
      <c r="E26" s="18">
        <f>'Пр.3.1 Рд,пр, ЦС,ВР 23-24'!G286</f>
        <v>3226.2</v>
      </c>
    </row>
    <row r="27" spans="1:5" ht="15.75" x14ac:dyDescent="0.25">
      <c r="A27" s="64" t="s">
        <v>170</v>
      </c>
      <c r="B27" s="346" t="s">
        <v>139</v>
      </c>
      <c r="C27" s="346" t="s">
        <v>171</v>
      </c>
      <c r="D27" s="18">
        <f>'Пр.3.1 Рд,пр, ЦС,ВР 23-24'!F300</f>
        <v>693.45999999999992</v>
      </c>
      <c r="E27" s="18">
        <f>'Пр.3.1 Рд,пр, ЦС,ВР 23-24'!G300</f>
        <v>706.76</v>
      </c>
    </row>
    <row r="28" spans="1:5" ht="15.75" x14ac:dyDescent="0.25">
      <c r="A28" s="31" t="s">
        <v>231</v>
      </c>
      <c r="B28" s="299" t="s">
        <v>168</v>
      </c>
      <c r="C28" s="299"/>
      <c r="D28" s="28">
        <f t="shared" ref="D28:E28" si="3">SUM(D29:D32)</f>
        <v>63311.362000000001</v>
      </c>
      <c r="E28" s="28">
        <f t="shared" si="3"/>
        <v>54832.869999999995</v>
      </c>
    </row>
    <row r="29" spans="1:5" ht="15.75" x14ac:dyDescent="0.25">
      <c r="A29" s="63" t="s">
        <v>232</v>
      </c>
      <c r="B29" s="346" t="s">
        <v>168</v>
      </c>
      <c r="C29" s="346" t="s">
        <v>116</v>
      </c>
      <c r="D29" s="18">
        <f>'Пр.3.1 Рд,пр, ЦС,ВР 23-24'!F332</f>
        <v>14050.63</v>
      </c>
      <c r="E29" s="18">
        <f>'Пр.3.1 Рд,пр, ЦС,ВР 23-24'!G332</f>
        <v>6330.7999999999993</v>
      </c>
    </row>
    <row r="30" spans="1:5" ht="15.75" x14ac:dyDescent="0.25">
      <c r="A30" s="63" t="s">
        <v>262</v>
      </c>
      <c r="B30" s="346" t="s">
        <v>168</v>
      </c>
      <c r="C30" s="346" t="s">
        <v>158</v>
      </c>
      <c r="D30" s="18">
        <f>'Пр.3.1 Рд,пр, ЦС,ВР 23-24'!F349</f>
        <v>9092.6419999999998</v>
      </c>
      <c r="E30" s="18">
        <f>'Пр.3.1 Рд,пр, ЦС,ВР 23-24'!G349</f>
        <v>8354.0300000000007</v>
      </c>
    </row>
    <row r="31" spans="1:5" ht="15.75" x14ac:dyDescent="0.25">
      <c r="A31" s="62" t="s">
        <v>272</v>
      </c>
      <c r="B31" s="346" t="s">
        <v>168</v>
      </c>
      <c r="C31" s="346" t="s">
        <v>159</v>
      </c>
      <c r="D31" s="18">
        <f>'Пр.3.1 Рд,пр, ЦС,ВР 23-24'!F414</f>
        <v>9771.4399999999987</v>
      </c>
      <c r="E31" s="18">
        <f>'Пр.3.1 Рд,пр, ЦС,ВР 23-24'!G414</f>
        <v>9771.4399999999987</v>
      </c>
    </row>
    <row r="32" spans="1:5" ht="15.75" x14ac:dyDescent="0.25">
      <c r="A32" s="345" t="s">
        <v>281</v>
      </c>
      <c r="B32" s="346" t="s">
        <v>168</v>
      </c>
      <c r="C32" s="346" t="s">
        <v>168</v>
      </c>
      <c r="D32" s="18">
        <f>'Пр.3.1 Рд,пр, ЦС,ВР 23-24'!F476</f>
        <v>30396.65</v>
      </c>
      <c r="E32" s="18">
        <f>'Пр.3.1 Рд,пр, ЦС,ВР 23-24'!G476</f>
        <v>30376.6</v>
      </c>
    </row>
    <row r="33" spans="1:5" ht="15.75" x14ac:dyDescent="0.25">
      <c r="A33" s="31" t="s">
        <v>186</v>
      </c>
      <c r="B33" s="299" t="s">
        <v>187</v>
      </c>
      <c r="C33" s="299"/>
      <c r="D33" s="28">
        <f t="shared" ref="D33:E33" si="4">SUM(D34:D38)</f>
        <v>386334.69999999995</v>
      </c>
      <c r="E33" s="28">
        <f t="shared" si="4"/>
        <v>342389.10000000003</v>
      </c>
    </row>
    <row r="34" spans="1:5" ht="15.75" x14ac:dyDescent="0.25">
      <c r="A34" s="62" t="s">
        <v>236</v>
      </c>
      <c r="B34" s="346" t="s">
        <v>187</v>
      </c>
      <c r="C34" s="346" t="s">
        <v>116</v>
      </c>
      <c r="D34" s="18">
        <f>'Пр.3.1 Рд,пр, ЦС,ВР 23-24'!F523</f>
        <v>90820.19</v>
      </c>
      <c r="E34" s="18">
        <f>'Пр.3.1 Рд,пр, ЦС,ВР 23-24'!G523</f>
        <v>84821.090000000011</v>
      </c>
    </row>
    <row r="35" spans="1:5" ht="15.75" x14ac:dyDescent="0.25">
      <c r="A35" s="62" t="s">
        <v>239</v>
      </c>
      <c r="B35" s="346" t="s">
        <v>187</v>
      </c>
      <c r="C35" s="346" t="s">
        <v>158</v>
      </c>
      <c r="D35" s="18">
        <f>'Пр.3.1 Рд,пр, ЦС,ВР 23-24'!F582</f>
        <v>202665.56</v>
      </c>
      <c r="E35" s="18">
        <f>'Пр.3.1 Рд,пр, ЦС,ВР 23-24'!G582</f>
        <v>164386.26</v>
      </c>
    </row>
    <row r="36" spans="1:5" ht="15.75" x14ac:dyDescent="0.25">
      <c r="A36" s="62" t="s">
        <v>188</v>
      </c>
      <c r="B36" s="346" t="s">
        <v>187</v>
      </c>
      <c r="C36" s="346" t="s">
        <v>159</v>
      </c>
      <c r="D36" s="18">
        <f>'Пр.3.1 Рд,пр, ЦС,ВР 23-24'!F671</f>
        <v>62232.1</v>
      </c>
      <c r="E36" s="18">
        <f>'Пр.3.1 Рд,пр, ЦС,ВР 23-24'!G671</f>
        <v>62232.1</v>
      </c>
    </row>
    <row r="37" spans="1:5" ht="15.75" x14ac:dyDescent="0.25">
      <c r="A37" s="62" t="s">
        <v>246</v>
      </c>
      <c r="B37" s="346" t="s">
        <v>187</v>
      </c>
      <c r="C37" s="346" t="s">
        <v>187</v>
      </c>
      <c r="D37" s="18">
        <f>'Пр.3.1 Рд,пр, ЦС,ВР 23-24'!F740</f>
        <v>8438.6</v>
      </c>
      <c r="E37" s="18">
        <f>'Пр.3.1 Рд,пр, ЦС,ВР 23-24'!G740</f>
        <v>8609.7000000000007</v>
      </c>
    </row>
    <row r="38" spans="1:5" ht="15.75" x14ac:dyDescent="0.25">
      <c r="A38" s="62" t="s">
        <v>201</v>
      </c>
      <c r="B38" s="346" t="s">
        <v>187</v>
      </c>
      <c r="C38" s="346" t="s">
        <v>161</v>
      </c>
      <c r="D38" s="18">
        <f>'Пр.3.1 Рд,пр, ЦС,ВР 23-24'!F765</f>
        <v>22178.25</v>
      </c>
      <c r="E38" s="18">
        <f>'Пр.3.1 Рд,пр, ЦС,ВР 23-24'!G765</f>
        <v>22339.95</v>
      </c>
    </row>
    <row r="39" spans="1:5" ht="15.75" x14ac:dyDescent="0.25">
      <c r="A39" s="65" t="s">
        <v>202</v>
      </c>
      <c r="B39" s="299" t="s">
        <v>203</v>
      </c>
      <c r="C39" s="346"/>
      <c r="D39" s="28">
        <f t="shared" ref="D39:E39" si="5">D40+D41</f>
        <v>82217.399999999994</v>
      </c>
      <c r="E39" s="28">
        <f t="shared" si="5"/>
        <v>82221.299999999988</v>
      </c>
    </row>
    <row r="40" spans="1:5" ht="15.75" x14ac:dyDescent="0.25">
      <c r="A40" s="64" t="s">
        <v>204</v>
      </c>
      <c r="B40" s="346" t="s">
        <v>203</v>
      </c>
      <c r="C40" s="346" t="s">
        <v>116</v>
      </c>
      <c r="D40" s="18">
        <f>'Пр.3.1 Рд,пр, ЦС,ВР 23-24'!F805</f>
        <v>60054.7</v>
      </c>
      <c r="E40" s="18">
        <f>'Пр.3.1 Рд,пр, ЦС,ВР 23-24'!G805</f>
        <v>60054.7</v>
      </c>
    </row>
    <row r="41" spans="1:5" ht="15.75" x14ac:dyDescent="0.25">
      <c r="A41" s="64" t="s">
        <v>208</v>
      </c>
      <c r="B41" s="346" t="s">
        <v>203</v>
      </c>
      <c r="C41" s="346" t="s">
        <v>139</v>
      </c>
      <c r="D41" s="18">
        <f>'Пр.3.1 Рд,пр, ЦС,ВР 23-24'!F887</f>
        <v>22162.699999999997</v>
      </c>
      <c r="E41" s="18">
        <f>'Пр.3.1 Рд,пр, ЦС,ВР 23-24'!G887</f>
        <v>22166.6</v>
      </c>
    </row>
    <row r="42" spans="1:5" ht="15.75" x14ac:dyDescent="0.25">
      <c r="A42" s="31" t="s">
        <v>173</v>
      </c>
      <c r="B42" s="299" t="s">
        <v>174</v>
      </c>
      <c r="C42" s="299"/>
      <c r="D42" s="28">
        <f>SUM(D43:D46)</f>
        <v>15401.087890000003</v>
      </c>
      <c r="E42" s="28">
        <f>SUM(E43:E46)</f>
        <v>15374.45</v>
      </c>
    </row>
    <row r="43" spans="1:5" ht="15.75" x14ac:dyDescent="0.25">
      <c r="A43" s="62" t="s">
        <v>175</v>
      </c>
      <c r="B43" s="346" t="s">
        <v>174</v>
      </c>
      <c r="C43" s="346" t="s">
        <v>116</v>
      </c>
      <c r="D43" s="18">
        <f>'Пр.3.1 Рд,пр, ЦС,ВР 23-24'!F929</f>
        <v>9913.5</v>
      </c>
      <c r="E43" s="18">
        <f>'Пр.3.1 Рд,пр, ЦС,ВР 23-24'!G929</f>
        <v>9913.5</v>
      </c>
    </row>
    <row r="44" spans="1:5" ht="15.75" x14ac:dyDescent="0.25">
      <c r="A44" s="345" t="s">
        <v>181</v>
      </c>
      <c r="B44" s="346" t="s">
        <v>174</v>
      </c>
      <c r="C44" s="346" t="s">
        <v>159</v>
      </c>
      <c r="D44" s="18">
        <f>'Пр.3.1 Рд,пр, ЦС,ВР 23-24'!F935</f>
        <v>1695.1878900000002</v>
      </c>
      <c r="E44" s="18">
        <f>'Пр.3.1 Рд,пр, ЦС,ВР 23-24'!G935</f>
        <v>1534.35</v>
      </c>
    </row>
    <row r="45" spans="1:5" ht="15.75" hidden="1" x14ac:dyDescent="0.25">
      <c r="A45" s="345" t="s">
        <v>234</v>
      </c>
      <c r="B45" s="346" t="s">
        <v>174</v>
      </c>
      <c r="C45" s="346" t="s">
        <v>139</v>
      </c>
      <c r="D45" s="18">
        <f>'Пр.3 Рд,пр, ЦС,ВР 22'!F1075</f>
        <v>16.600000000000001</v>
      </c>
      <c r="E45" s="18">
        <f>'Пр.3 Рд,пр, ЦС,ВР 22'!G1075</f>
        <v>0</v>
      </c>
    </row>
    <row r="46" spans="1:5" ht="15.75" x14ac:dyDescent="0.25">
      <c r="A46" s="345" t="s">
        <v>183</v>
      </c>
      <c r="B46" s="346" t="s">
        <v>174</v>
      </c>
      <c r="C46" s="346" t="s">
        <v>118</v>
      </c>
      <c r="D46" s="18">
        <f>'Пр.3.1 Рд,пр, ЦС,ВР 23-24'!F969</f>
        <v>3775.8</v>
      </c>
      <c r="E46" s="18">
        <f>'Пр.3.1 Рд,пр, ЦС,ВР 23-24'!G969</f>
        <v>3926.6</v>
      </c>
    </row>
    <row r="47" spans="1:5" ht="15.75" x14ac:dyDescent="0.25">
      <c r="A47" s="65" t="s">
        <v>250</v>
      </c>
      <c r="B47" s="299" t="s">
        <v>251</v>
      </c>
      <c r="C47" s="346"/>
      <c r="D47" s="28">
        <f t="shared" ref="D47:E47" si="6">D48+D49</f>
        <v>70728.3</v>
      </c>
      <c r="E47" s="28">
        <f t="shared" si="6"/>
        <v>70328.3</v>
      </c>
    </row>
    <row r="48" spans="1:5" ht="15.75" x14ac:dyDescent="0.25">
      <c r="A48" s="64" t="s">
        <v>252</v>
      </c>
      <c r="B48" s="346" t="s">
        <v>251</v>
      </c>
      <c r="C48" s="346" t="s">
        <v>116</v>
      </c>
      <c r="D48" s="18">
        <f>'Пр.3.1 Рд,пр, ЦС,ВР 23-24'!F983</f>
        <v>57055.199999999997</v>
      </c>
      <c r="E48" s="18">
        <f>'Пр.3.1 Рд,пр, ЦС,ВР 23-24'!G983</f>
        <v>56655.199999999997</v>
      </c>
    </row>
    <row r="49" spans="1:5" ht="15.75" x14ac:dyDescent="0.25">
      <c r="A49" s="64" t="s">
        <v>254</v>
      </c>
      <c r="B49" s="346" t="s">
        <v>251</v>
      </c>
      <c r="C49" s="346" t="s">
        <v>168</v>
      </c>
      <c r="D49" s="18">
        <f>'Пр.3.1 Рд,пр, ЦС,ВР 23-24'!F1030</f>
        <v>13673.1</v>
      </c>
      <c r="E49" s="18">
        <f>'Пр.3.1 Рд,пр, ЦС,ВР 23-24'!G1030</f>
        <v>13673.1</v>
      </c>
    </row>
    <row r="50" spans="1:5" ht="15.75" x14ac:dyDescent="0.25">
      <c r="A50" s="296" t="s">
        <v>288</v>
      </c>
      <c r="B50" s="299" t="s">
        <v>171</v>
      </c>
      <c r="C50" s="346"/>
      <c r="D50" s="28">
        <f t="shared" ref="D50:E50" si="7">D51</f>
        <v>6358.2</v>
      </c>
      <c r="E50" s="28">
        <f t="shared" si="7"/>
        <v>6358.2</v>
      </c>
    </row>
    <row r="51" spans="1:5" ht="15.75" x14ac:dyDescent="0.25">
      <c r="A51" s="22" t="s">
        <v>289</v>
      </c>
      <c r="B51" s="346" t="s">
        <v>171</v>
      </c>
      <c r="C51" s="346" t="s">
        <v>158</v>
      </c>
      <c r="D51" s="18">
        <f>'Пр.3.1 Рд,пр, ЦС,ВР 23-24'!F1065</f>
        <v>6358.2</v>
      </c>
      <c r="E51" s="18">
        <f>'Пр.3.1 Рд,пр, ЦС,ВР 23-24'!G1065</f>
        <v>6358.2</v>
      </c>
    </row>
    <row r="52" spans="1:5" ht="15.75" x14ac:dyDescent="0.25">
      <c r="A52" s="61" t="s">
        <v>330</v>
      </c>
      <c r="B52" s="299"/>
      <c r="C52" s="299"/>
      <c r="D52" s="28">
        <f>D11+D21+D23+D28+D33+D39+D42+D47+D50+D19+D10</f>
        <v>809285.82339999999</v>
      </c>
      <c r="E52" s="28">
        <f>E11+E21+E23+E28+E33+E39+E42+E47+E50+E19+E10</f>
        <v>776653.67999999993</v>
      </c>
    </row>
    <row r="53" spans="1:5" hidden="1" x14ac:dyDescent="0.25">
      <c r="D53" s="15">
        <f>'Пр.4 ведом.22'!G1359</f>
        <v>978688.86740999995</v>
      </c>
      <c r="E53" s="15">
        <f>'Пр.4 ведом.22'!H1359</f>
        <v>0</v>
      </c>
    </row>
    <row r="54" spans="1:5" hidden="1" x14ac:dyDescent="0.25">
      <c r="D54" s="15">
        <f t="shared" ref="D54:E54" si="8">D53-D52</f>
        <v>169403.04400999995</v>
      </c>
      <c r="E54" s="15">
        <f t="shared" si="8"/>
        <v>-776653.67999999993</v>
      </c>
    </row>
    <row r="55" spans="1:5" hidden="1" x14ac:dyDescent="0.25">
      <c r="D55" s="15">
        <f>пр.1дох.22!C211</f>
        <v>949764.82790999999</v>
      </c>
      <c r="E55" s="15">
        <f>пр.1дох.22!D211</f>
        <v>0</v>
      </c>
    </row>
    <row r="56" spans="1:5" hidden="1" x14ac:dyDescent="0.25">
      <c r="D56" s="15">
        <f>D55-D52</f>
        <v>140479.00451</v>
      </c>
      <c r="E56" s="15">
        <f>E55-E52</f>
        <v>-776653.67999999993</v>
      </c>
    </row>
    <row r="57" spans="1:5" x14ac:dyDescent="0.25">
      <c r="D57" s="15">
        <f>'Пр.4 ведом.22'!G1359</f>
        <v>978688.86740999995</v>
      </c>
      <c r="E57" s="15">
        <f>'Пр.4 ведом.22'!H1359</f>
        <v>0</v>
      </c>
    </row>
    <row r="58" spans="1:5" x14ac:dyDescent="0.25">
      <c r="D58" s="15">
        <f>D57-D52</f>
        <v>169403.04400999995</v>
      </c>
      <c r="E58" s="15">
        <f>E57-E52</f>
        <v>-776653.67999999993</v>
      </c>
    </row>
  </sheetData>
  <mergeCells count="6">
    <mergeCell ref="A7:D7"/>
    <mergeCell ref="B1:D1"/>
    <mergeCell ref="B2:D2"/>
    <mergeCell ref="B3:D3"/>
    <mergeCell ref="A5:D5"/>
    <mergeCell ref="A6:D6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rowBreaks count="1" manualBreakCount="1">
    <brk id="5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3"/>
  <sheetViews>
    <sheetView view="pageBreakPreview" zoomScale="89" zoomScaleNormal="100" zoomScaleSheetLayoutView="89" workbookViewId="0">
      <selection activeCell="Q1200" sqref="Q1200"/>
    </sheetView>
  </sheetViews>
  <sheetFormatPr defaultRowHeight="15" x14ac:dyDescent="0.25"/>
  <cols>
    <col min="1" max="1" width="55.140625" style="344" customWidth="1"/>
    <col min="2" max="2" width="5.85546875" style="344" customWidth="1"/>
    <col min="3" max="3" width="5.42578125" style="344" customWidth="1"/>
    <col min="4" max="4" width="15.85546875" style="344" customWidth="1"/>
    <col min="5" max="5" width="7.140625" style="344" customWidth="1"/>
    <col min="6" max="6" width="14.28515625" style="71" customWidth="1"/>
    <col min="7" max="7" width="11.7109375" style="344" hidden="1" customWidth="1"/>
    <col min="8" max="10" width="0" style="344" hidden="1" customWidth="1"/>
    <col min="11" max="11" width="9.85546875" style="344" bestFit="1" customWidth="1"/>
    <col min="12" max="12" width="9.85546875" bestFit="1" customWidth="1"/>
  </cols>
  <sheetData>
    <row r="1" spans="1:12" ht="15.75" x14ac:dyDescent="0.25">
      <c r="A1" s="33"/>
      <c r="B1" s="33"/>
      <c r="C1" s="33"/>
      <c r="E1" s="668" t="s">
        <v>1021</v>
      </c>
      <c r="F1" s="668"/>
    </row>
    <row r="2" spans="1:12" ht="15.75" x14ac:dyDescent="0.25">
      <c r="A2" s="33"/>
      <c r="B2" s="33"/>
      <c r="C2" s="33"/>
      <c r="E2" s="668" t="s">
        <v>0</v>
      </c>
      <c r="F2" s="668"/>
    </row>
    <row r="3" spans="1:12" ht="18.75" customHeight="1" x14ac:dyDescent="0.25">
      <c r="A3" s="33"/>
      <c r="B3" s="33"/>
      <c r="C3" s="33"/>
      <c r="E3" s="668" t="s">
        <v>1366</v>
      </c>
      <c r="F3" s="668"/>
    </row>
    <row r="4" spans="1:12" x14ac:dyDescent="0.25">
      <c r="A4" s="33"/>
      <c r="B4" s="33"/>
      <c r="C4" s="33"/>
      <c r="D4" s="33"/>
      <c r="E4" s="33"/>
    </row>
    <row r="5" spans="1:12" ht="63.75" customHeight="1" x14ac:dyDescent="0.25">
      <c r="A5" s="673" t="s">
        <v>1367</v>
      </c>
      <c r="B5" s="673"/>
      <c r="C5" s="673"/>
      <c r="D5" s="673"/>
      <c r="E5" s="673"/>
      <c r="F5" s="673"/>
    </row>
    <row r="6" spans="1:12" x14ac:dyDescent="0.25">
      <c r="A6" s="33"/>
      <c r="B6" s="33"/>
      <c r="C6" s="33"/>
      <c r="D6" s="33"/>
      <c r="E6" s="33"/>
      <c r="F6" s="179" t="s">
        <v>1</v>
      </c>
    </row>
    <row r="7" spans="1:12" ht="30.2" customHeight="1" x14ac:dyDescent="0.25">
      <c r="A7" s="146" t="s">
        <v>295</v>
      </c>
      <c r="B7" s="147" t="s">
        <v>110</v>
      </c>
      <c r="C7" s="147" t="s">
        <v>111</v>
      </c>
      <c r="D7" s="147" t="s">
        <v>112</v>
      </c>
      <c r="E7" s="147" t="s">
        <v>113</v>
      </c>
      <c r="F7" s="180" t="s">
        <v>634</v>
      </c>
    </row>
    <row r="8" spans="1:12" ht="15.75" x14ac:dyDescent="0.25">
      <c r="A8" s="340" t="s">
        <v>115</v>
      </c>
      <c r="B8" s="6" t="s">
        <v>116</v>
      </c>
      <c r="C8" s="6"/>
      <c r="D8" s="6"/>
      <c r="E8" s="6"/>
      <c r="F8" s="294">
        <f>F9+F25+F41+F104+F145+F131+F139</f>
        <v>201126.97110999998</v>
      </c>
      <c r="G8" s="71"/>
      <c r="H8" s="71"/>
      <c r="K8" s="149" t="e">
        <f>F8-F59-'Пр.4 ведом.22'!#REF!-'Пр.4 ведом.22'!#REF!</f>
        <v>#REF!</v>
      </c>
      <c r="L8" s="151" t="e">
        <f>F22+F59+F101+F229-'Пр.4 ведом.22'!#REF!-'Пр.4 ведом.22'!#REF!</f>
        <v>#REF!</v>
      </c>
    </row>
    <row r="9" spans="1:12" ht="47.25" x14ac:dyDescent="0.25">
      <c r="A9" s="340" t="s">
        <v>285</v>
      </c>
      <c r="B9" s="6" t="s">
        <v>116</v>
      </c>
      <c r="C9" s="6" t="s">
        <v>158</v>
      </c>
      <c r="D9" s="6"/>
      <c r="E9" s="6"/>
      <c r="F9" s="294">
        <f>F10+F20</f>
        <v>6554.24</v>
      </c>
      <c r="K9" s="71">
        <f>F9+F41+F106+F522+F845+F996+F1155</f>
        <v>151691.94941</v>
      </c>
    </row>
    <row r="10" spans="1:12" ht="31.5" x14ac:dyDescent="0.25">
      <c r="A10" s="298" t="s">
        <v>486</v>
      </c>
      <c r="B10" s="6" t="s">
        <v>116</v>
      </c>
      <c r="C10" s="6" t="s">
        <v>158</v>
      </c>
      <c r="D10" s="6" t="s">
        <v>432</v>
      </c>
      <c r="E10" s="6"/>
      <c r="F10" s="294">
        <f>F11</f>
        <v>6553.74</v>
      </c>
      <c r="K10" s="71">
        <f>F11+F43+F106+F522+F845+F996+F1155</f>
        <v>147457.54941000001</v>
      </c>
    </row>
    <row r="11" spans="1:12" ht="15.75" x14ac:dyDescent="0.25">
      <c r="A11" s="298" t="s">
        <v>487</v>
      </c>
      <c r="B11" s="6" t="s">
        <v>116</v>
      </c>
      <c r="C11" s="6" t="s">
        <v>158</v>
      </c>
      <c r="D11" s="6" t="s">
        <v>433</v>
      </c>
      <c r="E11" s="6"/>
      <c r="F11" s="294">
        <f>F12+F17</f>
        <v>6553.74</v>
      </c>
      <c r="K11" s="71">
        <f>F147+F543+F1013</f>
        <v>83856.108980000005</v>
      </c>
    </row>
    <row r="12" spans="1:12" ht="31.5" x14ac:dyDescent="0.25">
      <c r="A12" s="20" t="s">
        <v>286</v>
      </c>
      <c r="B12" s="341" t="s">
        <v>116</v>
      </c>
      <c r="C12" s="341" t="s">
        <v>158</v>
      </c>
      <c r="D12" s="341" t="s">
        <v>837</v>
      </c>
      <c r="E12" s="341"/>
      <c r="F12" s="295">
        <f t="shared" ref="F12" si="0">F13+F15</f>
        <v>6553.74</v>
      </c>
    </row>
    <row r="13" spans="1:12" ht="78.75" x14ac:dyDescent="0.25">
      <c r="A13" s="20" t="s">
        <v>119</v>
      </c>
      <c r="B13" s="341" t="s">
        <v>116</v>
      </c>
      <c r="C13" s="341" t="s">
        <v>158</v>
      </c>
      <c r="D13" s="341" t="s">
        <v>837</v>
      </c>
      <c r="E13" s="341" t="s">
        <v>120</v>
      </c>
      <c r="F13" s="246">
        <f t="shared" ref="F13" si="1">F14</f>
        <v>6553.74</v>
      </c>
    </row>
    <row r="14" spans="1:12" ht="31.5" x14ac:dyDescent="0.25">
      <c r="A14" s="20" t="s">
        <v>121</v>
      </c>
      <c r="B14" s="341" t="s">
        <v>116</v>
      </c>
      <c r="C14" s="341" t="s">
        <v>158</v>
      </c>
      <c r="D14" s="341" t="s">
        <v>837</v>
      </c>
      <c r="E14" s="341" t="s">
        <v>122</v>
      </c>
      <c r="F14" s="246">
        <f>'Пр.4 ведом.22'!G43</f>
        <v>6553.74</v>
      </c>
    </row>
    <row r="15" spans="1:12" ht="31.5" hidden="1" x14ac:dyDescent="0.25">
      <c r="A15" s="20" t="s">
        <v>123</v>
      </c>
      <c r="B15" s="341" t="s">
        <v>116</v>
      </c>
      <c r="C15" s="341" t="s">
        <v>158</v>
      </c>
      <c r="D15" s="341" t="s">
        <v>837</v>
      </c>
      <c r="E15" s="341" t="s">
        <v>124</v>
      </c>
      <c r="F15" s="19">
        <f t="shared" ref="F15" si="2">F16</f>
        <v>0</v>
      </c>
    </row>
    <row r="16" spans="1:12" ht="31.5" hidden="1" x14ac:dyDescent="0.25">
      <c r="A16" s="20" t="s">
        <v>125</v>
      </c>
      <c r="B16" s="341" t="s">
        <v>116</v>
      </c>
      <c r="C16" s="341" t="s">
        <v>158</v>
      </c>
      <c r="D16" s="341" t="s">
        <v>837</v>
      </c>
      <c r="E16" s="341" t="s">
        <v>126</v>
      </c>
      <c r="F16" s="19">
        <f>'Пр.4 ведом.22'!G44</f>
        <v>0</v>
      </c>
    </row>
    <row r="17" spans="1:11" s="128" customFormat="1" ht="47.25" hidden="1" x14ac:dyDescent="0.25">
      <c r="A17" s="345" t="s">
        <v>414</v>
      </c>
      <c r="B17" s="341" t="s">
        <v>116</v>
      </c>
      <c r="C17" s="341" t="s">
        <v>158</v>
      </c>
      <c r="D17" s="341" t="s">
        <v>436</v>
      </c>
      <c r="E17" s="341"/>
      <c r="F17" s="19">
        <f>F18</f>
        <v>0</v>
      </c>
      <c r="G17" s="344"/>
      <c r="H17" s="344"/>
      <c r="I17" s="344"/>
      <c r="J17" s="344"/>
      <c r="K17" s="344"/>
    </row>
    <row r="18" spans="1:11" s="128" customFormat="1" ht="78.75" hidden="1" x14ac:dyDescent="0.25">
      <c r="A18" s="345" t="s">
        <v>119</v>
      </c>
      <c r="B18" s="341" t="s">
        <v>116</v>
      </c>
      <c r="C18" s="341" t="s">
        <v>158</v>
      </c>
      <c r="D18" s="341" t="s">
        <v>436</v>
      </c>
      <c r="E18" s="341" t="s">
        <v>120</v>
      </c>
      <c r="F18" s="19">
        <f>F19</f>
        <v>0</v>
      </c>
      <c r="G18" s="344"/>
      <c r="H18" s="344"/>
      <c r="I18" s="344"/>
      <c r="J18" s="344"/>
      <c r="K18" s="344"/>
    </row>
    <row r="19" spans="1:11" s="128" customFormat="1" ht="31.5" hidden="1" x14ac:dyDescent="0.25">
      <c r="A19" s="345" t="s">
        <v>121</v>
      </c>
      <c r="B19" s="341" t="s">
        <v>116</v>
      </c>
      <c r="C19" s="341" t="s">
        <v>158</v>
      </c>
      <c r="D19" s="341" t="s">
        <v>436</v>
      </c>
      <c r="E19" s="341" t="s">
        <v>122</v>
      </c>
      <c r="F19" s="19">
        <f>'Пр.4 ведом.22'!G48</f>
        <v>0</v>
      </c>
      <c r="G19" s="344"/>
      <c r="H19" s="344"/>
      <c r="I19" s="344"/>
      <c r="J19" s="344"/>
      <c r="K19" s="344"/>
    </row>
    <row r="20" spans="1:11" s="128" customFormat="1" ht="47.25" x14ac:dyDescent="0.25">
      <c r="A20" s="298" t="s">
        <v>842</v>
      </c>
      <c r="B20" s="299" t="s">
        <v>116</v>
      </c>
      <c r="C20" s="6" t="s">
        <v>158</v>
      </c>
      <c r="D20" s="299" t="s">
        <v>143</v>
      </c>
      <c r="E20" s="6"/>
      <c r="F20" s="247">
        <f>F21</f>
        <v>0.5</v>
      </c>
      <c r="G20" s="344"/>
      <c r="H20" s="344"/>
      <c r="I20" s="344"/>
      <c r="J20" s="344"/>
      <c r="K20" s="344"/>
    </row>
    <row r="21" spans="1:11" s="128" customFormat="1" ht="63" x14ac:dyDescent="0.25">
      <c r="A21" s="141" t="s">
        <v>418</v>
      </c>
      <c r="B21" s="299" t="s">
        <v>116</v>
      </c>
      <c r="C21" s="6" t="s">
        <v>158</v>
      </c>
      <c r="D21" s="6" t="s">
        <v>424</v>
      </c>
      <c r="E21" s="6"/>
      <c r="F21" s="247">
        <f>F22</f>
        <v>0.5</v>
      </c>
      <c r="G21" s="344"/>
      <c r="H21" s="344"/>
      <c r="I21" s="344"/>
      <c r="J21" s="344"/>
      <c r="K21" s="344"/>
    </row>
    <row r="22" spans="1:11" s="128" customFormat="1" ht="47.25" x14ac:dyDescent="0.25">
      <c r="A22" s="22" t="s">
        <v>334</v>
      </c>
      <c r="B22" s="346" t="s">
        <v>116</v>
      </c>
      <c r="C22" s="346" t="s">
        <v>158</v>
      </c>
      <c r="D22" s="341" t="s">
        <v>554</v>
      </c>
      <c r="E22" s="346"/>
      <c r="F22" s="300">
        <f>F23</f>
        <v>0.5</v>
      </c>
      <c r="G22" s="344"/>
      <c r="H22" s="344"/>
      <c r="I22" s="344"/>
      <c r="J22" s="344"/>
      <c r="K22" s="344"/>
    </row>
    <row r="23" spans="1:11" s="128" customFormat="1" ht="31.5" x14ac:dyDescent="0.25">
      <c r="A23" s="345" t="s">
        <v>123</v>
      </c>
      <c r="B23" s="346" t="s">
        <v>116</v>
      </c>
      <c r="C23" s="346" t="s">
        <v>158</v>
      </c>
      <c r="D23" s="341" t="s">
        <v>554</v>
      </c>
      <c r="E23" s="346" t="s">
        <v>124</v>
      </c>
      <c r="F23" s="300">
        <f>F24</f>
        <v>0.5</v>
      </c>
      <c r="G23" s="344"/>
      <c r="H23" s="344"/>
      <c r="I23" s="344"/>
      <c r="J23" s="344"/>
      <c r="K23" s="344"/>
    </row>
    <row r="24" spans="1:11" s="128" customFormat="1" ht="31.5" x14ac:dyDescent="0.25">
      <c r="A24" s="345" t="s">
        <v>125</v>
      </c>
      <c r="B24" s="346" t="s">
        <v>116</v>
      </c>
      <c r="C24" s="346" t="s">
        <v>158</v>
      </c>
      <c r="D24" s="341" t="s">
        <v>554</v>
      </c>
      <c r="E24" s="346" t="s">
        <v>126</v>
      </c>
      <c r="F24" s="300">
        <f>'Пр.4 ведом.22'!G53</f>
        <v>0.5</v>
      </c>
      <c r="G24" s="344"/>
      <c r="H24" s="344"/>
      <c r="I24" s="344"/>
      <c r="J24" s="344"/>
      <c r="K24" s="344"/>
    </row>
    <row r="25" spans="1:11" ht="63" x14ac:dyDescent="0.25">
      <c r="A25" s="340" t="s">
        <v>287</v>
      </c>
      <c r="B25" s="6" t="s">
        <v>116</v>
      </c>
      <c r="C25" s="6" t="s">
        <v>159</v>
      </c>
      <c r="D25" s="6"/>
      <c r="E25" s="6"/>
      <c r="F25" s="294">
        <f t="shared" ref="F25:F26" si="3">F26</f>
        <v>7874.24</v>
      </c>
    </row>
    <row r="26" spans="1:11" ht="31.5" x14ac:dyDescent="0.25">
      <c r="A26" s="298" t="s">
        <v>486</v>
      </c>
      <c r="B26" s="6" t="s">
        <v>116</v>
      </c>
      <c r="C26" s="6" t="s">
        <v>159</v>
      </c>
      <c r="D26" s="6" t="s">
        <v>432</v>
      </c>
      <c r="E26" s="6"/>
      <c r="F26" s="294">
        <f t="shared" si="3"/>
        <v>7874.24</v>
      </c>
    </row>
    <row r="27" spans="1:11" ht="31.5" x14ac:dyDescent="0.25">
      <c r="A27" s="298" t="s">
        <v>549</v>
      </c>
      <c r="B27" s="6" t="s">
        <v>116</v>
      </c>
      <c r="C27" s="6" t="s">
        <v>159</v>
      </c>
      <c r="D27" s="6" t="s">
        <v>550</v>
      </c>
      <c r="E27" s="6"/>
      <c r="F27" s="294">
        <f>F33+F38+F28</f>
        <v>7874.24</v>
      </c>
    </row>
    <row r="28" spans="1:11" s="128" customFormat="1" ht="47.25" x14ac:dyDescent="0.25">
      <c r="A28" s="183" t="s">
        <v>866</v>
      </c>
      <c r="B28" s="346" t="s">
        <v>116</v>
      </c>
      <c r="C28" s="346" t="s">
        <v>159</v>
      </c>
      <c r="D28" s="346" t="s">
        <v>896</v>
      </c>
      <c r="E28" s="299"/>
      <c r="F28" s="295">
        <f>F29+F31</f>
        <v>6147.33</v>
      </c>
      <c r="G28" s="344"/>
      <c r="H28" s="344"/>
      <c r="I28" s="344"/>
      <c r="J28" s="344"/>
      <c r="K28" s="344"/>
    </row>
    <row r="29" spans="1:11" s="128" customFormat="1" ht="78.75" x14ac:dyDescent="0.25">
      <c r="A29" s="345" t="s">
        <v>119</v>
      </c>
      <c r="B29" s="346" t="s">
        <v>116</v>
      </c>
      <c r="C29" s="346" t="s">
        <v>159</v>
      </c>
      <c r="D29" s="346" t="s">
        <v>896</v>
      </c>
      <c r="E29" s="346" t="s">
        <v>120</v>
      </c>
      <c r="F29" s="295">
        <f>F30</f>
        <v>6097.63</v>
      </c>
      <c r="G29" s="344"/>
      <c r="H29" s="344"/>
      <c r="I29" s="344"/>
      <c r="J29" s="344"/>
      <c r="K29" s="344"/>
    </row>
    <row r="30" spans="1:11" s="128" customFormat="1" ht="31.5" x14ac:dyDescent="0.25">
      <c r="A30" s="345" t="s">
        <v>121</v>
      </c>
      <c r="B30" s="346" t="s">
        <v>116</v>
      </c>
      <c r="C30" s="346" t="s">
        <v>159</v>
      </c>
      <c r="D30" s="346" t="s">
        <v>896</v>
      </c>
      <c r="E30" s="346" t="s">
        <v>122</v>
      </c>
      <c r="F30" s="295">
        <f>'Пр.4 ведом.22'!G1348</f>
        <v>6097.63</v>
      </c>
      <c r="G30" s="344"/>
      <c r="H30" s="344"/>
      <c r="I30" s="344"/>
      <c r="J30" s="344"/>
      <c r="K30" s="344"/>
    </row>
    <row r="31" spans="1:11" s="128" customFormat="1" ht="31.5" x14ac:dyDescent="0.25">
      <c r="A31" s="345" t="s">
        <v>153</v>
      </c>
      <c r="B31" s="346" t="s">
        <v>116</v>
      </c>
      <c r="C31" s="346" t="s">
        <v>159</v>
      </c>
      <c r="D31" s="346" t="s">
        <v>896</v>
      </c>
      <c r="E31" s="346" t="s">
        <v>124</v>
      </c>
      <c r="F31" s="295">
        <f>F32</f>
        <v>49.7</v>
      </c>
      <c r="G31" s="344"/>
      <c r="H31" s="344"/>
      <c r="I31" s="344"/>
      <c r="J31" s="344"/>
      <c r="K31" s="344"/>
    </row>
    <row r="32" spans="1:11" s="128" customFormat="1" ht="47.25" x14ac:dyDescent="0.25">
      <c r="A32" s="345" t="s">
        <v>125</v>
      </c>
      <c r="B32" s="346" t="s">
        <v>116</v>
      </c>
      <c r="C32" s="346" t="s">
        <v>159</v>
      </c>
      <c r="D32" s="346" t="s">
        <v>896</v>
      </c>
      <c r="E32" s="346" t="s">
        <v>126</v>
      </c>
      <c r="F32" s="295">
        <f>'Пр.4 ведом.22'!G1350</f>
        <v>49.7</v>
      </c>
      <c r="G32" s="344"/>
      <c r="H32" s="344"/>
      <c r="I32" s="344"/>
      <c r="J32" s="344"/>
      <c r="K32" s="344"/>
    </row>
    <row r="33" spans="1:11" ht="31.5" x14ac:dyDescent="0.25">
      <c r="A33" s="345" t="s">
        <v>552</v>
      </c>
      <c r="B33" s="341" t="s">
        <v>116</v>
      </c>
      <c r="C33" s="341" t="s">
        <v>159</v>
      </c>
      <c r="D33" s="341" t="s">
        <v>553</v>
      </c>
      <c r="E33" s="341"/>
      <c r="F33" s="295">
        <f t="shared" ref="F33" si="4">F34+F36</f>
        <v>1726.91</v>
      </c>
    </row>
    <row r="34" spans="1:11" ht="78.75" x14ac:dyDescent="0.25">
      <c r="A34" s="20" t="s">
        <v>119</v>
      </c>
      <c r="B34" s="341" t="s">
        <v>116</v>
      </c>
      <c r="C34" s="341" t="s">
        <v>159</v>
      </c>
      <c r="D34" s="341" t="s">
        <v>553</v>
      </c>
      <c r="E34" s="341" t="s">
        <v>120</v>
      </c>
      <c r="F34" s="246">
        <f t="shared" ref="F34" si="5">F35</f>
        <v>1726.91</v>
      </c>
    </row>
    <row r="35" spans="1:11" ht="31.5" x14ac:dyDescent="0.25">
      <c r="A35" s="20" t="s">
        <v>121</v>
      </c>
      <c r="B35" s="341" t="s">
        <v>116</v>
      </c>
      <c r="C35" s="341" t="s">
        <v>159</v>
      </c>
      <c r="D35" s="341" t="s">
        <v>553</v>
      </c>
      <c r="E35" s="341" t="s">
        <v>122</v>
      </c>
      <c r="F35" s="246">
        <f>'Пр.4 ведом.22'!G1353</f>
        <v>1726.91</v>
      </c>
    </row>
    <row r="36" spans="1:11" ht="31.5" hidden="1" x14ac:dyDescent="0.25">
      <c r="A36" s="20" t="s">
        <v>123</v>
      </c>
      <c r="B36" s="341" t="s">
        <v>116</v>
      </c>
      <c r="C36" s="341" t="s">
        <v>159</v>
      </c>
      <c r="D36" s="341" t="s">
        <v>553</v>
      </c>
      <c r="E36" s="341" t="s">
        <v>124</v>
      </c>
      <c r="F36" s="295">
        <f t="shared" ref="F36" si="6">F37</f>
        <v>0</v>
      </c>
    </row>
    <row r="37" spans="1:11" ht="47.25" hidden="1" x14ac:dyDescent="0.25">
      <c r="A37" s="20" t="s">
        <v>125</v>
      </c>
      <c r="B37" s="341" t="s">
        <v>116</v>
      </c>
      <c r="C37" s="341" t="s">
        <v>159</v>
      </c>
      <c r="D37" s="341" t="s">
        <v>553</v>
      </c>
      <c r="E37" s="341" t="s">
        <v>126</v>
      </c>
      <c r="F37" s="295">
        <f>'Пр.4 ведом.22'!G1355</f>
        <v>0</v>
      </c>
    </row>
    <row r="38" spans="1:11" s="128" customFormat="1" ht="30.2" hidden="1" customHeight="1" x14ac:dyDescent="0.25">
      <c r="A38" s="345" t="s">
        <v>414</v>
      </c>
      <c r="B38" s="341" t="s">
        <v>116</v>
      </c>
      <c r="C38" s="341" t="s">
        <v>159</v>
      </c>
      <c r="D38" s="341" t="s">
        <v>551</v>
      </c>
      <c r="E38" s="341"/>
      <c r="F38" s="19">
        <f>F39</f>
        <v>0</v>
      </c>
      <c r="G38" s="344"/>
      <c r="H38" s="344"/>
      <c r="I38" s="344"/>
      <c r="J38" s="344"/>
      <c r="K38" s="344"/>
    </row>
    <row r="39" spans="1:11" s="128" customFormat="1" ht="85.7" hidden="1" customHeight="1" x14ac:dyDescent="0.25">
      <c r="A39" s="345" t="s">
        <v>119</v>
      </c>
      <c r="B39" s="341" t="s">
        <v>116</v>
      </c>
      <c r="C39" s="341" t="s">
        <v>159</v>
      </c>
      <c r="D39" s="341" t="s">
        <v>551</v>
      </c>
      <c r="E39" s="341" t="s">
        <v>120</v>
      </c>
      <c r="F39" s="19">
        <f>F40</f>
        <v>0</v>
      </c>
      <c r="G39" s="344"/>
      <c r="H39" s="344"/>
      <c r="I39" s="344"/>
      <c r="J39" s="344"/>
      <c r="K39" s="344"/>
    </row>
    <row r="40" spans="1:11" s="128" customFormat="1" ht="38.25" hidden="1" customHeight="1" x14ac:dyDescent="0.25">
      <c r="A40" s="345" t="s">
        <v>121</v>
      </c>
      <c r="B40" s="341" t="s">
        <v>116</v>
      </c>
      <c r="C40" s="341" t="s">
        <v>159</v>
      </c>
      <c r="D40" s="341" t="s">
        <v>551</v>
      </c>
      <c r="E40" s="341" t="s">
        <v>122</v>
      </c>
      <c r="F40" s="19">
        <f>'Пр.4 ведом.22'!G1358</f>
        <v>0</v>
      </c>
      <c r="G40" s="344"/>
      <c r="H40" s="344"/>
      <c r="I40" s="344"/>
      <c r="J40" s="344"/>
      <c r="K40" s="344"/>
    </row>
    <row r="41" spans="1:11" ht="70.5" customHeight="1" x14ac:dyDescent="0.25">
      <c r="A41" s="340" t="s">
        <v>138</v>
      </c>
      <c r="B41" s="6" t="s">
        <v>116</v>
      </c>
      <c r="C41" s="6" t="s">
        <v>139</v>
      </c>
      <c r="D41" s="6"/>
      <c r="E41" s="6"/>
      <c r="F41" s="294">
        <f>F42+F86</f>
        <v>74912.797959999996</v>
      </c>
      <c r="H41" s="71"/>
    </row>
    <row r="42" spans="1:11" ht="31.5" x14ac:dyDescent="0.25">
      <c r="A42" s="298" t="s">
        <v>486</v>
      </c>
      <c r="B42" s="6" t="s">
        <v>116</v>
      </c>
      <c r="C42" s="6" t="s">
        <v>139</v>
      </c>
      <c r="D42" s="6" t="s">
        <v>432</v>
      </c>
      <c r="E42" s="6"/>
      <c r="F42" s="294">
        <f>F43+F59</f>
        <v>74349.097959999999</v>
      </c>
    </row>
    <row r="43" spans="1:11" ht="15.75" x14ac:dyDescent="0.25">
      <c r="A43" s="298" t="s">
        <v>487</v>
      </c>
      <c r="B43" s="6" t="s">
        <v>116</v>
      </c>
      <c r="C43" s="6" t="s">
        <v>139</v>
      </c>
      <c r="D43" s="6" t="s">
        <v>433</v>
      </c>
      <c r="E43" s="6"/>
      <c r="F43" s="294">
        <f>F44+F53+F56</f>
        <v>70678.897960000002</v>
      </c>
    </row>
    <row r="44" spans="1:11" ht="31.5" x14ac:dyDescent="0.25">
      <c r="A44" s="20" t="s">
        <v>466</v>
      </c>
      <c r="B44" s="341" t="s">
        <v>116</v>
      </c>
      <c r="C44" s="341" t="s">
        <v>139</v>
      </c>
      <c r="D44" s="341" t="s">
        <v>434</v>
      </c>
      <c r="E44" s="341"/>
      <c r="F44" s="295">
        <f>F45+F47+F51+F49</f>
        <v>66577.847959999999</v>
      </c>
    </row>
    <row r="45" spans="1:11" ht="78.75" x14ac:dyDescent="0.25">
      <c r="A45" s="20" t="s">
        <v>119</v>
      </c>
      <c r="B45" s="341" t="s">
        <v>116</v>
      </c>
      <c r="C45" s="341" t="s">
        <v>139</v>
      </c>
      <c r="D45" s="341" t="s">
        <v>434</v>
      </c>
      <c r="E45" s="341" t="s">
        <v>120</v>
      </c>
      <c r="F45" s="246">
        <f t="shared" ref="F45" si="7">F46</f>
        <v>58142.055</v>
      </c>
    </row>
    <row r="46" spans="1:11" ht="31.5" x14ac:dyDescent="0.25">
      <c r="A46" s="20" t="s">
        <v>121</v>
      </c>
      <c r="B46" s="341" t="s">
        <v>116</v>
      </c>
      <c r="C46" s="341" t="s">
        <v>139</v>
      </c>
      <c r="D46" s="341" t="s">
        <v>434</v>
      </c>
      <c r="E46" s="341" t="s">
        <v>122</v>
      </c>
      <c r="F46" s="246">
        <f>'Пр.4 ведом.22'!G59+'Пр.4 ведом.22'!G622</f>
        <v>58142.055</v>
      </c>
    </row>
    <row r="47" spans="1:11" ht="31.5" x14ac:dyDescent="0.25">
      <c r="A47" s="20" t="s">
        <v>123</v>
      </c>
      <c r="B47" s="341" t="s">
        <v>116</v>
      </c>
      <c r="C47" s="341" t="s">
        <v>139</v>
      </c>
      <c r="D47" s="341" t="s">
        <v>434</v>
      </c>
      <c r="E47" s="341" t="s">
        <v>124</v>
      </c>
      <c r="F47" s="295">
        <f t="shared" ref="F47" si="8">F48</f>
        <v>8093.6689600000009</v>
      </c>
    </row>
    <row r="48" spans="1:11" ht="47.25" x14ac:dyDescent="0.25">
      <c r="A48" s="20" t="s">
        <v>125</v>
      </c>
      <c r="B48" s="341" t="s">
        <v>116</v>
      </c>
      <c r="C48" s="341" t="s">
        <v>139</v>
      </c>
      <c r="D48" s="341" t="s">
        <v>434</v>
      </c>
      <c r="E48" s="341" t="s">
        <v>126</v>
      </c>
      <c r="F48" s="295">
        <f>'Пр.4 ведом.22'!G61+'Пр.4 ведом.22'!G624</f>
        <v>8093.6689600000009</v>
      </c>
    </row>
    <row r="49" spans="1:11" s="128" customFormat="1" ht="21.2" hidden="1" customHeight="1" x14ac:dyDescent="0.25">
      <c r="A49" s="345" t="s">
        <v>177</v>
      </c>
      <c r="B49" s="341" t="s">
        <v>116</v>
      </c>
      <c r="C49" s="341" t="s">
        <v>139</v>
      </c>
      <c r="D49" s="341" t="s">
        <v>434</v>
      </c>
      <c r="E49" s="341" t="s">
        <v>178</v>
      </c>
      <c r="F49" s="295">
        <f>F50</f>
        <v>0</v>
      </c>
      <c r="G49" s="344"/>
      <c r="H49" s="344"/>
      <c r="I49" s="344"/>
      <c r="J49" s="344"/>
      <c r="K49" s="344"/>
    </row>
    <row r="50" spans="1:11" s="128" customFormat="1" ht="31.5" hidden="1" x14ac:dyDescent="0.25">
      <c r="A50" s="345" t="s">
        <v>179</v>
      </c>
      <c r="B50" s="341" t="s">
        <v>116</v>
      </c>
      <c r="C50" s="341" t="s">
        <v>139</v>
      </c>
      <c r="D50" s="341" t="s">
        <v>434</v>
      </c>
      <c r="E50" s="341" t="s">
        <v>180</v>
      </c>
      <c r="F50" s="295">
        <f>'Пр.4 ведом.22'!G63</f>
        <v>0</v>
      </c>
      <c r="G50" s="344"/>
      <c r="H50" s="344"/>
      <c r="I50" s="344"/>
      <c r="J50" s="344"/>
      <c r="K50" s="344"/>
    </row>
    <row r="51" spans="1:11" ht="15.75" x14ac:dyDescent="0.25">
      <c r="A51" s="20" t="s">
        <v>127</v>
      </c>
      <c r="B51" s="341" t="s">
        <v>116</v>
      </c>
      <c r="C51" s="341" t="s">
        <v>139</v>
      </c>
      <c r="D51" s="341" t="s">
        <v>434</v>
      </c>
      <c r="E51" s="341" t="s">
        <v>134</v>
      </c>
      <c r="F51" s="295">
        <f t="shared" ref="F51" si="9">F52</f>
        <v>342.12400000000002</v>
      </c>
    </row>
    <row r="52" spans="1:11" ht="15.75" x14ac:dyDescent="0.25">
      <c r="A52" s="20" t="s">
        <v>280</v>
      </c>
      <c r="B52" s="341" t="s">
        <v>116</v>
      </c>
      <c r="C52" s="341" t="s">
        <v>139</v>
      </c>
      <c r="D52" s="341" t="s">
        <v>434</v>
      </c>
      <c r="E52" s="341" t="s">
        <v>130</v>
      </c>
      <c r="F52" s="295">
        <f>'Пр.4 ведом.22'!G626+'Пр.4 ведом.22'!G65</f>
        <v>342.12400000000002</v>
      </c>
    </row>
    <row r="53" spans="1:11" ht="31.5" x14ac:dyDescent="0.25">
      <c r="A53" s="345" t="s">
        <v>140</v>
      </c>
      <c r="B53" s="346" t="s">
        <v>116</v>
      </c>
      <c r="C53" s="346" t="s">
        <v>139</v>
      </c>
      <c r="D53" s="341" t="s">
        <v>435</v>
      </c>
      <c r="E53" s="346"/>
      <c r="F53" s="246">
        <f>F54</f>
        <v>3008.05</v>
      </c>
    </row>
    <row r="54" spans="1:11" ht="78.75" x14ac:dyDescent="0.25">
      <c r="A54" s="345" t="s">
        <v>119</v>
      </c>
      <c r="B54" s="346" t="s">
        <v>116</v>
      </c>
      <c r="C54" s="346" t="s">
        <v>139</v>
      </c>
      <c r="D54" s="341" t="s">
        <v>435</v>
      </c>
      <c r="E54" s="346" t="s">
        <v>120</v>
      </c>
      <c r="F54" s="246">
        <f>F55</f>
        <v>3008.05</v>
      </c>
    </row>
    <row r="55" spans="1:11" ht="31.5" x14ac:dyDescent="0.25">
      <c r="A55" s="345" t="s">
        <v>121</v>
      </c>
      <c r="B55" s="346" t="s">
        <v>116</v>
      </c>
      <c r="C55" s="346" t="s">
        <v>139</v>
      </c>
      <c r="D55" s="341" t="s">
        <v>435</v>
      </c>
      <c r="E55" s="346" t="s">
        <v>122</v>
      </c>
      <c r="F55" s="246">
        <f>'Пр.4 ведом.22'!G68</f>
        <v>3008.05</v>
      </c>
    </row>
    <row r="56" spans="1:11" s="128" customFormat="1" ht="47.25" x14ac:dyDescent="0.25">
      <c r="A56" s="345" t="s">
        <v>414</v>
      </c>
      <c r="B56" s="341" t="s">
        <v>116</v>
      </c>
      <c r="C56" s="346" t="s">
        <v>139</v>
      </c>
      <c r="D56" s="341" t="s">
        <v>436</v>
      </c>
      <c r="E56" s="341"/>
      <c r="F56" s="19">
        <f>F57</f>
        <v>1093</v>
      </c>
      <c r="G56" s="344"/>
      <c r="H56" s="344"/>
      <c r="I56" s="344"/>
      <c r="J56" s="344"/>
      <c r="K56" s="344"/>
    </row>
    <row r="57" spans="1:11" s="128" customFormat="1" ht="78.75" x14ac:dyDescent="0.25">
      <c r="A57" s="345" t="s">
        <v>119</v>
      </c>
      <c r="B57" s="341" t="s">
        <v>116</v>
      </c>
      <c r="C57" s="346" t="s">
        <v>139</v>
      </c>
      <c r="D57" s="341" t="s">
        <v>436</v>
      </c>
      <c r="E57" s="341" t="s">
        <v>120</v>
      </c>
      <c r="F57" s="19">
        <f>F58</f>
        <v>1093</v>
      </c>
      <c r="G57" s="344"/>
      <c r="H57" s="344"/>
      <c r="I57" s="344"/>
      <c r="J57" s="344"/>
      <c r="K57" s="344"/>
    </row>
    <row r="58" spans="1:11" s="128" customFormat="1" ht="31.5" x14ac:dyDescent="0.25">
      <c r="A58" s="345" t="s">
        <v>121</v>
      </c>
      <c r="B58" s="341" t="s">
        <v>116</v>
      </c>
      <c r="C58" s="346" t="s">
        <v>139</v>
      </c>
      <c r="D58" s="341" t="s">
        <v>436</v>
      </c>
      <c r="E58" s="341" t="s">
        <v>122</v>
      </c>
      <c r="F58" s="19">
        <f>'Пр.4 ведом.22'!G71+'Пр.4 ведом.22'!G629</f>
        <v>1093</v>
      </c>
      <c r="G58" s="344"/>
      <c r="H58" s="344"/>
      <c r="I58" s="344"/>
      <c r="J58" s="344"/>
      <c r="K58" s="344"/>
    </row>
    <row r="59" spans="1:11" s="128" customFormat="1" ht="31.5" x14ac:dyDescent="0.25">
      <c r="A59" s="298" t="s">
        <v>458</v>
      </c>
      <c r="B59" s="6" t="s">
        <v>116</v>
      </c>
      <c r="C59" s="299" t="s">
        <v>139</v>
      </c>
      <c r="D59" s="6" t="s">
        <v>437</v>
      </c>
      <c r="E59" s="6"/>
      <c r="F59" s="294">
        <f>F66+F71+F76+F81</f>
        <v>3670.2000000000003</v>
      </c>
      <c r="G59" s="344"/>
      <c r="H59" s="344"/>
      <c r="I59" s="344"/>
      <c r="J59" s="344"/>
      <c r="K59" s="344"/>
    </row>
    <row r="60" spans="1:11" s="128" customFormat="1" ht="47.25" hidden="1" x14ac:dyDescent="0.25">
      <c r="A60" s="345" t="s">
        <v>149</v>
      </c>
      <c r="B60" s="341" t="s">
        <v>116</v>
      </c>
      <c r="C60" s="346" t="s">
        <v>139</v>
      </c>
      <c r="D60" s="341" t="s">
        <v>626</v>
      </c>
      <c r="E60" s="6"/>
      <c r="F60" s="9">
        <f>F61</f>
        <v>0</v>
      </c>
      <c r="G60" s="344"/>
      <c r="H60" s="344"/>
      <c r="I60" s="344"/>
      <c r="J60" s="344"/>
      <c r="K60" s="344"/>
    </row>
    <row r="61" spans="1:11" s="128" customFormat="1" ht="31.5" hidden="1" x14ac:dyDescent="0.25">
      <c r="A61" s="345" t="s">
        <v>123</v>
      </c>
      <c r="B61" s="341" t="s">
        <v>116</v>
      </c>
      <c r="C61" s="346" t="s">
        <v>139</v>
      </c>
      <c r="D61" s="341" t="s">
        <v>626</v>
      </c>
      <c r="E61" s="341" t="s">
        <v>124</v>
      </c>
      <c r="F61" s="9">
        <f t="shared" ref="F61" si="10">F62</f>
        <v>0</v>
      </c>
      <c r="G61" s="344"/>
      <c r="H61" s="344"/>
      <c r="I61" s="344"/>
      <c r="J61" s="344"/>
      <c r="K61" s="344"/>
    </row>
    <row r="62" spans="1:11" s="128" customFormat="1" ht="47.25" hidden="1" x14ac:dyDescent="0.25">
      <c r="A62" s="345" t="s">
        <v>125</v>
      </c>
      <c r="B62" s="341" t="s">
        <v>116</v>
      </c>
      <c r="C62" s="346" t="s">
        <v>139</v>
      </c>
      <c r="D62" s="341" t="s">
        <v>626</v>
      </c>
      <c r="E62" s="341" t="s">
        <v>126</v>
      </c>
      <c r="F62" s="9">
        <f>'Пр.4 ведом.22'!G75</f>
        <v>0</v>
      </c>
      <c r="G62" s="149">
        <f>F62+F63+F66+F81+F71+F76+F329+F1077+F1083</f>
        <v>7554.1</v>
      </c>
      <c r="H62" s="344"/>
      <c r="I62" s="344"/>
      <c r="J62" s="344"/>
      <c r="K62" s="344"/>
    </row>
    <row r="63" spans="1:11" s="128" customFormat="1" ht="47.25" hidden="1" x14ac:dyDescent="0.25">
      <c r="A63" s="22" t="s">
        <v>722</v>
      </c>
      <c r="B63" s="346" t="s">
        <v>116</v>
      </c>
      <c r="C63" s="346" t="s">
        <v>139</v>
      </c>
      <c r="D63" s="346" t="s">
        <v>721</v>
      </c>
      <c r="E63" s="346"/>
      <c r="F63" s="300">
        <f>F64</f>
        <v>0</v>
      </c>
      <c r="G63" s="344"/>
      <c r="H63" s="344"/>
      <c r="I63" s="344"/>
      <c r="J63" s="344"/>
      <c r="K63" s="344"/>
    </row>
    <row r="64" spans="1:11" s="128" customFormat="1" ht="31.5" hidden="1" x14ac:dyDescent="0.25">
      <c r="A64" s="20" t="s">
        <v>123</v>
      </c>
      <c r="B64" s="346" t="s">
        <v>116</v>
      </c>
      <c r="C64" s="346" t="s">
        <v>139</v>
      </c>
      <c r="D64" s="346" t="s">
        <v>721</v>
      </c>
      <c r="E64" s="346" t="s">
        <v>124</v>
      </c>
      <c r="F64" s="300">
        <f>F65</f>
        <v>0</v>
      </c>
      <c r="G64" s="344"/>
      <c r="H64" s="344"/>
      <c r="I64" s="344"/>
      <c r="J64" s="344"/>
      <c r="K64" s="344"/>
    </row>
    <row r="65" spans="1:11" s="128" customFormat="1" ht="47.25" hidden="1" x14ac:dyDescent="0.25">
      <c r="A65" s="20" t="s">
        <v>125</v>
      </c>
      <c r="B65" s="346" t="s">
        <v>116</v>
      </c>
      <c r="C65" s="346" t="s">
        <v>139</v>
      </c>
      <c r="D65" s="346" t="s">
        <v>721</v>
      </c>
      <c r="E65" s="346" t="s">
        <v>126</v>
      </c>
      <c r="F65" s="300"/>
      <c r="G65" s="344"/>
      <c r="H65" s="344"/>
      <c r="I65" s="344"/>
      <c r="J65" s="344"/>
      <c r="K65" s="344"/>
    </row>
    <row r="66" spans="1:11" s="128" customFormat="1" ht="47.25" x14ac:dyDescent="0.25">
      <c r="A66" s="29" t="s">
        <v>150</v>
      </c>
      <c r="B66" s="341" t="s">
        <v>116</v>
      </c>
      <c r="C66" s="346" t="s">
        <v>139</v>
      </c>
      <c r="D66" s="341" t="s">
        <v>489</v>
      </c>
      <c r="E66" s="341"/>
      <c r="F66" s="295">
        <f>F67+F69</f>
        <v>671</v>
      </c>
      <c r="G66" s="344"/>
      <c r="H66" s="344"/>
      <c r="I66" s="344"/>
      <c r="J66" s="344"/>
      <c r="K66" s="344"/>
    </row>
    <row r="67" spans="1:11" s="128" customFormat="1" ht="78.75" x14ac:dyDescent="0.25">
      <c r="A67" s="20" t="s">
        <v>119</v>
      </c>
      <c r="B67" s="341" t="s">
        <v>116</v>
      </c>
      <c r="C67" s="346" t="s">
        <v>139</v>
      </c>
      <c r="D67" s="341" t="s">
        <v>489</v>
      </c>
      <c r="E67" s="341" t="s">
        <v>120</v>
      </c>
      <c r="F67" s="295">
        <f t="shared" ref="F67" si="11">F68</f>
        <v>671</v>
      </c>
      <c r="G67" s="344"/>
      <c r="H67" s="344"/>
      <c r="I67" s="344"/>
      <c r="J67" s="344"/>
      <c r="K67" s="344"/>
    </row>
    <row r="68" spans="1:11" s="128" customFormat="1" ht="31.5" x14ac:dyDescent="0.25">
      <c r="A68" s="20" t="s">
        <v>121</v>
      </c>
      <c r="B68" s="341" t="s">
        <v>116</v>
      </c>
      <c r="C68" s="346" t="s">
        <v>139</v>
      </c>
      <c r="D68" s="341" t="s">
        <v>489</v>
      </c>
      <c r="E68" s="341" t="s">
        <v>122</v>
      </c>
      <c r="F68" s="295">
        <f>'Пр.4 ведом.22'!G78</f>
        <v>671</v>
      </c>
      <c r="G68" s="344"/>
      <c r="H68" s="344"/>
      <c r="I68" s="344"/>
      <c r="J68" s="344"/>
      <c r="K68" s="344"/>
    </row>
    <row r="69" spans="1:11" s="128" customFormat="1" ht="31.5" hidden="1" x14ac:dyDescent="0.25">
      <c r="A69" s="345" t="s">
        <v>123</v>
      </c>
      <c r="B69" s="341" t="s">
        <v>116</v>
      </c>
      <c r="C69" s="346" t="s">
        <v>139</v>
      </c>
      <c r="D69" s="341" t="s">
        <v>489</v>
      </c>
      <c r="E69" s="341" t="s">
        <v>124</v>
      </c>
      <c r="F69" s="295">
        <f>F70</f>
        <v>0</v>
      </c>
      <c r="G69" s="344"/>
      <c r="H69" s="344"/>
      <c r="I69" s="344"/>
      <c r="J69" s="344"/>
      <c r="K69" s="344"/>
    </row>
    <row r="70" spans="1:11" s="128" customFormat="1" ht="47.25" hidden="1" x14ac:dyDescent="0.25">
      <c r="A70" s="345" t="s">
        <v>125</v>
      </c>
      <c r="B70" s="341" t="s">
        <v>116</v>
      </c>
      <c r="C70" s="346" t="s">
        <v>139</v>
      </c>
      <c r="D70" s="341" t="s">
        <v>489</v>
      </c>
      <c r="E70" s="341" t="s">
        <v>126</v>
      </c>
      <c r="F70" s="295">
        <f>'Пр.4 ведом.22'!G80</f>
        <v>0</v>
      </c>
      <c r="G70" s="344"/>
      <c r="H70" s="344"/>
      <c r="I70" s="344"/>
      <c r="J70" s="344"/>
      <c r="K70" s="344"/>
    </row>
    <row r="71" spans="1:11" ht="47.25" x14ac:dyDescent="0.25">
      <c r="A71" s="29" t="s">
        <v>152</v>
      </c>
      <c r="B71" s="341" t="s">
        <v>116</v>
      </c>
      <c r="C71" s="346" t="s">
        <v>139</v>
      </c>
      <c r="D71" s="341" t="s">
        <v>490</v>
      </c>
      <c r="E71" s="341"/>
      <c r="F71" s="295">
        <f t="shared" ref="F71" si="12">F72+F74</f>
        <v>1420.8</v>
      </c>
    </row>
    <row r="72" spans="1:11" ht="81.75" customHeight="1" x14ac:dyDescent="0.25">
      <c r="A72" s="20" t="s">
        <v>119</v>
      </c>
      <c r="B72" s="341" t="s">
        <v>116</v>
      </c>
      <c r="C72" s="346" t="s">
        <v>139</v>
      </c>
      <c r="D72" s="341" t="s">
        <v>490</v>
      </c>
      <c r="E72" s="341" t="s">
        <v>120</v>
      </c>
      <c r="F72" s="295">
        <f t="shared" ref="F72" si="13">F73</f>
        <v>1336.6</v>
      </c>
    </row>
    <row r="73" spans="1:11" ht="36" customHeight="1" x14ac:dyDescent="0.25">
      <c r="A73" s="20" t="s">
        <v>121</v>
      </c>
      <c r="B73" s="341" t="s">
        <v>116</v>
      </c>
      <c r="C73" s="346" t="s">
        <v>139</v>
      </c>
      <c r="D73" s="341" t="s">
        <v>490</v>
      </c>
      <c r="E73" s="341" t="s">
        <v>122</v>
      </c>
      <c r="F73" s="295">
        <f>'Пр.4 ведом.22'!G83</f>
        <v>1336.6</v>
      </c>
    </row>
    <row r="74" spans="1:11" ht="31.5" x14ac:dyDescent="0.25">
      <c r="A74" s="20" t="s">
        <v>123</v>
      </c>
      <c r="B74" s="341" t="s">
        <v>116</v>
      </c>
      <c r="C74" s="346" t="s">
        <v>139</v>
      </c>
      <c r="D74" s="341" t="s">
        <v>490</v>
      </c>
      <c r="E74" s="341" t="s">
        <v>124</v>
      </c>
      <c r="F74" s="295">
        <f t="shared" ref="F74" si="14">F75</f>
        <v>84.2</v>
      </c>
    </row>
    <row r="75" spans="1:11" ht="47.25" x14ac:dyDescent="0.25">
      <c r="A75" s="20" t="s">
        <v>125</v>
      </c>
      <c r="B75" s="341" t="s">
        <v>116</v>
      </c>
      <c r="C75" s="346" t="s">
        <v>139</v>
      </c>
      <c r="D75" s="341" t="s">
        <v>490</v>
      </c>
      <c r="E75" s="341" t="s">
        <v>126</v>
      </c>
      <c r="F75" s="295">
        <f>'Пр.4 ведом.22'!G85</f>
        <v>84.2</v>
      </c>
    </row>
    <row r="76" spans="1:11" s="128" customFormat="1" ht="94.5" hidden="1" x14ac:dyDescent="0.25">
      <c r="A76" s="22" t="s">
        <v>717</v>
      </c>
      <c r="B76" s="346" t="s">
        <v>116</v>
      </c>
      <c r="C76" s="346" t="s">
        <v>139</v>
      </c>
      <c r="D76" s="346" t="s">
        <v>716</v>
      </c>
      <c r="E76" s="346"/>
      <c r="F76" s="300">
        <f>F77+F79</f>
        <v>0</v>
      </c>
      <c r="G76" s="344"/>
      <c r="H76" s="344"/>
      <c r="I76" s="344"/>
      <c r="J76" s="344"/>
      <c r="K76" s="344"/>
    </row>
    <row r="77" spans="1:11" s="128" customFormat="1" ht="78.75" hidden="1" x14ac:dyDescent="0.25">
      <c r="A77" s="345" t="s">
        <v>119</v>
      </c>
      <c r="B77" s="346" t="s">
        <v>116</v>
      </c>
      <c r="C77" s="346" t="s">
        <v>139</v>
      </c>
      <c r="D77" s="346" t="s">
        <v>716</v>
      </c>
      <c r="E77" s="346" t="s">
        <v>120</v>
      </c>
      <c r="F77" s="300">
        <f>F78</f>
        <v>0</v>
      </c>
      <c r="G77" s="344"/>
      <c r="H77" s="344"/>
      <c r="I77" s="344"/>
      <c r="J77" s="344"/>
      <c r="K77" s="344"/>
    </row>
    <row r="78" spans="1:11" s="128" customFormat="1" ht="31.5" hidden="1" x14ac:dyDescent="0.25">
      <c r="A78" s="345" t="s">
        <v>121</v>
      </c>
      <c r="B78" s="346" t="s">
        <v>116</v>
      </c>
      <c r="C78" s="346" t="s">
        <v>139</v>
      </c>
      <c r="D78" s="346" t="s">
        <v>716</v>
      </c>
      <c r="E78" s="346" t="s">
        <v>122</v>
      </c>
      <c r="F78" s="300">
        <f>'Пр.4 ведом.22'!G633</f>
        <v>0</v>
      </c>
      <c r="G78" s="344"/>
      <c r="H78" s="344"/>
      <c r="I78" s="344"/>
      <c r="J78" s="344"/>
      <c r="K78" s="344"/>
    </row>
    <row r="79" spans="1:11" s="343" customFormat="1" ht="31.5" hidden="1" x14ac:dyDescent="0.25">
      <c r="A79" s="345" t="s">
        <v>123</v>
      </c>
      <c r="B79" s="346" t="s">
        <v>116</v>
      </c>
      <c r="C79" s="346" t="s">
        <v>139</v>
      </c>
      <c r="D79" s="346" t="s">
        <v>716</v>
      </c>
      <c r="E79" s="346" t="s">
        <v>124</v>
      </c>
      <c r="F79" s="300">
        <f>F80</f>
        <v>0</v>
      </c>
      <c r="G79" s="344"/>
      <c r="H79" s="344"/>
      <c r="I79" s="344"/>
      <c r="J79" s="344"/>
      <c r="K79" s="344"/>
    </row>
    <row r="80" spans="1:11" s="343" customFormat="1" ht="47.25" hidden="1" x14ac:dyDescent="0.25">
      <c r="A80" s="345" t="s">
        <v>125</v>
      </c>
      <c r="B80" s="346" t="s">
        <v>116</v>
      </c>
      <c r="C80" s="346" t="s">
        <v>139</v>
      </c>
      <c r="D80" s="346" t="s">
        <v>716</v>
      </c>
      <c r="E80" s="346" t="s">
        <v>126</v>
      </c>
      <c r="F80" s="300">
        <f>'Пр.4 ведом.22'!G635</f>
        <v>0</v>
      </c>
      <c r="G80" s="344"/>
      <c r="H80" s="344"/>
      <c r="I80" s="344"/>
      <c r="J80" s="344"/>
      <c r="K80" s="344"/>
    </row>
    <row r="81" spans="1:11" s="343" customFormat="1" ht="47.25" x14ac:dyDescent="0.25">
      <c r="A81" s="345" t="s">
        <v>1165</v>
      </c>
      <c r="B81" s="341" t="s">
        <v>116</v>
      </c>
      <c r="C81" s="346" t="s">
        <v>139</v>
      </c>
      <c r="D81" s="341" t="s">
        <v>1174</v>
      </c>
      <c r="E81" s="341"/>
      <c r="F81" s="295">
        <f>F82+F84</f>
        <v>1578.4</v>
      </c>
      <c r="G81" s="344"/>
      <c r="H81" s="344"/>
      <c r="I81" s="344"/>
      <c r="J81" s="344"/>
      <c r="K81" s="344"/>
    </row>
    <row r="82" spans="1:11" s="343" customFormat="1" ht="78.75" x14ac:dyDescent="0.25">
      <c r="A82" s="20" t="s">
        <v>119</v>
      </c>
      <c r="B82" s="341" t="s">
        <v>116</v>
      </c>
      <c r="C82" s="346" t="s">
        <v>139</v>
      </c>
      <c r="D82" s="341" t="s">
        <v>1174</v>
      </c>
      <c r="E82" s="341" t="s">
        <v>120</v>
      </c>
      <c r="F82" s="295">
        <f t="shared" ref="F82" si="15">F83</f>
        <v>1500.6000000000001</v>
      </c>
      <c r="G82" s="344"/>
      <c r="H82" s="344"/>
      <c r="I82" s="344"/>
      <c r="J82" s="344"/>
      <c r="K82" s="344"/>
    </row>
    <row r="83" spans="1:11" s="343" customFormat="1" ht="31.5" x14ac:dyDescent="0.25">
      <c r="A83" s="20" t="s">
        <v>121</v>
      </c>
      <c r="B83" s="341" t="s">
        <v>116</v>
      </c>
      <c r="C83" s="346" t="s">
        <v>139</v>
      </c>
      <c r="D83" s="341" t="s">
        <v>1174</v>
      </c>
      <c r="E83" s="341" t="s">
        <v>122</v>
      </c>
      <c r="F83" s="295">
        <f>'Пр.4 ведом.22'!G88</f>
        <v>1500.6000000000001</v>
      </c>
      <c r="G83" s="344"/>
      <c r="H83" s="344"/>
      <c r="I83" s="344"/>
      <c r="J83" s="344"/>
      <c r="K83" s="344"/>
    </row>
    <row r="84" spans="1:11" s="343" customFormat="1" ht="31.5" x14ac:dyDescent="0.25">
      <c r="A84" s="345" t="s">
        <v>123</v>
      </c>
      <c r="B84" s="341" t="s">
        <v>116</v>
      </c>
      <c r="C84" s="346" t="s">
        <v>139</v>
      </c>
      <c r="D84" s="341" t="s">
        <v>1174</v>
      </c>
      <c r="E84" s="341" t="s">
        <v>124</v>
      </c>
      <c r="F84" s="295">
        <f>F85</f>
        <v>77.8</v>
      </c>
      <c r="G84" s="344"/>
      <c r="H84" s="344"/>
      <c r="I84" s="344"/>
      <c r="J84" s="344"/>
      <c r="K84" s="344"/>
    </row>
    <row r="85" spans="1:11" s="343" customFormat="1" ht="47.25" x14ac:dyDescent="0.25">
      <c r="A85" s="345" t="s">
        <v>125</v>
      </c>
      <c r="B85" s="341" t="s">
        <v>116</v>
      </c>
      <c r="C85" s="346" t="s">
        <v>139</v>
      </c>
      <c r="D85" s="341" t="s">
        <v>1174</v>
      </c>
      <c r="E85" s="341" t="s">
        <v>126</v>
      </c>
      <c r="F85" s="295">
        <f>'Пр.4 ведом.22'!G90</f>
        <v>77.8</v>
      </c>
      <c r="G85" s="344"/>
      <c r="H85" s="344"/>
      <c r="I85" s="344"/>
      <c r="J85" s="344"/>
      <c r="K85" s="344"/>
    </row>
    <row r="86" spans="1:11" s="128" customFormat="1" ht="47.25" x14ac:dyDescent="0.25">
      <c r="A86" s="298" t="s">
        <v>842</v>
      </c>
      <c r="B86" s="299" t="s">
        <v>116</v>
      </c>
      <c r="C86" s="299" t="s">
        <v>139</v>
      </c>
      <c r="D86" s="299" t="s">
        <v>143</v>
      </c>
      <c r="E86" s="299"/>
      <c r="F86" s="294">
        <f>F87+F91+F100</f>
        <v>563.70000000000005</v>
      </c>
      <c r="G86" s="344"/>
      <c r="H86" s="344"/>
      <c r="I86" s="344"/>
      <c r="J86" s="344"/>
      <c r="K86" s="344"/>
    </row>
    <row r="87" spans="1:11" s="128" customFormat="1" ht="63" x14ac:dyDescent="0.25">
      <c r="A87" s="196" t="s">
        <v>843</v>
      </c>
      <c r="B87" s="299" t="s">
        <v>116</v>
      </c>
      <c r="C87" s="299" t="s">
        <v>139</v>
      </c>
      <c r="D87" s="6" t="s">
        <v>423</v>
      </c>
      <c r="E87" s="299"/>
      <c r="F87" s="294">
        <f>F88</f>
        <v>450</v>
      </c>
      <c r="G87" s="344"/>
      <c r="H87" s="344"/>
      <c r="I87" s="344"/>
      <c r="J87" s="344"/>
      <c r="K87" s="344"/>
    </row>
    <row r="88" spans="1:11" s="128" customFormat="1" ht="47.25" x14ac:dyDescent="0.25">
      <c r="A88" s="20" t="s">
        <v>821</v>
      </c>
      <c r="B88" s="346" t="s">
        <v>116</v>
      </c>
      <c r="C88" s="346" t="s">
        <v>139</v>
      </c>
      <c r="D88" s="341" t="s">
        <v>416</v>
      </c>
      <c r="E88" s="346"/>
      <c r="F88" s="295">
        <f>F89</f>
        <v>450</v>
      </c>
      <c r="G88" s="344"/>
      <c r="H88" s="344"/>
      <c r="I88" s="344"/>
      <c r="J88" s="344"/>
      <c r="K88" s="344"/>
    </row>
    <row r="89" spans="1:11" s="128" customFormat="1" ht="31.5" x14ac:dyDescent="0.25">
      <c r="A89" s="345" t="s">
        <v>123</v>
      </c>
      <c r="B89" s="346" t="s">
        <v>116</v>
      </c>
      <c r="C89" s="346" t="s">
        <v>139</v>
      </c>
      <c r="D89" s="341" t="s">
        <v>416</v>
      </c>
      <c r="E89" s="346" t="s">
        <v>124</v>
      </c>
      <c r="F89" s="295">
        <f>F90</f>
        <v>450</v>
      </c>
      <c r="G89" s="344"/>
      <c r="H89" s="344"/>
      <c r="I89" s="344"/>
      <c r="J89" s="344"/>
      <c r="K89" s="344"/>
    </row>
    <row r="90" spans="1:11" s="128" customFormat="1" ht="47.25" x14ac:dyDescent="0.25">
      <c r="A90" s="345" t="s">
        <v>125</v>
      </c>
      <c r="B90" s="346" t="s">
        <v>116</v>
      </c>
      <c r="C90" s="346" t="s">
        <v>139</v>
      </c>
      <c r="D90" s="341" t="s">
        <v>416</v>
      </c>
      <c r="E90" s="346" t="s">
        <v>126</v>
      </c>
      <c r="F90" s="295">
        <f>'Пр.4 ведом.22'!G95</f>
        <v>450</v>
      </c>
      <c r="G90" s="344"/>
      <c r="H90" s="344"/>
      <c r="I90" s="344"/>
      <c r="J90" s="344"/>
      <c r="K90" s="344"/>
    </row>
    <row r="91" spans="1:11" s="128" customFormat="1" ht="63" x14ac:dyDescent="0.25">
      <c r="A91" s="141" t="s">
        <v>418</v>
      </c>
      <c r="B91" s="299" t="s">
        <v>116</v>
      </c>
      <c r="C91" s="299" t="s">
        <v>139</v>
      </c>
      <c r="D91" s="6" t="s">
        <v>424</v>
      </c>
      <c r="E91" s="299"/>
      <c r="F91" s="294">
        <f>F92+F97</f>
        <v>113.2</v>
      </c>
      <c r="G91" s="344"/>
      <c r="H91" s="344"/>
      <c r="I91" s="344"/>
      <c r="J91" s="344"/>
      <c r="K91" s="344"/>
    </row>
    <row r="92" spans="1:11" s="128" customFormat="1" ht="47.25" x14ac:dyDescent="0.25">
      <c r="A92" s="100" t="s">
        <v>144</v>
      </c>
      <c r="B92" s="346" t="s">
        <v>116</v>
      </c>
      <c r="C92" s="346" t="s">
        <v>139</v>
      </c>
      <c r="D92" s="341" t="s">
        <v>417</v>
      </c>
      <c r="E92" s="346"/>
      <c r="F92" s="295">
        <f>F93+F95</f>
        <v>113.2</v>
      </c>
      <c r="G92" s="344"/>
      <c r="H92" s="344"/>
      <c r="I92" s="344"/>
      <c r="J92" s="344"/>
      <c r="K92" s="344"/>
    </row>
    <row r="93" spans="1:11" s="128" customFormat="1" ht="78.75" x14ac:dyDescent="0.25">
      <c r="A93" s="345" t="s">
        <v>119</v>
      </c>
      <c r="B93" s="346" t="s">
        <v>116</v>
      </c>
      <c r="C93" s="346" t="s">
        <v>139</v>
      </c>
      <c r="D93" s="341" t="s">
        <v>417</v>
      </c>
      <c r="E93" s="346" t="s">
        <v>120</v>
      </c>
      <c r="F93" s="295">
        <f>F94</f>
        <v>37.200000000000003</v>
      </c>
      <c r="G93" s="344"/>
      <c r="H93" s="344"/>
      <c r="I93" s="344"/>
      <c r="J93" s="344"/>
      <c r="K93" s="344"/>
    </row>
    <row r="94" spans="1:11" s="128" customFormat="1" ht="31.5" x14ac:dyDescent="0.25">
      <c r="A94" s="345" t="s">
        <v>121</v>
      </c>
      <c r="B94" s="346" t="s">
        <v>116</v>
      </c>
      <c r="C94" s="346" t="s">
        <v>139</v>
      </c>
      <c r="D94" s="341" t="s">
        <v>417</v>
      </c>
      <c r="E94" s="346" t="s">
        <v>122</v>
      </c>
      <c r="F94" s="295">
        <f>'Пр.4 ведом.22'!G99</f>
        <v>37.200000000000003</v>
      </c>
      <c r="G94" s="344"/>
      <c r="H94" s="344"/>
      <c r="I94" s="344"/>
      <c r="J94" s="344"/>
      <c r="K94" s="344"/>
    </row>
    <row r="95" spans="1:11" s="128" customFormat="1" ht="31.5" x14ac:dyDescent="0.25">
      <c r="A95" s="345" t="s">
        <v>123</v>
      </c>
      <c r="B95" s="346" t="s">
        <v>116</v>
      </c>
      <c r="C95" s="346" t="s">
        <v>139</v>
      </c>
      <c r="D95" s="341" t="s">
        <v>417</v>
      </c>
      <c r="E95" s="346" t="s">
        <v>124</v>
      </c>
      <c r="F95" s="295">
        <f>F96</f>
        <v>76</v>
      </c>
      <c r="G95" s="344"/>
      <c r="H95" s="344"/>
      <c r="I95" s="344"/>
      <c r="J95" s="344"/>
      <c r="K95" s="344"/>
    </row>
    <row r="96" spans="1:11" s="128" customFormat="1" ht="47.25" x14ac:dyDescent="0.25">
      <c r="A96" s="345" t="s">
        <v>125</v>
      </c>
      <c r="B96" s="346" t="s">
        <v>116</v>
      </c>
      <c r="C96" s="346" t="s">
        <v>139</v>
      </c>
      <c r="D96" s="341" t="s">
        <v>417</v>
      </c>
      <c r="E96" s="346" t="s">
        <v>126</v>
      </c>
      <c r="F96" s="295">
        <f>'Пр.4 ведом.22'!G101</f>
        <v>76</v>
      </c>
      <c r="G96" s="344"/>
      <c r="H96" s="344"/>
      <c r="I96" s="344"/>
      <c r="J96" s="344"/>
      <c r="K96" s="344"/>
    </row>
    <row r="97" spans="1:11" s="128" customFormat="1" ht="47.25" hidden="1" x14ac:dyDescent="0.25">
      <c r="A97" s="22" t="s">
        <v>646</v>
      </c>
      <c r="B97" s="346" t="s">
        <v>116</v>
      </c>
      <c r="C97" s="346" t="s">
        <v>139</v>
      </c>
      <c r="D97" s="341" t="s">
        <v>554</v>
      </c>
      <c r="E97" s="346"/>
      <c r="F97" s="300">
        <f>F98</f>
        <v>0</v>
      </c>
      <c r="G97" s="344"/>
      <c r="H97" s="344"/>
      <c r="I97" s="344"/>
      <c r="J97" s="344"/>
      <c r="K97" s="344"/>
    </row>
    <row r="98" spans="1:11" s="128" customFormat="1" ht="31.5" hidden="1" x14ac:dyDescent="0.25">
      <c r="A98" s="345" t="s">
        <v>123</v>
      </c>
      <c r="B98" s="346" t="s">
        <v>116</v>
      </c>
      <c r="C98" s="346" t="s">
        <v>139</v>
      </c>
      <c r="D98" s="341" t="s">
        <v>554</v>
      </c>
      <c r="E98" s="346" t="s">
        <v>124</v>
      </c>
      <c r="F98" s="300">
        <f>F99</f>
        <v>0</v>
      </c>
      <c r="G98" s="344"/>
      <c r="H98" s="344"/>
      <c r="I98" s="344"/>
      <c r="J98" s="344"/>
      <c r="K98" s="344"/>
    </row>
    <row r="99" spans="1:11" s="128" customFormat="1" ht="47.25" hidden="1" x14ac:dyDescent="0.25">
      <c r="A99" s="345" t="s">
        <v>125</v>
      </c>
      <c r="B99" s="346" t="s">
        <v>116</v>
      </c>
      <c r="C99" s="346" t="s">
        <v>139</v>
      </c>
      <c r="D99" s="341" t="s">
        <v>554</v>
      </c>
      <c r="E99" s="346" t="s">
        <v>126</v>
      </c>
      <c r="F99" s="300"/>
      <c r="G99" s="344"/>
      <c r="H99" s="344"/>
      <c r="I99" s="344"/>
      <c r="J99" s="344"/>
      <c r="K99" s="344"/>
    </row>
    <row r="100" spans="1:11" s="128" customFormat="1" ht="63" x14ac:dyDescent="0.25">
      <c r="A100" s="142" t="s">
        <v>564</v>
      </c>
      <c r="B100" s="299" t="s">
        <v>116</v>
      </c>
      <c r="C100" s="299" t="s">
        <v>139</v>
      </c>
      <c r="D100" s="6" t="s">
        <v>425</v>
      </c>
      <c r="E100" s="299"/>
      <c r="F100" s="294">
        <f>F101</f>
        <v>0.5</v>
      </c>
      <c r="G100" s="344"/>
      <c r="H100" s="344"/>
      <c r="I100" s="344"/>
      <c r="J100" s="344"/>
      <c r="K100" s="344"/>
    </row>
    <row r="101" spans="1:11" s="128" customFormat="1" ht="47.25" x14ac:dyDescent="0.25">
      <c r="A101" s="23" t="s">
        <v>151</v>
      </c>
      <c r="B101" s="346" t="s">
        <v>116</v>
      </c>
      <c r="C101" s="346" t="s">
        <v>139</v>
      </c>
      <c r="D101" s="341" t="s">
        <v>419</v>
      </c>
      <c r="E101" s="346"/>
      <c r="F101" s="295">
        <f>F102</f>
        <v>0.5</v>
      </c>
      <c r="G101" s="344"/>
      <c r="H101" s="344"/>
      <c r="I101" s="344"/>
      <c r="J101" s="344"/>
      <c r="K101" s="344"/>
    </row>
    <row r="102" spans="1:11" s="128" customFormat="1" ht="31.5" x14ac:dyDescent="0.25">
      <c r="A102" s="345" t="s">
        <v>123</v>
      </c>
      <c r="B102" s="346" t="s">
        <v>116</v>
      </c>
      <c r="C102" s="346" t="s">
        <v>139</v>
      </c>
      <c r="D102" s="341" t="s">
        <v>419</v>
      </c>
      <c r="E102" s="346" t="s">
        <v>124</v>
      </c>
      <c r="F102" s="295">
        <f>F103</f>
        <v>0.5</v>
      </c>
      <c r="G102" s="344"/>
      <c r="H102" s="344"/>
      <c r="I102" s="344"/>
      <c r="J102" s="344"/>
      <c r="K102" s="344"/>
    </row>
    <row r="103" spans="1:11" s="128" customFormat="1" ht="47.25" x14ac:dyDescent="0.25">
      <c r="A103" s="345" t="s">
        <v>125</v>
      </c>
      <c r="B103" s="346" t="s">
        <v>116</v>
      </c>
      <c r="C103" s="346" t="s">
        <v>139</v>
      </c>
      <c r="D103" s="341" t="s">
        <v>419</v>
      </c>
      <c r="E103" s="346" t="s">
        <v>126</v>
      </c>
      <c r="F103" s="295">
        <f>'Пр.4 ведом.22'!G108</f>
        <v>0.5</v>
      </c>
      <c r="G103" s="344"/>
      <c r="H103" s="344"/>
      <c r="I103" s="344"/>
      <c r="J103" s="344"/>
      <c r="K103" s="344"/>
    </row>
    <row r="104" spans="1:11" ht="47.25" x14ac:dyDescent="0.25">
      <c r="A104" s="340" t="s">
        <v>117</v>
      </c>
      <c r="B104" s="6" t="s">
        <v>116</v>
      </c>
      <c r="C104" s="6" t="s">
        <v>118</v>
      </c>
      <c r="D104" s="6"/>
      <c r="E104" s="6"/>
      <c r="F104" s="294">
        <f t="shared" ref="F104" si="16">F105</f>
        <v>19700.849999999999</v>
      </c>
    </row>
    <row r="105" spans="1:11" ht="34.9" customHeight="1" x14ac:dyDescent="0.25">
      <c r="A105" s="298" t="s">
        <v>486</v>
      </c>
      <c r="B105" s="6" t="s">
        <v>116</v>
      </c>
      <c r="C105" s="6" t="s">
        <v>118</v>
      </c>
      <c r="D105" s="6" t="s">
        <v>432</v>
      </c>
      <c r="E105" s="6"/>
      <c r="F105" s="294">
        <f>F106+F117</f>
        <v>19700.849999999999</v>
      </c>
    </row>
    <row r="106" spans="1:11" ht="15.75" x14ac:dyDescent="0.25">
      <c r="A106" s="298" t="s">
        <v>487</v>
      </c>
      <c r="B106" s="6" t="s">
        <v>116</v>
      </c>
      <c r="C106" s="6" t="s">
        <v>118</v>
      </c>
      <c r="D106" s="6" t="s">
        <v>433</v>
      </c>
      <c r="E106" s="6"/>
      <c r="F106" s="294">
        <f>F107+F114</f>
        <v>16225</v>
      </c>
    </row>
    <row r="107" spans="1:11" ht="37.5" customHeight="1" x14ac:dyDescent="0.25">
      <c r="A107" s="20" t="s">
        <v>466</v>
      </c>
      <c r="B107" s="341" t="s">
        <v>116</v>
      </c>
      <c r="C107" s="341" t="s">
        <v>118</v>
      </c>
      <c r="D107" s="341" t="s">
        <v>434</v>
      </c>
      <c r="E107" s="341"/>
      <c r="F107" s="295">
        <f t="shared" ref="F107" si="17">F108+F110+F112</f>
        <v>15775</v>
      </c>
    </row>
    <row r="108" spans="1:11" ht="78.75" x14ac:dyDescent="0.25">
      <c r="A108" s="20" t="s">
        <v>119</v>
      </c>
      <c r="B108" s="341" t="s">
        <v>116</v>
      </c>
      <c r="C108" s="341" t="s">
        <v>118</v>
      </c>
      <c r="D108" s="341" t="s">
        <v>434</v>
      </c>
      <c r="E108" s="341" t="s">
        <v>120</v>
      </c>
      <c r="F108" s="295">
        <f t="shared" ref="F108" si="18">F109</f>
        <v>14333.7</v>
      </c>
    </row>
    <row r="109" spans="1:11" ht="31.5" x14ac:dyDescent="0.25">
      <c r="A109" s="20" t="s">
        <v>121</v>
      </c>
      <c r="B109" s="341" t="s">
        <v>116</v>
      </c>
      <c r="C109" s="341" t="s">
        <v>118</v>
      </c>
      <c r="D109" s="341" t="s">
        <v>434</v>
      </c>
      <c r="E109" s="341" t="s">
        <v>122</v>
      </c>
      <c r="F109" s="246">
        <f>'Пр.4 ведом.22'!G16+'Пр.4 ведом.22'!G114</f>
        <v>14333.7</v>
      </c>
    </row>
    <row r="110" spans="1:11" ht="31.5" x14ac:dyDescent="0.25">
      <c r="A110" s="20" t="s">
        <v>123</v>
      </c>
      <c r="B110" s="341" t="s">
        <v>116</v>
      </c>
      <c r="C110" s="341" t="s">
        <v>118</v>
      </c>
      <c r="D110" s="341" t="s">
        <v>434</v>
      </c>
      <c r="E110" s="341" t="s">
        <v>124</v>
      </c>
      <c r="F110" s="295">
        <f t="shared" ref="F110" si="19">F111</f>
        <v>1413.3</v>
      </c>
    </row>
    <row r="111" spans="1:11" ht="47.25" x14ac:dyDescent="0.25">
      <c r="A111" s="20" t="s">
        <v>125</v>
      </c>
      <c r="B111" s="341" t="s">
        <v>116</v>
      </c>
      <c r="C111" s="341" t="s">
        <v>118</v>
      </c>
      <c r="D111" s="341" t="s">
        <v>434</v>
      </c>
      <c r="E111" s="341" t="s">
        <v>126</v>
      </c>
      <c r="F111" s="295">
        <f>'Пр.4 ведом.22'!G18</f>
        <v>1413.3</v>
      </c>
    </row>
    <row r="112" spans="1:11" ht="15.75" x14ac:dyDescent="0.25">
      <c r="A112" s="20" t="s">
        <v>127</v>
      </c>
      <c r="B112" s="341" t="s">
        <v>116</v>
      </c>
      <c r="C112" s="341" t="s">
        <v>118</v>
      </c>
      <c r="D112" s="341" t="s">
        <v>434</v>
      </c>
      <c r="E112" s="341" t="s">
        <v>134</v>
      </c>
      <c r="F112" s="295">
        <f t="shared" ref="F112" si="20">F113</f>
        <v>28</v>
      </c>
    </row>
    <row r="113" spans="1:11" ht="15.75" x14ac:dyDescent="0.25">
      <c r="A113" s="20" t="s">
        <v>280</v>
      </c>
      <c r="B113" s="341" t="s">
        <v>116</v>
      </c>
      <c r="C113" s="341" t="s">
        <v>118</v>
      </c>
      <c r="D113" s="341" t="s">
        <v>434</v>
      </c>
      <c r="E113" s="341" t="s">
        <v>130</v>
      </c>
      <c r="F113" s="295">
        <f>'Пр.4 ведом.22'!G20</f>
        <v>28</v>
      </c>
    </row>
    <row r="114" spans="1:11" s="128" customFormat="1" ht="54" customHeight="1" x14ac:dyDescent="0.25">
      <c r="A114" s="345" t="s">
        <v>414</v>
      </c>
      <c r="B114" s="346" t="s">
        <v>116</v>
      </c>
      <c r="C114" s="346" t="s">
        <v>118</v>
      </c>
      <c r="D114" s="346" t="s">
        <v>436</v>
      </c>
      <c r="E114" s="346"/>
      <c r="F114" s="295">
        <f>F115</f>
        <v>450</v>
      </c>
      <c r="G114" s="344"/>
      <c r="H114" s="344"/>
      <c r="I114" s="344"/>
      <c r="J114" s="344"/>
      <c r="K114" s="344"/>
    </row>
    <row r="115" spans="1:11" s="128" customFormat="1" ht="80.45" customHeight="1" x14ac:dyDescent="0.25">
      <c r="A115" s="345" t="s">
        <v>119</v>
      </c>
      <c r="B115" s="346" t="s">
        <v>116</v>
      </c>
      <c r="C115" s="346" t="s">
        <v>118</v>
      </c>
      <c r="D115" s="346" t="s">
        <v>436</v>
      </c>
      <c r="E115" s="346" t="s">
        <v>120</v>
      </c>
      <c r="F115" s="295">
        <f>F116</f>
        <v>450</v>
      </c>
      <c r="G115" s="344"/>
      <c r="H115" s="344"/>
      <c r="I115" s="344"/>
      <c r="J115" s="344"/>
      <c r="K115" s="344"/>
    </row>
    <row r="116" spans="1:11" s="128" customFormat="1" ht="36" customHeight="1" x14ac:dyDescent="0.25">
      <c r="A116" s="345" t="s">
        <v>121</v>
      </c>
      <c r="B116" s="346" t="s">
        <v>116</v>
      </c>
      <c r="C116" s="346" t="s">
        <v>118</v>
      </c>
      <c r="D116" s="346" t="s">
        <v>436</v>
      </c>
      <c r="E116" s="346" t="s">
        <v>122</v>
      </c>
      <c r="F116" s="295">
        <f>'Пр.4 ведом.22'!G23+'Пр.4 ведом.22'!G117</f>
        <v>450</v>
      </c>
      <c r="G116" s="344"/>
      <c r="H116" s="344"/>
      <c r="I116" s="344"/>
      <c r="J116" s="344"/>
      <c r="K116" s="344"/>
    </row>
    <row r="117" spans="1:11" s="343" customFormat="1" ht="31.5" x14ac:dyDescent="0.25">
      <c r="A117" s="298" t="s">
        <v>1107</v>
      </c>
      <c r="B117" s="6" t="s">
        <v>116</v>
      </c>
      <c r="C117" s="6" t="s">
        <v>118</v>
      </c>
      <c r="D117" s="6" t="s">
        <v>1108</v>
      </c>
      <c r="E117" s="6"/>
      <c r="F117" s="294">
        <f>F118+F125+F128</f>
        <v>3475.85</v>
      </c>
      <c r="G117" s="344"/>
      <c r="H117" s="344"/>
      <c r="I117" s="344"/>
      <c r="J117" s="344"/>
      <c r="K117" s="344"/>
    </row>
    <row r="118" spans="1:11" s="343" customFormat="1" ht="31.5" x14ac:dyDescent="0.25">
      <c r="A118" s="345" t="s">
        <v>466</v>
      </c>
      <c r="B118" s="346" t="s">
        <v>116</v>
      </c>
      <c r="C118" s="346" t="s">
        <v>118</v>
      </c>
      <c r="D118" s="346" t="s">
        <v>1111</v>
      </c>
      <c r="E118" s="346"/>
      <c r="F118" s="295">
        <f>F120+F121+F123</f>
        <v>787.56</v>
      </c>
      <c r="G118" s="344"/>
      <c r="H118" s="344"/>
      <c r="I118" s="344"/>
      <c r="J118" s="344"/>
      <c r="K118" s="344"/>
    </row>
    <row r="119" spans="1:11" s="343" customFormat="1" ht="78.75" x14ac:dyDescent="0.25">
      <c r="A119" s="345" t="s">
        <v>119</v>
      </c>
      <c r="B119" s="346" t="s">
        <v>116</v>
      </c>
      <c r="C119" s="346" t="s">
        <v>118</v>
      </c>
      <c r="D119" s="346" t="s">
        <v>1111</v>
      </c>
      <c r="E119" s="346" t="s">
        <v>120</v>
      </c>
      <c r="F119" s="295">
        <f>F120</f>
        <v>773.51</v>
      </c>
      <c r="G119" s="344"/>
      <c r="H119" s="344"/>
      <c r="I119" s="344"/>
      <c r="J119" s="344"/>
      <c r="K119" s="344"/>
    </row>
    <row r="120" spans="1:11" s="343" customFormat="1" ht="31.5" x14ac:dyDescent="0.25">
      <c r="A120" s="345" t="s">
        <v>121</v>
      </c>
      <c r="B120" s="346" t="s">
        <v>116</v>
      </c>
      <c r="C120" s="346" t="s">
        <v>118</v>
      </c>
      <c r="D120" s="346" t="s">
        <v>1111</v>
      </c>
      <c r="E120" s="346" t="s">
        <v>122</v>
      </c>
      <c r="F120" s="295">
        <f>'Пр.4 ведом.22'!G604</f>
        <v>773.51</v>
      </c>
      <c r="G120" s="344"/>
      <c r="H120" s="344"/>
      <c r="I120" s="344"/>
      <c r="J120" s="344"/>
      <c r="K120" s="344"/>
    </row>
    <row r="121" spans="1:11" s="343" customFormat="1" ht="31.5" x14ac:dyDescent="0.25">
      <c r="A121" s="345" t="s">
        <v>153</v>
      </c>
      <c r="B121" s="346" t="s">
        <v>116</v>
      </c>
      <c r="C121" s="346" t="s">
        <v>118</v>
      </c>
      <c r="D121" s="346" t="s">
        <v>1111</v>
      </c>
      <c r="E121" s="346" t="s">
        <v>124</v>
      </c>
      <c r="F121" s="295">
        <f>F122</f>
        <v>13</v>
      </c>
      <c r="G121" s="344"/>
      <c r="H121" s="344"/>
      <c r="I121" s="344"/>
      <c r="J121" s="344"/>
      <c r="K121" s="344"/>
    </row>
    <row r="122" spans="1:11" s="343" customFormat="1" ht="47.25" x14ac:dyDescent="0.25">
      <c r="A122" s="345" t="s">
        <v>125</v>
      </c>
      <c r="B122" s="346" t="s">
        <v>116</v>
      </c>
      <c r="C122" s="346" t="s">
        <v>118</v>
      </c>
      <c r="D122" s="346" t="s">
        <v>1111</v>
      </c>
      <c r="E122" s="346" t="s">
        <v>126</v>
      </c>
      <c r="F122" s="295">
        <f>'Пр.4 ведом.22'!G606</f>
        <v>13</v>
      </c>
      <c r="G122" s="344"/>
      <c r="H122" s="344"/>
      <c r="I122" s="344"/>
      <c r="J122" s="344"/>
      <c r="K122" s="344"/>
    </row>
    <row r="123" spans="1:11" s="343" customFormat="1" ht="15.75" x14ac:dyDescent="0.25">
      <c r="A123" s="345" t="s">
        <v>127</v>
      </c>
      <c r="B123" s="346" t="s">
        <v>116</v>
      </c>
      <c r="C123" s="346" t="s">
        <v>118</v>
      </c>
      <c r="D123" s="346" t="s">
        <v>1111</v>
      </c>
      <c r="E123" s="346" t="s">
        <v>134</v>
      </c>
      <c r="F123" s="295">
        <f>F124</f>
        <v>1.05</v>
      </c>
      <c r="G123" s="344"/>
      <c r="H123" s="344"/>
      <c r="I123" s="344"/>
      <c r="J123" s="344"/>
      <c r="K123" s="344"/>
    </row>
    <row r="124" spans="1:11" s="343" customFormat="1" ht="15.75" x14ac:dyDescent="0.25">
      <c r="A124" s="345" t="s">
        <v>280</v>
      </c>
      <c r="B124" s="346" t="s">
        <v>116</v>
      </c>
      <c r="C124" s="346" t="s">
        <v>118</v>
      </c>
      <c r="D124" s="346" t="s">
        <v>1111</v>
      </c>
      <c r="E124" s="346" t="s">
        <v>130</v>
      </c>
      <c r="F124" s="295">
        <f>'Пр.4 ведом.22'!G608</f>
        <v>1.05</v>
      </c>
      <c r="G124" s="344"/>
      <c r="H124" s="344"/>
      <c r="I124" s="344"/>
      <c r="J124" s="344"/>
      <c r="K124" s="344"/>
    </row>
    <row r="125" spans="1:11" s="343" customFormat="1" ht="47.25" x14ac:dyDescent="0.25">
      <c r="A125" s="345" t="s">
        <v>1109</v>
      </c>
      <c r="B125" s="346" t="s">
        <v>116</v>
      </c>
      <c r="C125" s="346" t="s">
        <v>118</v>
      </c>
      <c r="D125" s="346" t="s">
        <v>1110</v>
      </c>
      <c r="E125" s="346"/>
      <c r="F125" s="295">
        <f>F126</f>
        <v>2688.29</v>
      </c>
      <c r="G125" s="344"/>
      <c r="H125" s="344"/>
      <c r="I125" s="344"/>
      <c r="J125" s="344"/>
      <c r="K125" s="344"/>
    </row>
    <row r="126" spans="1:11" s="343" customFormat="1" ht="78.75" x14ac:dyDescent="0.25">
      <c r="A126" s="345" t="s">
        <v>119</v>
      </c>
      <c r="B126" s="346" t="s">
        <v>116</v>
      </c>
      <c r="C126" s="346" t="s">
        <v>118</v>
      </c>
      <c r="D126" s="346" t="s">
        <v>1110</v>
      </c>
      <c r="E126" s="346" t="s">
        <v>120</v>
      </c>
      <c r="F126" s="295">
        <f>F127</f>
        <v>2688.29</v>
      </c>
      <c r="G126" s="344"/>
      <c r="H126" s="344"/>
      <c r="I126" s="344"/>
      <c r="J126" s="344"/>
      <c r="K126" s="344"/>
    </row>
    <row r="127" spans="1:11" s="343" customFormat="1" ht="31.5" x14ac:dyDescent="0.25">
      <c r="A127" s="345" t="s">
        <v>121</v>
      </c>
      <c r="B127" s="346" t="s">
        <v>116</v>
      </c>
      <c r="C127" s="346" t="s">
        <v>118</v>
      </c>
      <c r="D127" s="346" t="s">
        <v>1110</v>
      </c>
      <c r="E127" s="346" t="s">
        <v>122</v>
      </c>
      <c r="F127" s="295">
        <f>'Пр.4 ведом.22'!G611</f>
        <v>2688.29</v>
      </c>
      <c r="G127" s="344"/>
      <c r="H127" s="344"/>
      <c r="I127" s="344"/>
      <c r="J127" s="344"/>
      <c r="K127" s="344"/>
    </row>
    <row r="128" spans="1:11" s="343" customFormat="1" ht="47.25" hidden="1" x14ac:dyDescent="0.25">
      <c r="A128" s="345" t="s">
        <v>414</v>
      </c>
      <c r="B128" s="346" t="s">
        <v>116</v>
      </c>
      <c r="C128" s="346" t="s">
        <v>118</v>
      </c>
      <c r="D128" s="346" t="s">
        <v>1175</v>
      </c>
      <c r="E128" s="346"/>
      <c r="F128" s="295">
        <f>F129</f>
        <v>0</v>
      </c>
      <c r="G128" s="344"/>
      <c r="H128" s="344"/>
      <c r="I128" s="344"/>
      <c r="J128" s="344"/>
      <c r="K128" s="344"/>
    </row>
    <row r="129" spans="1:11" s="343" customFormat="1" ht="78.75" hidden="1" x14ac:dyDescent="0.25">
      <c r="A129" s="345" t="s">
        <v>119</v>
      </c>
      <c r="B129" s="346" t="s">
        <v>116</v>
      </c>
      <c r="C129" s="346" t="s">
        <v>118</v>
      </c>
      <c r="D129" s="346" t="s">
        <v>1175</v>
      </c>
      <c r="E129" s="346" t="s">
        <v>120</v>
      </c>
      <c r="F129" s="295">
        <f>F130</f>
        <v>0</v>
      </c>
      <c r="G129" s="344"/>
      <c r="H129" s="344"/>
      <c r="I129" s="344"/>
      <c r="J129" s="344"/>
      <c r="K129" s="344"/>
    </row>
    <row r="130" spans="1:11" s="343" customFormat="1" ht="36" hidden="1" customHeight="1" x14ac:dyDescent="0.25">
      <c r="A130" s="345" t="s">
        <v>121</v>
      </c>
      <c r="B130" s="346" t="s">
        <v>116</v>
      </c>
      <c r="C130" s="346" t="s">
        <v>118</v>
      </c>
      <c r="D130" s="346" t="s">
        <v>1175</v>
      </c>
      <c r="E130" s="346" t="s">
        <v>122</v>
      </c>
      <c r="F130" s="295">
        <f>'Пр.4 ведом.22'!G614</f>
        <v>0</v>
      </c>
      <c r="G130" s="344"/>
      <c r="H130" s="344"/>
      <c r="I130" s="344"/>
      <c r="J130" s="344"/>
      <c r="K130" s="344"/>
    </row>
    <row r="131" spans="1:11" s="128" customFormat="1" ht="20.25" hidden="1" customHeight="1" x14ac:dyDescent="0.25">
      <c r="A131" s="298" t="s">
        <v>696</v>
      </c>
      <c r="B131" s="299" t="s">
        <v>116</v>
      </c>
      <c r="C131" s="299" t="s">
        <v>187</v>
      </c>
      <c r="D131" s="299"/>
      <c r="E131" s="346"/>
      <c r="F131" s="297">
        <f>F132</f>
        <v>0</v>
      </c>
      <c r="G131" s="344"/>
      <c r="H131" s="344"/>
      <c r="I131" s="344"/>
      <c r="J131" s="344"/>
      <c r="K131" s="344"/>
    </row>
    <row r="132" spans="1:11" s="128" customFormat="1" ht="23.25" hidden="1" customHeight="1" x14ac:dyDescent="0.25">
      <c r="A132" s="298" t="s">
        <v>133</v>
      </c>
      <c r="B132" s="299" t="s">
        <v>116</v>
      </c>
      <c r="C132" s="299" t="s">
        <v>187</v>
      </c>
      <c r="D132" s="299" t="s">
        <v>440</v>
      </c>
      <c r="E132" s="346"/>
      <c r="F132" s="297">
        <f>F133</f>
        <v>0</v>
      </c>
      <c r="G132" s="344"/>
      <c r="H132" s="344"/>
      <c r="I132" s="344"/>
      <c r="J132" s="344"/>
      <c r="K132" s="344"/>
    </row>
    <row r="133" spans="1:11" s="128" customFormat="1" ht="36" hidden="1" customHeight="1" x14ac:dyDescent="0.25">
      <c r="A133" s="298" t="s">
        <v>444</v>
      </c>
      <c r="B133" s="299" t="s">
        <v>116</v>
      </c>
      <c r="C133" s="299" t="s">
        <v>187</v>
      </c>
      <c r="D133" s="299" t="s">
        <v>439</v>
      </c>
      <c r="E133" s="346"/>
      <c r="F133" s="297">
        <f>F134</f>
        <v>0</v>
      </c>
      <c r="G133" s="344"/>
      <c r="H133" s="344"/>
      <c r="I133" s="344"/>
      <c r="J133" s="344"/>
      <c r="K133" s="344"/>
    </row>
    <row r="134" spans="1:11" s="128" customFormat="1" ht="24" hidden="1" customHeight="1" x14ac:dyDescent="0.25">
      <c r="A134" s="29" t="s">
        <v>154</v>
      </c>
      <c r="B134" s="346" t="s">
        <v>116</v>
      </c>
      <c r="C134" s="346" t="s">
        <v>187</v>
      </c>
      <c r="D134" s="346" t="s">
        <v>695</v>
      </c>
      <c r="E134" s="346"/>
      <c r="F134" s="300">
        <f>F135+F137</f>
        <v>0</v>
      </c>
      <c r="G134" s="344"/>
      <c r="H134" s="344"/>
      <c r="I134" s="344"/>
      <c r="J134" s="344"/>
      <c r="K134" s="344"/>
    </row>
    <row r="135" spans="1:11" s="128" customFormat="1" ht="78.75" hidden="1" customHeight="1" x14ac:dyDescent="0.25">
      <c r="A135" s="345" t="s">
        <v>119</v>
      </c>
      <c r="B135" s="346" t="s">
        <v>116</v>
      </c>
      <c r="C135" s="346" t="s">
        <v>187</v>
      </c>
      <c r="D135" s="346" t="s">
        <v>695</v>
      </c>
      <c r="E135" s="346" t="s">
        <v>120</v>
      </c>
      <c r="F135" s="300">
        <f>F136</f>
        <v>0</v>
      </c>
      <c r="G135" s="344"/>
      <c r="H135" s="344"/>
      <c r="I135" s="344"/>
      <c r="J135" s="344"/>
      <c r="K135" s="344"/>
    </row>
    <row r="136" spans="1:11" s="128" customFormat="1" ht="36" hidden="1" customHeight="1" x14ac:dyDescent="0.25">
      <c r="A136" s="345" t="s">
        <v>121</v>
      </c>
      <c r="B136" s="346" t="s">
        <v>116</v>
      </c>
      <c r="C136" s="346" t="s">
        <v>187</v>
      </c>
      <c r="D136" s="346" t="s">
        <v>695</v>
      </c>
      <c r="E136" s="346" t="s">
        <v>122</v>
      </c>
      <c r="F136" s="300">
        <f>'Пр.4 ведом.22'!G123</f>
        <v>0</v>
      </c>
      <c r="G136" s="344"/>
      <c r="H136" s="344"/>
      <c r="I136" s="344"/>
      <c r="J136" s="344"/>
      <c r="K136" s="344"/>
    </row>
    <row r="137" spans="1:11" s="128" customFormat="1" ht="36" hidden="1" customHeight="1" x14ac:dyDescent="0.25">
      <c r="A137" s="345" t="s">
        <v>153</v>
      </c>
      <c r="B137" s="346" t="s">
        <v>116</v>
      </c>
      <c r="C137" s="346" t="s">
        <v>187</v>
      </c>
      <c r="D137" s="346" t="s">
        <v>695</v>
      </c>
      <c r="E137" s="346" t="s">
        <v>124</v>
      </c>
      <c r="F137" s="300">
        <f>F138</f>
        <v>0</v>
      </c>
      <c r="G137" s="344"/>
      <c r="H137" s="344"/>
      <c r="I137" s="344"/>
      <c r="J137" s="344"/>
      <c r="K137" s="344"/>
    </row>
    <row r="138" spans="1:11" s="128" customFormat="1" ht="36" hidden="1" customHeight="1" x14ac:dyDescent="0.25">
      <c r="A138" s="345" t="s">
        <v>125</v>
      </c>
      <c r="B138" s="346" t="s">
        <v>116</v>
      </c>
      <c r="C138" s="346" t="s">
        <v>187</v>
      </c>
      <c r="D138" s="346" t="s">
        <v>695</v>
      </c>
      <c r="E138" s="346" t="s">
        <v>126</v>
      </c>
      <c r="F138" s="300">
        <f>'Пр.4 ведом.22'!G125</f>
        <v>0</v>
      </c>
      <c r="G138" s="344"/>
      <c r="H138" s="344"/>
      <c r="I138" s="344"/>
      <c r="J138" s="344"/>
      <c r="K138" s="344"/>
    </row>
    <row r="139" spans="1:11" s="128" customFormat="1" ht="22.7" customHeight="1" x14ac:dyDescent="0.25">
      <c r="A139" s="298" t="s">
        <v>895</v>
      </c>
      <c r="B139" s="299" t="s">
        <v>116</v>
      </c>
      <c r="C139" s="299" t="s">
        <v>251</v>
      </c>
      <c r="D139" s="299"/>
      <c r="E139" s="299"/>
      <c r="F139" s="297">
        <f>F140</f>
        <v>75.095000000000027</v>
      </c>
      <c r="G139" s="344"/>
      <c r="H139" s="344"/>
      <c r="I139" s="344"/>
      <c r="J139" s="344"/>
      <c r="K139" s="344"/>
    </row>
    <row r="140" spans="1:11" s="128" customFormat="1" ht="18.399999999999999" customHeight="1" x14ac:dyDescent="0.25">
      <c r="A140" s="298" t="s">
        <v>133</v>
      </c>
      <c r="B140" s="299" t="s">
        <v>116</v>
      </c>
      <c r="C140" s="299" t="s">
        <v>251</v>
      </c>
      <c r="D140" s="299" t="s">
        <v>440</v>
      </c>
      <c r="E140" s="299"/>
      <c r="F140" s="297">
        <f t="shared" ref="F140:F142" si="21">F141</f>
        <v>75.095000000000027</v>
      </c>
      <c r="G140" s="344"/>
      <c r="H140" s="344"/>
      <c r="I140" s="344"/>
      <c r="J140" s="344"/>
      <c r="K140" s="344"/>
    </row>
    <row r="141" spans="1:11" s="128" customFormat="1" ht="36" customHeight="1" x14ac:dyDescent="0.25">
      <c r="A141" s="298" t="s">
        <v>444</v>
      </c>
      <c r="B141" s="299" t="s">
        <v>116</v>
      </c>
      <c r="C141" s="299" t="s">
        <v>251</v>
      </c>
      <c r="D141" s="299" t="s">
        <v>439</v>
      </c>
      <c r="E141" s="299"/>
      <c r="F141" s="297">
        <f t="shared" si="21"/>
        <v>75.095000000000027</v>
      </c>
      <c r="G141" s="344"/>
      <c r="H141" s="344"/>
      <c r="I141" s="344"/>
      <c r="J141" s="344"/>
      <c r="K141" s="344"/>
    </row>
    <row r="142" spans="1:11" s="128" customFormat="1" ht="16.350000000000001" customHeight="1" x14ac:dyDescent="0.25">
      <c r="A142" s="345" t="s">
        <v>686</v>
      </c>
      <c r="B142" s="346" t="s">
        <v>116</v>
      </c>
      <c r="C142" s="346" t="s">
        <v>251</v>
      </c>
      <c r="D142" s="346" t="s">
        <v>687</v>
      </c>
      <c r="E142" s="346"/>
      <c r="F142" s="300">
        <f t="shared" si="21"/>
        <v>75.095000000000027</v>
      </c>
      <c r="G142" s="344"/>
      <c r="H142" s="344"/>
      <c r="I142" s="344"/>
      <c r="J142" s="344"/>
      <c r="K142" s="344"/>
    </row>
    <row r="143" spans="1:11" s="128" customFormat="1" ht="23.85" customHeight="1" x14ac:dyDescent="0.25">
      <c r="A143" s="345" t="s">
        <v>127</v>
      </c>
      <c r="B143" s="346" t="s">
        <v>116</v>
      </c>
      <c r="C143" s="346" t="s">
        <v>251</v>
      </c>
      <c r="D143" s="346" t="s">
        <v>687</v>
      </c>
      <c r="E143" s="346" t="s">
        <v>134</v>
      </c>
      <c r="F143" s="300">
        <f>F144</f>
        <v>75.095000000000027</v>
      </c>
      <c r="G143" s="344"/>
      <c r="H143" s="344"/>
      <c r="I143" s="344"/>
      <c r="J143" s="344"/>
      <c r="K143" s="344"/>
    </row>
    <row r="144" spans="1:11" s="128" customFormat="1" ht="19.7" customHeight="1" x14ac:dyDescent="0.25">
      <c r="A144" s="345" t="s">
        <v>686</v>
      </c>
      <c r="B144" s="346" t="s">
        <v>116</v>
      </c>
      <c r="C144" s="346" t="s">
        <v>251</v>
      </c>
      <c r="D144" s="346" t="s">
        <v>687</v>
      </c>
      <c r="E144" s="346" t="s">
        <v>688</v>
      </c>
      <c r="F144" s="300">
        <f>'Пр.4 ведом.22'!G29</f>
        <v>75.095000000000027</v>
      </c>
      <c r="G144" s="344"/>
      <c r="H144" s="344"/>
      <c r="I144" s="344"/>
      <c r="J144" s="344"/>
      <c r="K144" s="344"/>
    </row>
    <row r="145" spans="1:11" ht="15.75" x14ac:dyDescent="0.25">
      <c r="A145" s="340" t="s">
        <v>131</v>
      </c>
      <c r="B145" s="6" t="s">
        <v>116</v>
      </c>
      <c r="C145" s="6" t="s">
        <v>132</v>
      </c>
      <c r="D145" s="6"/>
      <c r="E145" s="6"/>
      <c r="F145" s="294">
        <f>F146+F186+F202+F219+F228+F233+F243+F198+F238</f>
        <v>92009.748149999999</v>
      </c>
      <c r="H145" s="71"/>
      <c r="J145" s="71"/>
    </row>
    <row r="146" spans="1:11" s="128" customFormat="1" ht="15.75" x14ac:dyDescent="0.25">
      <c r="A146" s="298" t="s">
        <v>133</v>
      </c>
      <c r="B146" s="299" t="s">
        <v>116</v>
      </c>
      <c r="C146" s="299" t="s">
        <v>132</v>
      </c>
      <c r="D146" s="299" t="s">
        <v>440</v>
      </c>
      <c r="E146" s="299"/>
      <c r="F146" s="294">
        <f>F147+F159+F177</f>
        <v>90351.841639999999</v>
      </c>
      <c r="G146" s="344"/>
      <c r="H146" s="71"/>
      <c r="I146" s="344"/>
      <c r="J146" s="71"/>
      <c r="K146" s="71">
        <f>F146+F542+F1012</f>
        <v>118671.84162000001</v>
      </c>
    </row>
    <row r="147" spans="1:11" s="128" customFormat="1" ht="15.75" x14ac:dyDescent="0.25">
      <c r="A147" s="298" t="s">
        <v>517</v>
      </c>
      <c r="B147" s="299" t="s">
        <v>116</v>
      </c>
      <c r="C147" s="299" t="s">
        <v>132</v>
      </c>
      <c r="D147" s="299" t="s">
        <v>516</v>
      </c>
      <c r="E147" s="299"/>
      <c r="F147" s="248">
        <f>F151+F148</f>
        <v>57319.74</v>
      </c>
      <c r="G147" s="344"/>
      <c r="H147" s="71"/>
      <c r="I147" s="344"/>
      <c r="J147" s="71"/>
      <c r="K147" s="344"/>
    </row>
    <row r="148" spans="1:11" s="128" customFormat="1" ht="47.25" x14ac:dyDescent="0.25">
      <c r="A148" s="345" t="s">
        <v>414</v>
      </c>
      <c r="B148" s="346" t="s">
        <v>116</v>
      </c>
      <c r="C148" s="346" t="s">
        <v>132</v>
      </c>
      <c r="D148" s="346" t="s">
        <v>519</v>
      </c>
      <c r="E148" s="346"/>
      <c r="F148" s="295">
        <f>F149</f>
        <v>890.1</v>
      </c>
      <c r="G148" s="344"/>
      <c r="H148" s="71"/>
      <c r="I148" s="344"/>
      <c r="J148" s="71"/>
      <c r="K148" s="344"/>
    </row>
    <row r="149" spans="1:11" s="128" customFormat="1" ht="78.75" x14ac:dyDescent="0.25">
      <c r="A149" s="345" t="s">
        <v>119</v>
      </c>
      <c r="B149" s="346" t="s">
        <v>116</v>
      </c>
      <c r="C149" s="346" t="s">
        <v>132</v>
      </c>
      <c r="D149" s="346" t="s">
        <v>519</v>
      </c>
      <c r="E149" s="346" t="s">
        <v>120</v>
      </c>
      <c r="F149" s="295">
        <f>F150</f>
        <v>890.1</v>
      </c>
      <c r="G149" s="344"/>
      <c r="H149" s="71"/>
      <c r="I149" s="344"/>
      <c r="J149" s="71"/>
      <c r="K149" s="344"/>
    </row>
    <row r="150" spans="1:11" s="128" customFormat="1" ht="31.5" x14ac:dyDescent="0.25">
      <c r="A150" s="345" t="s">
        <v>121</v>
      </c>
      <c r="B150" s="346" t="s">
        <v>116</v>
      </c>
      <c r="C150" s="346" t="s">
        <v>132</v>
      </c>
      <c r="D150" s="346" t="s">
        <v>519</v>
      </c>
      <c r="E150" s="346" t="s">
        <v>156</v>
      </c>
      <c r="F150" s="295">
        <f>'Пр.4 ведом.22'!G1056</f>
        <v>890.1</v>
      </c>
      <c r="G150" s="344"/>
      <c r="H150" s="71"/>
      <c r="I150" s="344"/>
      <c r="J150" s="71"/>
      <c r="K150" s="344"/>
    </row>
    <row r="151" spans="1:11" s="128" customFormat="1" ht="15.75" x14ac:dyDescent="0.25">
      <c r="A151" s="345" t="s">
        <v>377</v>
      </c>
      <c r="B151" s="346" t="s">
        <v>116</v>
      </c>
      <c r="C151" s="346" t="s">
        <v>132</v>
      </c>
      <c r="D151" s="346" t="s">
        <v>518</v>
      </c>
      <c r="E151" s="346"/>
      <c r="F151" s="246">
        <f t="shared" ref="F151" si="22">F152+F154+F156</f>
        <v>56429.64</v>
      </c>
      <c r="G151" s="344"/>
      <c r="H151" s="71"/>
      <c r="I151" s="344"/>
      <c r="J151" s="71"/>
      <c r="K151" s="344"/>
    </row>
    <row r="152" spans="1:11" s="128" customFormat="1" ht="78.75" x14ac:dyDescent="0.25">
      <c r="A152" s="345" t="s">
        <v>119</v>
      </c>
      <c r="B152" s="346" t="s">
        <v>116</v>
      </c>
      <c r="C152" s="346" t="s">
        <v>132</v>
      </c>
      <c r="D152" s="346" t="s">
        <v>518</v>
      </c>
      <c r="E152" s="346" t="s">
        <v>120</v>
      </c>
      <c r="F152" s="246">
        <f t="shared" ref="F152" si="23">F153</f>
        <v>39526.54</v>
      </c>
      <c r="G152" s="344"/>
      <c r="H152" s="71"/>
      <c r="I152" s="344"/>
      <c r="J152" s="71"/>
      <c r="K152" s="344"/>
    </row>
    <row r="153" spans="1:11" s="128" customFormat="1" ht="20.25" customHeight="1" x14ac:dyDescent="0.25">
      <c r="A153" s="30" t="s">
        <v>212</v>
      </c>
      <c r="B153" s="346" t="s">
        <v>116</v>
      </c>
      <c r="C153" s="346" t="s">
        <v>132</v>
      </c>
      <c r="D153" s="346" t="s">
        <v>518</v>
      </c>
      <c r="E153" s="346" t="s">
        <v>156</v>
      </c>
      <c r="F153" s="246">
        <f>'Пр.4 ведом.22'!G1059</f>
        <v>39526.54</v>
      </c>
      <c r="G153" s="344"/>
      <c r="H153" s="71"/>
      <c r="I153" s="344"/>
      <c r="J153" s="71"/>
      <c r="K153" s="344"/>
    </row>
    <row r="154" spans="1:11" s="128" customFormat="1" ht="31.5" x14ac:dyDescent="0.25">
      <c r="A154" s="345" t="s">
        <v>123</v>
      </c>
      <c r="B154" s="346" t="s">
        <v>116</v>
      </c>
      <c r="C154" s="346" t="s">
        <v>132</v>
      </c>
      <c r="D154" s="346" t="s">
        <v>518</v>
      </c>
      <c r="E154" s="346" t="s">
        <v>124</v>
      </c>
      <c r="F154" s="246">
        <f t="shared" ref="F154" si="24">F155</f>
        <v>16449.099999999995</v>
      </c>
      <c r="G154" s="344"/>
      <c r="H154" s="71"/>
      <c r="I154" s="344"/>
      <c r="J154" s="71"/>
      <c r="K154" s="344"/>
    </row>
    <row r="155" spans="1:11" s="128" customFormat="1" ht="47.25" x14ac:dyDescent="0.25">
      <c r="A155" s="345" t="s">
        <v>125</v>
      </c>
      <c r="B155" s="346" t="s">
        <v>116</v>
      </c>
      <c r="C155" s="346" t="s">
        <v>132</v>
      </c>
      <c r="D155" s="346" t="s">
        <v>518</v>
      </c>
      <c r="E155" s="346" t="s">
        <v>126</v>
      </c>
      <c r="F155" s="246">
        <f>'Пр.4 ведом.22'!G1061</f>
        <v>16449.099999999995</v>
      </c>
      <c r="G155" s="344"/>
      <c r="H155" s="71"/>
      <c r="I155" s="344"/>
      <c r="J155" s="71"/>
      <c r="K155" s="344"/>
    </row>
    <row r="156" spans="1:11" s="128" customFormat="1" ht="15.75" x14ac:dyDescent="0.25">
      <c r="A156" s="345" t="s">
        <v>127</v>
      </c>
      <c r="B156" s="346" t="s">
        <v>116</v>
      </c>
      <c r="C156" s="346" t="s">
        <v>132</v>
      </c>
      <c r="D156" s="346" t="s">
        <v>518</v>
      </c>
      <c r="E156" s="346" t="s">
        <v>134</v>
      </c>
      <c r="F156" s="246">
        <f>F158+F157</f>
        <v>454</v>
      </c>
      <c r="G156" s="344"/>
      <c r="H156" s="71"/>
      <c r="I156" s="344"/>
      <c r="J156" s="71"/>
      <c r="K156" s="344"/>
    </row>
    <row r="157" spans="1:11" s="343" customFormat="1" ht="15.75" x14ac:dyDescent="0.25">
      <c r="A157" s="345" t="s">
        <v>135</v>
      </c>
      <c r="B157" s="346" t="s">
        <v>116</v>
      </c>
      <c r="C157" s="346" t="s">
        <v>132</v>
      </c>
      <c r="D157" s="346" t="s">
        <v>518</v>
      </c>
      <c r="E157" s="346" t="s">
        <v>136</v>
      </c>
      <c r="F157" s="246">
        <f>'Пр.4 ведом.22'!G1063</f>
        <v>0</v>
      </c>
      <c r="G157" s="344"/>
      <c r="H157" s="71"/>
      <c r="I157" s="344"/>
      <c r="J157" s="71"/>
      <c r="K157" s="344"/>
    </row>
    <row r="158" spans="1:11" s="128" customFormat="1" ht="15.75" x14ac:dyDescent="0.25">
      <c r="A158" s="345" t="s">
        <v>338</v>
      </c>
      <c r="B158" s="346" t="s">
        <v>116</v>
      </c>
      <c r="C158" s="346" t="s">
        <v>132</v>
      </c>
      <c r="D158" s="346" t="s">
        <v>518</v>
      </c>
      <c r="E158" s="346" t="s">
        <v>130</v>
      </c>
      <c r="F158" s="246">
        <f>'Пр.4 ведом.22'!G1064</f>
        <v>454</v>
      </c>
      <c r="G158" s="344"/>
      <c r="H158" s="71"/>
      <c r="I158" s="344"/>
      <c r="J158" s="71"/>
      <c r="K158" s="344"/>
    </row>
    <row r="159" spans="1:11" s="128" customFormat="1" ht="31.5" x14ac:dyDescent="0.25">
      <c r="A159" s="298" t="s">
        <v>444</v>
      </c>
      <c r="B159" s="299" t="s">
        <v>116</v>
      </c>
      <c r="C159" s="299" t="s">
        <v>132</v>
      </c>
      <c r="D159" s="299" t="s">
        <v>439</v>
      </c>
      <c r="E159" s="299"/>
      <c r="F159" s="294">
        <f>F160+F165+F171+F174</f>
        <v>26122.601640000001</v>
      </c>
      <c r="G159" s="344"/>
      <c r="H159" s="71"/>
      <c r="I159" s="344"/>
      <c r="J159" s="71"/>
      <c r="K159" s="344"/>
    </row>
    <row r="160" spans="1:11" s="128" customFormat="1" ht="47.25" x14ac:dyDescent="0.25">
      <c r="A160" s="345" t="s">
        <v>230</v>
      </c>
      <c r="B160" s="346" t="s">
        <v>116</v>
      </c>
      <c r="C160" s="346" t="s">
        <v>132</v>
      </c>
      <c r="D160" s="346" t="s">
        <v>572</v>
      </c>
      <c r="E160" s="346"/>
      <c r="F160" s="295">
        <f>F161+F163</f>
        <v>7583.1800399999993</v>
      </c>
      <c r="G160" s="344"/>
      <c r="H160" s="71"/>
      <c r="I160" s="344"/>
      <c r="J160" s="71"/>
      <c r="K160" s="344"/>
    </row>
    <row r="161" spans="1:11" s="128" customFormat="1" ht="31.5" x14ac:dyDescent="0.25">
      <c r="A161" s="345" t="s">
        <v>123</v>
      </c>
      <c r="B161" s="346" t="s">
        <v>116</v>
      </c>
      <c r="C161" s="346" t="s">
        <v>132</v>
      </c>
      <c r="D161" s="346" t="s">
        <v>572</v>
      </c>
      <c r="E161" s="346" t="s">
        <v>124</v>
      </c>
      <c r="F161" s="295">
        <f>F162</f>
        <v>6390.6799999999994</v>
      </c>
      <c r="G161" s="344"/>
      <c r="H161" s="71"/>
      <c r="I161" s="344"/>
      <c r="J161" s="71"/>
      <c r="K161" s="344"/>
    </row>
    <row r="162" spans="1:11" s="128" customFormat="1" ht="47.25" x14ac:dyDescent="0.25">
      <c r="A162" s="345" t="s">
        <v>125</v>
      </c>
      <c r="B162" s="346" t="s">
        <v>116</v>
      </c>
      <c r="C162" s="346" t="s">
        <v>132</v>
      </c>
      <c r="D162" s="346" t="s">
        <v>572</v>
      </c>
      <c r="E162" s="346" t="s">
        <v>126</v>
      </c>
      <c r="F162" s="295">
        <f>'Пр.4 ведом.22'!G641</f>
        <v>6390.6799999999994</v>
      </c>
      <c r="G162" s="344"/>
      <c r="H162" s="71"/>
      <c r="I162" s="344"/>
      <c r="J162" s="71"/>
      <c r="K162" s="344"/>
    </row>
    <row r="163" spans="1:11" s="293" customFormat="1" ht="15.75" x14ac:dyDescent="0.25">
      <c r="A163" s="345" t="s">
        <v>127</v>
      </c>
      <c r="B163" s="346" t="s">
        <v>116</v>
      </c>
      <c r="C163" s="346" t="s">
        <v>132</v>
      </c>
      <c r="D163" s="346" t="s">
        <v>572</v>
      </c>
      <c r="E163" s="346" t="s">
        <v>134</v>
      </c>
      <c r="F163" s="295">
        <f>F164</f>
        <v>1192.5000399999999</v>
      </c>
      <c r="G163" s="344"/>
      <c r="H163" s="71"/>
      <c r="I163" s="344"/>
      <c r="J163" s="71"/>
      <c r="K163" s="344"/>
    </row>
    <row r="164" spans="1:11" s="293" customFormat="1" ht="47.25" x14ac:dyDescent="0.25">
      <c r="A164" s="345" t="s">
        <v>411</v>
      </c>
      <c r="B164" s="346" t="s">
        <v>116</v>
      </c>
      <c r="C164" s="346" t="s">
        <v>132</v>
      </c>
      <c r="D164" s="346" t="s">
        <v>572</v>
      </c>
      <c r="E164" s="346" t="s">
        <v>136</v>
      </c>
      <c r="F164" s="295">
        <f>'Пр.4 ведом.22'!G643</f>
        <v>1192.5000399999999</v>
      </c>
      <c r="G164" s="344"/>
      <c r="H164" s="71"/>
      <c r="I164" s="344"/>
      <c r="J164" s="71"/>
      <c r="K164" s="344"/>
    </row>
    <row r="165" spans="1:11" s="128" customFormat="1" ht="15.75" x14ac:dyDescent="0.25">
      <c r="A165" s="345" t="s">
        <v>154</v>
      </c>
      <c r="B165" s="346" t="s">
        <v>116</v>
      </c>
      <c r="C165" s="346" t="s">
        <v>132</v>
      </c>
      <c r="D165" s="346" t="s">
        <v>695</v>
      </c>
      <c r="E165" s="346"/>
      <c r="F165" s="295">
        <f>F166+F168</f>
        <v>17923.816600000002</v>
      </c>
      <c r="G165" s="344"/>
      <c r="H165" s="71"/>
      <c r="I165" s="344"/>
      <c r="J165" s="71"/>
      <c r="K165" s="344"/>
    </row>
    <row r="166" spans="1:11" s="128" customFormat="1" ht="31.5" x14ac:dyDescent="0.25">
      <c r="A166" s="345" t="s">
        <v>123</v>
      </c>
      <c r="B166" s="346" t="s">
        <v>116</v>
      </c>
      <c r="C166" s="346" t="s">
        <v>132</v>
      </c>
      <c r="D166" s="346" t="s">
        <v>695</v>
      </c>
      <c r="E166" s="346" t="s">
        <v>124</v>
      </c>
      <c r="F166" s="295">
        <f>F167</f>
        <v>133.9</v>
      </c>
      <c r="G166" s="344"/>
      <c r="H166" s="71"/>
      <c r="I166" s="344"/>
      <c r="J166" s="71"/>
      <c r="K166" s="344"/>
    </row>
    <row r="167" spans="1:11" s="128" customFormat="1" ht="47.25" x14ac:dyDescent="0.25">
      <c r="A167" s="345" t="s">
        <v>125</v>
      </c>
      <c r="B167" s="346" t="s">
        <v>116</v>
      </c>
      <c r="C167" s="346" t="s">
        <v>132</v>
      </c>
      <c r="D167" s="346" t="s">
        <v>695</v>
      </c>
      <c r="E167" s="346" t="s">
        <v>126</v>
      </c>
      <c r="F167" s="295">
        <f>'Пр.4 ведом.22'!G131</f>
        <v>133.9</v>
      </c>
      <c r="G167" s="344"/>
      <c r="H167" s="71"/>
      <c r="I167" s="344"/>
      <c r="J167" s="71"/>
      <c r="K167" s="344"/>
    </row>
    <row r="168" spans="1:11" s="343" customFormat="1" ht="15.75" x14ac:dyDescent="0.25">
      <c r="A168" s="20" t="s">
        <v>127</v>
      </c>
      <c r="B168" s="346" t="s">
        <v>116</v>
      </c>
      <c r="C168" s="346" t="s">
        <v>132</v>
      </c>
      <c r="D168" s="346" t="s">
        <v>695</v>
      </c>
      <c r="E168" s="346" t="s">
        <v>134</v>
      </c>
      <c r="F168" s="295">
        <f>F169+F170</f>
        <v>17789.9166</v>
      </c>
      <c r="G168" s="344"/>
      <c r="H168" s="71"/>
      <c r="I168" s="344"/>
      <c r="J168" s="71"/>
      <c r="K168" s="344"/>
    </row>
    <row r="169" spans="1:11" s="343" customFormat="1" ht="15.75" x14ac:dyDescent="0.25">
      <c r="A169" s="345" t="s">
        <v>1321</v>
      </c>
      <c r="B169" s="346" t="s">
        <v>116</v>
      </c>
      <c r="C169" s="346" t="s">
        <v>132</v>
      </c>
      <c r="D169" s="346" t="s">
        <v>695</v>
      </c>
      <c r="E169" s="346" t="s">
        <v>136</v>
      </c>
      <c r="F169" s="295">
        <f>'Пр.4 ведом.22'!G133+'Пр.4 ведом.22'!G652</f>
        <v>17789.9166</v>
      </c>
      <c r="G169" s="344"/>
      <c r="H169" s="71"/>
      <c r="I169" s="344"/>
      <c r="J169" s="71"/>
      <c r="K169" s="344"/>
    </row>
    <row r="170" spans="1:11" s="343" customFormat="1" ht="15.75" hidden="1" x14ac:dyDescent="0.25">
      <c r="A170" s="345" t="s">
        <v>280</v>
      </c>
      <c r="B170" s="346" t="s">
        <v>116</v>
      </c>
      <c r="C170" s="346" t="s">
        <v>132</v>
      </c>
      <c r="D170" s="346" t="s">
        <v>695</v>
      </c>
      <c r="E170" s="346" t="s">
        <v>130</v>
      </c>
      <c r="F170" s="295">
        <f>'Пр.4 ведом.22'!G134</f>
        <v>0</v>
      </c>
      <c r="G170" s="344"/>
      <c r="H170" s="71"/>
      <c r="I170" s="344"/>
      <c r="J170" s="71"/>
      <c r="K170" s="344"/>
    </row>
    <row r="171" spans="1:11" s="343" customFormat="1" ht="31.5" x14ac:dyDescent="0.25">
      <c r="A171" s="345" t="s">
        <v>595</v>
      </c>
      <c r="B171" s="346" t="s">
        <v>116</v>
      </c>
      <c r="C171" s="346" t="s">
        <v>132</v>
      </c>
      <c r="D171" s="346" t="s">
        <v>1326</v>
      </c>
      <c r="E171" s="346"/>
      <c r="F171" s="295">
        <f>F172</f>
        <v>140.69999999999999</v>
      </c>
      <c r="G171" s="344"/>
      <c r="H171" s="71"/>
      <c r="I171" s="344"/>
      <c r="J171" s="71"/>
      <c r="K171" s="344"/>
    </row>
    <row r="172" spans="1:11" s="343" customFormat="1" ht="78.75" x14ac:dyDescent="0.25">
      <c r="A172" s="345" t="s">
        <v>119</v>
      </c>
      <c r="B172" s="346" t="s">
        <v>116</v>
      </c>
      <c r="C172" s="346" t="s">
        <v>132</v>
      </c>
      <c r="D172" s="346" t="s">
        <v>1326</v>
      </c>
      <c r="E172" s="346" t="s">
        <v>120</v>
      </c>
      <c r="F172" s="295">
        <f>F173</f>
        <v>140.69999999999999</v>
      </c>
      <c r="G172" s="344"/>
      <c r="H172" s="71"/>
      <c r="I172" s="344"/>
      <c r="J172" s="71"/>
      <c r="K172" s="344"/>
    </row>
    <row r="173" spans="1:11" s="343" customFormat="1" ht="31.5" x14ac:dyDescent="0.25">
      <c r="A173" s="345" t="s">
        <v>121</v>
      </c>
      <c r="B173" s="346" t="s">
        <v>116</v>
      </c>
      <c r="C173" s="346" t="s">
        <v>132</v>
      </c>
      <c r="D173" s="346" t="s">
        <v>1326</v>
      </c>
      <c r="E173" s="346" t="s">
        <v>156</v>
      </c>
      <c r="F173" s="295">
        <f>'Пр.4 ведом.22'!G1068</f>
        <v>140.69999999999999</v>
      </c>
      <c r="G173" s="344"/>
      <c r="H173" s="71"/>
      <c r="I173" s="344"/>
      <c r="J173" s="71"/>
      <c r="K173" s="344"/>
    </row>
    <row r="174" spans="1:11" s="343" customFormat="1" ht="31.5" x14ac:dyDescent="0.25">
      <c r="A174" s="345" t="s">
        <v>1355</v>
      </c>
      <c r="B174" s="346" t="s">
        <v>116</v>
      </c>
      <c r="C174" s="346" t="s">
        <v>132</v>
      </c>
      <c r="D174" s="346" t="s">
        <v>1354</v>
      </c>
      <c r="E174" s="346"/>
      <c r="F174" s="295">
        <f>F175</f>
        <v>474.90499999999997</v>
      </c>
      <c r="G174" s="344"/>
      <c r="H174" s="71"/>
      <c r="I174" s="344"/>
      <c r="J174" s="71"/>
      <c r="K174" s="344"/>
    </row>
    <row r="175" spans="1:11" s="343" customFormat="1" ht="31.5" x14ac:dyDescent="0.25">
      <c r="A175" s="345" t="s">
        <v>123</v>
      </c>
      <c r="B175" s="346" t="s">
        <v>116</v>
      </c>
      <c r="C175" s="346" t="s">
        <v>132</v>
      </c>
      <c r="D175" s="346" t="s">
        <v>1354</v>
      </c>
      <c r="E175" s="346" t="s">
        <v>124</v>
      </c>
      <c r="F175" s="295">
        <f>F176</f>
        <v>474.90499999999997</v>
      </c>
      <c r="G175" s="344"/>
      <c r="H175" s="71"/>
      <c r="I175" s="344"/>
      <c r="J175" s="71"/>
      <c r="K175" s="344"/>
    </row>
    <row r="176" spans="1:11" s="343" customFormat="1" ht="47.25" x14ac:dyDescent="0.25">
      <c r="A176" s="345" t="s">
        <v>125</v>
      </c>
      <c r="B176" s="346" t="s">
        <v>116</v>
      </c>
      <c r="C176" s="346" t="s">
        <v>132</v>
      </c>
      <c r="D176" s="346" t="s">
        <v>1354</v>
      </c>
      <c r="E176" s="346" t="s">
        <v>126</v>
      </c>
      <c r="F176" s="295">
        <v>474.90499999999997</v>
      </c>
      <c r="G176" s="344"/>
      <c r="H176" s="71"/>
      <c r="I176" s="344"/>
      <c r="J176" s="71"/>
      <c r="K176" s="344"/>
    </row>
    <row r="177" spans="1:11" s="128" customFormat="1" ht="31.5" x14ac:dyDescent="0.25">
      <c r="A177" s="298" t="s">
        <v>491</v>
      </c>
      <c r="B177" s="299" t="s">
        <v>116</v>
      </c>
      <c r="C177" s="299" t="s">
        <v>132</v>
      </c>
      <c r="D177" s="299" t="s">
        <v>441</v>
      </c>
      <c r="E177" s="299"/>
      <c r="F177" s="294">
        <f>F178+F183</f>
        <v>6909.5</v>
      </c>
      <c r="G177" s="344"/>
      <c r="H177" s="71"/>
      <c r="I177" s="344"/>
      <c r="J177" s="71"/>
      <c r="K177" s="344"/>
    </row>
    <row r="178" spans="1:11" s="128" customFormat="1" ht="31.5" x14ac:dyDescent="0.25">
      <c r="A178" s="345" t="s">
        <v>497</v>
      </c>
      <c r="B178" s="346" t="s">
        <v>116</v>
      </c>
      <c r="C178" s="346" t="s">
        <v>132</v>
      </c>
      <c r="D178" s="346" t="s">
        <v>442</v>
      </c>
      <c r="E178" s="346"/>
      <c r="F178" s="295">
        <f>F179+F181</f>
        <v>6893</v>
      </c>
      <c r="G178" s="149">
        <f>F178+F183</f>
        <v>6909.5</v>
      </c>
      <c r="H178" s="71"/>
      <c r="I178" s="344"/>
      <c r="J178" s="71"/>
      <c r="K178" s="344"/>
    </row>
    <row r="179" spans="1:11" s="128" customFormat="1" ht="78.75" x14ac:dyDescent="0.25">
      <c r="A179" s="345" t="s">
        <v>119</v>
      </c>
      <c r="B179" s="346" t="s">
        <v>116</v>
      </c>
      <c r="C179" s="346" t="s">
        <v>132</v>
      </c>
      <c r="D179" s="346" t="s">
        <v>442</v>
      </c>
      <c r="E179" s="346" t="s">
        <v>120</v>
      </c>
      <c r="F179" s="295">
        <f>F180</f>
        <v>5483.7</v>
      </c>
      <c r="G179" s="344"/>
      <c r="H179" s="71"/>
      <c r="I179" s="344"/>
      <c r="J179" s="71"/>
      <c r="K179" s="344"/>
    </row>
    <row r="180" spans="1:11" s="128" customFormat="1" ht="31.5" x14ac:dyDescent="0.25">
      <c r="A180" s="345" t="s">
        <v>121</v>
      </c>
      <c r="B180" s="346" t="s">
        <v>116</v>
      </c>
      <c r="C180" s="346" t="s">
        <v>132</v>
      </c>
      <c r="D180" s="346" t="s">
        <v>442</v>
      </c>
      <c r="E180" s="346" t="s">
        <v>122</v>
      </c>
      <c r="F180" s="295">
        <f>'Пр.4 ведом.22'!G138</f>
        <v>5483.7</v>
      </c>
      <c r="G180" s="344"/>
      <c r="H180" s="71"/>
      <c r="I180" s="344"/>
      <c r="J180" s="71"/>
      <c r="K180" s="344"/>
    </row>
    <row r="181" spans="1:11" s="128" customFormat="1" ht="31.5" x14ac:dyDescent="0.25">
      <c r="A181" s="345" t="s">
        <v>153</v>
      </c>
      <c r="B181" s="346" t="s">
        <v>116</v>
      </c>
      <c r="C181" s="346" t="s">
        <v>132</v>
      </c>
      <c r="D181" s="346" t="s">
        <v>442</v>
      </c>
      <c r="E181" s="346" t="s">
        <v>124</v>
      </c>
      <c r="F181" s="295">
        <f>F182</f>
        <v>1409.3</v>
      </c>
      <c r="G181" s="344"/>
      <c r="H181" s="71"/>
      <c r="I181" s="344"/>
      <c r="J181" s="71"/>
      <c r="K181" s="344"/>
    </row>
    <row r="182" spans="1:11" s="128" customFormat="1" ht="47.25" x14ac:dyDescent="0.25">
      <c r="A182" s="345" t="s">
        <v>125</v>
      </c>
      <c r="B182" s="346" t="s">
        <v>116</v>
      </c>
      <c r="C182" s="346" t="s">
        <v>132</v>
      </c>
      <c r="D182" s="346" t="s">
        <v>442</v>
      </c>
      <c r="E182" s="346" t="s">
        <v>126</v>
      </c>
      <c r="F182" s="295">
        <f>'Пр.4 ведом.22'!G140</f>
        <v>1409.3</v>
      </c>
      <c r="G182" s="344"/>
      <c r="H182" s="71"/>
      <c r="I182" s="344"/>
      <c r="J182" s="71"/>
      <c r="K182" s="344"/>
    </row>
    <row r="183" spans="1:11" s="128" customFormat="1" ht="47.25" x14ac:dyDescent="0.25">
      <c r="A183" s="345" t="s">
        <v>414</v>
      </c>
      <c r="B183" s="346" t="s">
        <v>116</v>
      </c>
      <c r="C183" s="346" t="s">
        <v>132</v>
      </c>
      <c r="D183" s="346" t="s">
        <v>443</v>
      </c>
      <c r="E183" s="346"/>
      <c r="F183" s="295">
        <f>F184</f>
        <v>16.5</v>
      </c>
      <c r="G183" s="344"/>
      <c r="H183" s="71"/>
      <c r="I183" s="344"/>
      <c r="J183" s="71"/>
      <c r="K183" s="344"/>
    </row>
    <row r="184" spans="1:11" s="128" customFormat="1" ht="78.75" x14ac:dyDescent="0.25">
      <c r="A184" s="345" t="s">
        <v>119</v>
      </c>
      <c r="B184" s="346" t="s">
        <v>116</v>
      </c>
      <c r="C184" s="346" t="s">
        <v>132</v>
      </c>
      <c r="D184" s="346" t="s">
        <v>443</v>
      </c>
      <c r="E184" s="346" t="s">
        <v>120</v>
      </c>
      <c r="F184" s="295">
        <f>F185</f>
        <v>16.5</v>
      </c>
      <c r="G184" s="344"/>
      <c r="H184" s="71"/>
      <c r="I184" s="344"/>
      <c r="J184" s="71"/>
      <c r="K184" s="344"/>
    </row>
    <row r="185" spans="1:11" s="128" customFormat="1" ht="31.5" x14ac:dyDescent="0.25">
      <c r="A185" s="345" t="s">
        <v>121</v>
      </c>
      <c r="B185" s="346" t="s">
        <v>116</v>
      </c>
      <c r="C185" s="346" t="s">
        <v>132</v>
      </c>
      <c r="D185" s="346" t="s">
        <v>443</v>
      </c>
      <c r="E185" s="346" t="s">
        <v>122</v>
      </c>
      <c r="F185" s="295">
        <f>'Пр.4 ведом.22'!G143</f>
        <v>16.5</v>
      </c>
      <c r="G185" s="344"/>
      <c r="H185" s="71"/>
      <c r="I185" s="344"/>
      <c r="J185" s="71"/>
      <c r="K185" s="344"/>
    </row>
    <row r="186" spans="1:11" ht="47.25" x14ac:dyDescent="0.25">
      <c r="A186" s="298" t="s">
        <v>872</v>
      </c>
      <c r="B186" s="6" t="s">
        <v>116</v>
      </c>
      <c r="C186" s="6" t="s">
        <v>132</v>
      </c>
      <c r="D186" s="6" t="s">
        <v>213</v>
      </c>
      <c r="E186" s="6"/>
      <c r="F186" s="294">
        <f>F187</f>
        <v>698.69299999999987</v>
      </c>
      <c r="G186" s="71"/>
    </row>
    <row r="187" spans="1:11" ht="78.75" x14ac:dyDescent="0.25">
      <c r="A187" s="340" t="s">
        <v>852</v>
      </c>
      <c r="B187" s="6" t="s">
        <v>116</v>
      </c>
      <c r="C187" s="6" t="s">
        <v>132</v>
      </c>
      <c r="D187" s="6" t="s">
        <v>222</v>
      </c>
      <c r="E187" s="6"/>
      <c r="F187" s="294">
        <f>F188</f>
        <v>698.69299999999987</v>
      </c>
      <c r="G187" s="71"/>
    </row>
    <row r="188" spans="1:11" s="128" customFormat="1" ht="63" x14ac:dyDescent="0.25">
      <c r="A188" s="164" t="s">
        <v>604</v>
      </c>
      <c r="B188" s="6" t="s">
        <v>116</v>
      </c>
      <c r="C188" s="6" t="s">
        <v>132</v>
      </c>
      <c r="D188" s="6" t="s">
        <v>478</v>
      </c>
      <c r="E188" s="6"/>
      <c r="F188" s="294">
        <f>F189+F192+F195</f>
        <v>698.69299999999987</v>
      </c>
      <c r="G188" s="71"/>
      <c r="H188" s="344"/>
      <c r="I188" s="344"/>
      <c r="J188" s="344"/>
      <c r="K188" s="344"/>
    </row>
    <row r="189" spans="1:11" ht="31.5" x14ac:dyDescent="0.25">
      <c r="A189" s="67" t="s">
        <v>647</v>
      </c>
      <c r="B189" s="341" t="s">
        <v>116</v>
      </c>
      <c r="C189" s="341" t="s">
        <v>132</v>
      </c>
      <c r="D189" s="341" t="s">
        <v>736</v>
      </c>
      <c r="E189" s="341"/>
      <c r="F189" s="295">
        <f t="shared" ref="F189:F190" si="25">F190</f>
        <v>507.99999999999994</v>
      </c>
    </row>
    <row r="190" spans="1:11" ht="31.5" x14ac:dyDescent="0.25">
      <c r="A190" s="20" t="s">
        <v>123</v>
      </c>
      <c r="B190" s="341" t="s">
        <v>116</v>
      </c>
      <c r="C190" s="341" t="s">
        <v>132</v>
      </c>
      <c r="D190" s="341" t="s">
        <v>736</v>
      </c>
      <c r="E190" s="341" t="s">
        <v>124</v>
      </c>
      <c r="F190" s="295">
        <f t="shared" si="25"/>
        <v>507.99999999999994</v>
      </c>
    </row>
    <row r="191" spans="1:11" ht="47.25" x14ac:dyDescent="0.25">
      <c r="A191" s="20" t="s">
        <v>125</v>
      </c>
      <c r="B191" s="341" t="s">
        <v>116</v>
      </c>
      <c r="C191" s="341" t="s">
        <v>132</v>
      </c>
      <c r="D191" s="341" t="s">
        <v>736</v>
      </c>
      <c r="E191" s="341" t="s">
        <v>126</v>
      </c>
      <c r="F191" s="295">
        <f>'Пр.4 ведом.22'!G283</f>
        <v>507.99999999999994</v>
      </c>
    </row>
    <row r="192" spans="1:11" s="280" customFormat="1" ht="31.5" x14ac:dyDescent="0.25">
      <c r="A192" s="29" t="s">
        <v>1025</v>
      </c>
      <c r="B192" s="341" t="s">
        <v>116</v>
      </c>
      <c r="C192" s="341" t="s">
        <v>132</v>
      </c>
      <c r="D192" s="341" t="s">
        <v>1059</v>
      </c>
      <c r="E192" s="341"/>
      <c r="F192" s="295">
        <f>F193</f>
        <v>153.1</v>
      </c>
      <c r="G192" s="344"/>
      <c r="H192" s="344"/>
      <c r="I192" s="344"/>
      <c r="J192" s="344"/>
      <c r="K192" s="344"/>
    </row>
    <row r="193" spans="1:11" s="280" customFormat="1" ht="31.5" x14ac:dyDescent="0.25">
      <c r="A193" s="20" t="s">
        <v>123</v>
      </c>
      <c r="B193" s="341" t="s">
        <v>116</v>
      </c>
      <c r="C193" s="341" t="s">
        <v>132</v>
      </c>
      <c r="D193" s="341" t="s">
        <v>1059</v>
      </c>
      <c r="E193" s="341" t="s">
        <v>124</v>
      </c>
      <c r="F193" s="295">
        <f>F194</f>
        <v>153.1</v>
      </c>
      <c r="G193" s="344"/>
      <c r="H193" s="344"/>
      <c r="I193" s="344"/>
      <c r="J193" s="344"/>
      <c r="K193" s="344"/>
    </row>
    <row r="194" spans="1:11" s="280" customFormat="1" ht="47.25" x14ac:dyDescent="0.25">
      <c r="A194" s="20" t="s">
        <v>125</v>
      </c>
      <c r="B194" s="341" t="s">
        <v>116</v>
      </c>
      <c r="C194" s="341" t="s">
        <v>132</v>
      </c>
      <c r="D194" s="341" t="s">
        <v>1059</v>
      </c>
      <c r="E194" s="341" t="s">
        <v>126</v>
      </c>
      <c r="F194" s="295">
        <f>'Пр.4 ведом.22'!G286</f>
        <v>153.1</v>
      </c>
      <c r="G194" s="344"/>
      <c r="H194" s="344"/>
      <c r="I194" s="344"/>
      <c r="J194" s="344"/>
      <c r="K194" s="344"/>
    </row>
    <row r="195" spans="1:11" s="343" customFormat="1" ht="31.5" x14ac:dyDescent="0.25">
      <c r="A195" s="20" t="s">
        <v>1149</v>
      </c>
      <c r="B195" s="341" t="s">
        <v>116</v>
      </c>
      <c r="C195" s="341" t="s">
        <v>132</v>
      </c>
      <c r="D195" s="8" t="s">
        <v>1150</v>
      </c>
      <c r="E195" s="341"/>
      <c r="F195" s="295">
        <f>F196</f>
        <v>37.593000000000004</v>
      </c>
      <c r="G195" s="344"/>
      <c r="H195" s="344"/>
      <c r="I195" s="344"/>
      <c r="J195" s="344"/>
      <c r="K195" s="344"/>
    </row>
    <row r="196" spans="1:11" s="343" customFormat="1" ht="31.5" x14ac:dyDescent="0.25">
      <c r="A196" s="20" t="s">
        <v>123</v>
      </c>
      <c r="B196" s="341" t="s">
        <v>116</v>
      </c>
      <c r="C196" s="341" t="s">
        <v>132</v>
      </c>
      <c r="D196" s="8" t="s">
        <v>1150</v>
      </c>
      <c r="E196" s="341" t="s">
        <v>124</v>
      </c>
      <c r="F196" s="295">
        <f>F197</f>
        <v>37.593000000000004</v>
      </c>
      <c r="G196" s="344"/>
      <c r="H196" s="344"/>
      <c r="I196" s="344"/>
      <c r="J196" s="344"/>
      <c r="K196" s="344"/>
    </row>
    <row r="197" spans="1:11" s="343" customFormat="1" ht="47.25" x14ac:dyDescent="0.25">
      <c r="A197" s="20" t="s">
        <v>125</v>
      </c>
      <c r="B197" s="341" t="s">
        <v>116</v>
      </c>
      <c r="C197" s="341" t="s">
        <v>132</v>
      </c>
      <c r="D197" s="8" t="s">
        <v>1150</v>
      </c>
      <c r="E197" s="341" t="s">
        <v>126</v>
      </c>
      <c r="F197" s="295">
        <f>'Пр.4 ведом.22'!G289</f>
        <v>37.593000000000004</v>
      </c>
      <c r="G197" s="344"/>
      <c r="H197" s="344"/>
      <c r="I197" s="344"/>
      <c r="J197" s="344"/>
      <c r="K197" s="344"/>
    </row>
    <row r="198" spans="1:11" s="343" customFormat="1" ht="47.25" x14ac:dyDescent="0.25">
      <c r="A198" s="298" t="s">
        <v>860</v>
      </c>
      <c r="B198" s="299" t="s">
        <v>116</v>
      </c>
      <c r="C198" s="299" t="s">
        <v>132</v>
      </c>
      <c r="D198" s="299" t="s">
        <v>206</v>
      </c>
      <c r="E198" s="299"/>
      <c r="F198" s="294">
        <f>F199</f>
        <v>12</v>
      </c>
      <c r="G198" s="344"/>
      <c r="H198" s="344"/>
      <c r="I198" s="344"/>
      <c r="J198" s="344"/>
      <c r="K198" s="344"/>
    </row>
    <row r="199" spans="1:11" s="343" customFormat="1" ht="47.25" x14ac:dyDescent="0.25">
      <c r="A199" s="345" t="s">
        <v>632</v>
      </c>
      <c r="B199" s="346" t="s">
        <v>116</v>
      </c>
      <c r="C199" s="346" t="s">
        <v>132</v>
      </c>
      <c r="D199" s="346" t="s">
        <v>587</v>
      </c>
      <c r="E199" s="346"/>
      <c r="F199" s="295">
        <f>F200</f>
        <v>12</v>
      </c>
      <c r="G199" s="344"/>
      <c r="H199" s="344"/>
      <c r="I199" s="344"/>
      <c r="J199" s="344"/>
      <c r="K199" s="344"/>
    </row>
    <row r="200" spans="1:11" s="343" customFormat="1" ht="31.5" x14ac:dyDescent="0.25">
      <c r="A200" s="345" t="s">
        <v>153</v>
      </c>
      <c r="B200" s="346" t="s">
        <v>116</v>
      </c>
      <c r="C200" s="346" t="s">
        <v>132</v>
      </c>
      <c r="D200" s="346" t="s">
        <v>587</v>
      </c>
      <c r="E200" s="346" t="s">
        <v>124</v>
      </c>
      <c r="F200" s="295">
        <f>F201</f>
        <v>12</v>
      </c>
      <c r="G200" s="344"/>
      <c r="H200" s="344"/>
      <c r="I200" s="344"/>
      <c r="J200" s="344"/>
      <c r="K200" s="344"/>
    </row>
    <row r="201" spans="1:11" s="343" customFormat="1" ht="47.25" x14ac:dyDescent="0.25">
      <c r="A201" s="345" t="s">
        <v>125</v>
      </c>
      <c r="B201" s="346" t="s">
        <v>116</v>
      </c>
      <c r="C201" s="346" t="s">
        <v>132</v>
      </c>
      <c r="D201" s="346" t="s">
        <v>587</v>
      </c>
      <c r="E201" s="346" t="s">
        <v>126</v>
      </c>
      <c r="F201" s="295">
        <f>'Пр.4 ведом.22'!G147</f>
        <v>12</v>
      </c>
      <c r="G201" s="344"/>
      <c r="H201" s="344"/>
      <c r="I201" s="344"/>
      <c r="J201" s="344"/>
      <c r="K201" s="344"/>
    </row>
    <row r="202" spans="1:11" ht="47.25" x14ac:dyDescent="0.25">
      <c r="A202" s="298" t="s">
        <v>853</v>
      </c>
      <c r="B202" s="299" t="s">
        <v>116</v>
      </c>
      <c r="C202" s="299" t="s">
        <v>132</v>
      </c>
      <c r="D202" s="299" t="s">
        <v>209</v>
      </c>
      <c r="E202" s="299"/>
      <c r="F202" s="35">
        <f>F203</f>
        <v>120</v>
      </c>
    </row>
    <row r="203" spans="1:11" ht="31.5" x14ac:dyDescent="0.25">
      <c r="A203" s="298" t="s">
        <v>608</v>
      </c>
      <c r="B203" s="299" t="s">
        <v>116</v>
      </c>
      <c r="C203" s="299" t="s">
        <v>132</v>
      </c>
      <c r="D203" s="299" t="s">
        <v>609</v>
      </c>
      <c r="E203" s="299"/>
      <c r="F203" s="35">
        <f>F204+F207+F210+F213+F216</f>
        <v>120</v>
      </c>
    </row>
    <row r="204" spans="1:11" ht="31.5" x14ac:dyDescent="0.25">
      <c r="A204" s="66" t="s">
        <v>210</v>
      </c>
      <c r="B204" s="346" t="s">
        <v>116</v>
      </c>
      <c r="C204" s="346" t="s">
        <v>132</v>
      </c>
      <c r="D204" s="346" t="s">
        <v>610</v>
      </c>
      <c r="E204" s="346"/>
      <c r="F204" s="9">
        <f t="shared" ref="F204" si="26">F205</f>
        <v>100</v>
      </c>
    </row>
    <row r="205" spans="1:11" ht="31.5" x14ac:dyDescent="0.25">
      <c r="A205" s="345" t="s">
        <v>123</v>
      </c>
      <c r="B205" s="346" t="s">
        <v>116</v>
      </c>
      <c r="C205" s="346" t="s">
        <v>132</v>
      </c>
      <c r="D205" s="346" t="s">
        <v>610</v>
      </c>
      <c r="E205" s="346" t="s">
        <v>124</v>
      </c>
      <c r="F205" s="9">
        <f>F206</f>
        <v>100</v>
      </c>
    </row>
    <row r="206" spans="1:11" ht="47.25" x14ac:dyDescent="0.25">
      <c r="A206" s="345" t="s">
        <v>125</v>
      </c>
      <c r="B206" s="346" t="s">
        <v>116</v>
      </c>
      <c r="C206" s="346" t="s">
        <v>132</v>
      </c>
      <c r="D206" s="346" t="s">
        <v>610</v>
      </c>
      <c r="E206" s="346" t="s">
        <v>126</v>
      </c>
      <c r="F206" s="9">
        <f>'Пр.4 ведом.22'!G681+'Пр.4 ведом.22'!G294+'Пр.4 ведом.22'!G944</f>
        <v>100</v>
      </c>
    </row>
    <row r="207" spans="1:11" ht="31.5" x14ac:dyDescent="0.25">
      <c r="A207" s="345" t="s">
        <v>211</v>
      </c>
      <c r="B207" s="346" t="s">
        <v>116</v>
      </c>
      <c r="C207" s="346" t="s">
        <v>132</v>
      </c>
      <c r="D207" s="346" t="s">
        <v>611</v>
      </c>
      <c r="E207" s="346"/>
      <c r="F207" s="9">
        <f>F208</f>
        <v>20</v>
      </c>
    </row>
    <row r="208" spans="1:11" ht="31.5" x14ac:dyDescent="0.25">
      <c r="A208" s="345" t="s">
        <v>123</v>
      </c>
      <c r="B208" s="346" t="s">
        <v>116</v>
      </c>
      <c r="C208" s="346" t="s">
        <v>132</v>
      </c>
      <c r="D208" s="346" t="s">
        <v>611</v>
      </c>
      <c r="E208" s="346" t="s">
        <v>124</v>
      </c>
      <c r="F208" s="9">
        <f>F209</f>
        <v>20</v>
      </c>
    </row>
    <row r="209" spans="1:11" ht="39.200000000000003" customHeight="1" x14ac:dyDescent="0.25">
      <c r="A209" s="345" t="s">
        <v>125</v>
      </c>
      <c r="B209" s="346" t="s">
        <v>116</v>
      </c>
      <c r="C209" s="346" t="s">
        <v>132</v>
      </c>
      <c r="D209" s="346" t="s">
        <v>611</v>
      </c>
      <c r="E209" s="346" t="s">
        <v>126</v>
      </c>
      <c r="F209" s="9">
        <f>'Пр.4 ведом.22'!G297</f>
        <v>20</v>
      </c>
    </row>
    <row r="210" spans="1:11" ht="47.25" hidden="1" x14ac:dyDescent="0.25">
      <c r="A210" s="22" t="s">
        <v>349</v>
      </c>
      <c r="B210" s="346" t="s">
        <v>116</v>
      </c>
      <c r="C210" s="346" t="s">
        <v>132</v>
      </c>
      <c r="D210" s="346" t="s">
        <v>612</v>
      </c>
      <c r="E210" s="346"/>
      <c r="F210" s="9">
        <f t="shared" ref="F210" si="27">F211</f>
        <v>0</v>
      </c>
    </row>
    <row r="211" spans="1:11" ht="31.5" hidden="1" x14ac:dyDescent="0.25">
      <c r="A211" s="345" t="s">
        <v>123</v>
      </c>
      <c r="B211" s="346" t="s">
        <v>116</v>
      </c>
      <c r="C211" s="346" t="s">
        <v>132</v>
      </c>
      <c r="D211" s="346" t="s">
        <v>612</v>
      </c>
      <c r="E211" s="346" t="s">
        <v>124</v>
      </c>
      <c r="F211" s="9">
        <f>F212</f>
        <v>0</v>
      </c>
    </row>
    <row r="212" spans="1:11" ht="47.25" hidden="1" x14ac:dyDescent="0.25">
      <c r="A212" s="345" t="s">
        <v>125</v>
      </c>
      <c r="B212" s="346" t="s">
        <v>116</v>
      </c>
      <c r="C212" s="346" t="s">
        <v>132</v>
      </c>
      <c r="D212" s="346" t="s">
        <v>612</v>
      </c>
      <c r="E212" s="346" t="s">
        <v>126</v>
      </c>
      <c r="F212" s="9">
        <f>'Пр.4 ведом.22'!G300</f>
        <v>0</v>
      </c>
    </row>
    <row r="213" spans="1:11" ht="15.75" hidden="1" x14ac:dyDescent="0.25">
      <c r="A213" s="345" t="s">
        <v>555</v>
      </c>
      <c r="B213" s="346" t="s">
        <v>116</v>
      </c>
      <c r="C213" s="346" t="s">
        <v>132</v>
      </c>
      <c r="D213" s="346" t="s">
        <v>613</v>
      </c>
      <c r="E213" s="346"/>
      <c r="F213" s="9">
        <f t="shared" ref="F213" si="28">F214</f>
        <v>0</v>
      </c>
    </row>
    <row r="214" spans="1:11" ht="31.5" hidden="1" x14ac:dyDescent="0.25">
      <c r="A214" s="345" t="s">
        <v>123</v>
      </c>
      <c r="B214" s="346" t="s">
        <v>116</v>
      </c>
      <c r="C214" s="346" t="s">
        <v>132</v>
      </c>
      <c r="D214" s="346" t="s">
        <v>613</v>
      </c>
      <c r="E214" s="346" t="s">
        <v>124</v>
      </c>
      <c r="F214" s="9">
        <f>F215</f>
        <v>0</v>
      </c>
    </row>
    <row r="215" spans="1:11" ht="47.25" hidden="1" x14ac:dyDescent="0.25">
      <c r="A215" s="345" t="s">
        <v>125</v>
      </c>
      <c r="B215" s="346" t="s">
        <v>116</v>
      </c>
      <c r="C215" s="346" t="s">
        <v>132</v>
      </c>
      <c r="D215" s="346" t="s">
        <v>613</v>
      </c>
      <c r="E215" s="346" t="s">
        <v>126</v>
      </c>
      <c r="F215" s="9">
        <f>'Пр.4 ведом.22'!G303</f>
        <v>0</v>
      </c>
    </row>
    <row r="216" spans="1:11" ht="31.5" hidden="1" x14ac:dyDescent="0.25">
      <c r="A216" s="22" t="s">
        <v>350</v>
      </c>
      <c r="B216" s="346" t="s">
        <v>116</v>
      </c>
      <c r="C216" s="346" t="s">
        <v>132</v>
      </c>
      <c r="D216" s="346" t="s">
        <v>614</v>
      </c>
      <c r="E216" s="346"/>
      <c r="F216" s="9">
        <f>F217</f>
        <v>0</v>
      </c>
    </row>
    <row r="217" spans="1:11" ht="31.5" hidden="1" x14ac:dyDescent="0.25">
      <c r="A217" s="345" t="s">
        <v>123</v>
      </c>
      <c r="B217" s="346" t="s">
        <v>116</v>
      </c>
      <c r="C217" s="346" t="s">
        <v>132</v>
      </c>
      <c r="D217" s="346" t="s">
        <v>614</v>
      </c>
      <c r="E217" s="346" t="s">
        <v>124</v>
      </c>
      <c r="F217" s="9">
        <f>F218</f>
        <v>0</v>
      </c>
    </row>
    <row r="218" spans="1:11" ht="47.25" hidden="1" x14ac:dyDescent="0.25">
      <c r="A218" s="345" t="s">
        <v>125</v>
      </c>
      <c r="B218" s="346" t="s">
        <v>116</v>
      </c>
      <c r="C218" s="346" t="s">
        <v>132</v>
      </c>
      <c r="D218" s="346" t="s">
        <v>614</v>
      </c>
      <c r="E218" s="346" t="s">
        <v>126</v>
      </c>
      <c r="F218" s="9">
        <f>'Пр.4 ведом.22'!G306</f>
        <v>0</v>
      </c>
    </row>
    <row r="219" spans="1:11" ht="47.25" x14ac:dyDescent="0.25">
      <c r="A219" s="340" t="s">
        <v>856</v>
      </c>
      <c r="B219" s="7" t="s">
        <v>116</v>
      </c>
      <c r="C219" s="7" t="s">
        <v>132</v>
      </c>
      <c r="D219" s="299" t="s">
        <v>339</v>
      </c>
      <c r="E219" s="304"/>
      <c r="F219" s="35">
        <f>F220+F224</f>
        <v>47</v>
      </c>
    </row>
    <row r="220" spans="1:11" s="128" customFormat="1" ht="47.25" x14ac:dyDescent="0.25">
      <c r="A220" s="339" t="s">
        <v>420</v>
      </c>
      <c r="B220" s="299" t="s">
        <v>116</v>
      </c>
      <c r="C220" s="299" t="s">
        <v>132</v>
      </c>
      <c r="D220" s="299" t="s">
        <v>426</v>
      </c>
      <c r="E220" s="299"/>
      <c r="F220" s="35">
        <f>F221</f>
        <v>32</v>
      </c>
      <c r="G220" s="344"/>
      <c r="H220" s="344"/>
      <c r="I220" s="344"/>
      <c r="J220" s="344"/>
      <c r="K220" s="344"/>
    </row>
    <row r="221" spans="1:11" ht="39.75" customHeight="1" x14ac:dyDescent="0.25">
      <c r="A221" s="67" t="s">
        <v>353</v>
      </c>
      <c r="B221" s="346" t="s">
        <v>116</v>
      </c>
      <c r="C221" s="346" t="s">
        <v>132</v>
      </c>
      <c r="D221" s="346" t="s">
        <v>421</v>
      </c>
      <c r="E221" s="346"/>
      <c r="F221" s="9">
        <f t="shared" ref="F221:F222" si="29">F222</f>
        <v>32</v>
      </c>
    </row>
    <row r="222" spans="1:11" ht="31.5" x14ac:dyDescent="0.25">
      <c r="A222" s="345" t="s">
        <v>123</v>
      </c>
      <c r="B222" s="346" t="s">
        <v>116</v>
      </c>
      <c r="C222" s="346" t="s">
        <v>132</v>
      </c>
      <c r="D222" s="346" t="s">
        <v>421</v>
      </c>
      <c r="E222" s="346" t="s">
        <v>124</v>
      </c>
      <c r="F222" s="9">
        <f t="shared" si="29"/>
        <v>32</v>
      </c>
    </row>
    <row r="223" spans="1:11" ht="47.25" x14ac:dyDescent="0.25">
      <c r="A223" s="345" t="s">
        <v>125</v>
      </c>
      <c r="B223" s="346" t="s">
        <v>116</v>
      </c>
      <c r="C223" s="346" t="s">
        <v>132</v>
      </c>
      <c r="D223" s="346" t="s">
        <v>421</v>
      </c>
      <c r="E223" s="346" t="s">
        <v>126</v>
      </c>
      <c r="F223" s="9">
        <f>'Пр.4 ведом.22'!G311+'Пр.4 ведом.22'!G152</f>
        <v>32</v>
      </c>
    </row>
    <row r="224" spans="1:11" s="128" customFormat="1" ht="31.5" x14ac:dyDescent="0.25">
      <c r="A224" s="303" t="s">
        <v>584</v>
      </c>
      <c r="B224" s="299" t="s">
        <v>116</v>
      </c>
      <c r="C224" s="299" t="s">
        <v>132</v>
      </c>
      <c r="D224" s="299" t="s">
        <v>427</v>
      </c>
      <c r="E224" s="304"/>
      <c r="F224" s="35">
        <f>F225</f>
        <v>15</v>
      </c>
      <c r="G224" s="344"/>
      <c r="H224" s="344"/>
      <c r="I224" s="344"/>
      <c r="J224" s="344"/>
      <c r="K224" s="344"/>
    </row>
    <row r="225" spans="1:11" ht="33" customHeight="1" x14ac:dyDescent="0.25">
      <c r="A225" s="67" t="s">
        <v>354</v>
      </c>
      <c r="B225" s="346" t="s">
        <v>116</v>
      </c>
      <c r="C225" s="346" t="s">
        <v>132</v>
      </c>
      <c r="D225" s="346" t="s">
        <v>422</v>
      </c>
      <c r="E225" s="301"/>
      <c r="F225" s="9">
        <f t="shared" ref="F225:F226" si="30">F226</f>
        <v>15</v>
      </c>
    </row>
    <row r="226" spans="1:11" ht="31.7" customHeight="1" x14ac:dyDescent="0.25">
      <c r="A226" s="345" t="s">
        <v>123</v>
      </c>
      <c r="B226" s="346" t="s">
        <v>116</v>
      </c>
      <c r="C226" s="346" t="s">
        <v>132</v>
      </c>
      <c r="D226" s="346" t="s">
        <v>422</v>
      </c>
      <c r="E226" s="301" t="s">
        <v>124</v>
      </c>
      <c r="F226" s="9">
        <f t="shared" si="30"/>
        <v>15</v>
      </c>
    </row>
    <row r="227" spans="1:11" ht="40.700000000000003" customHeight="1" x14ac:dyDescent="0.25">
      <c r="A227" s="345" t="s">
        <v>125</v>
      </c>
      <c r="B227" s="346" t="s">
        <v>116</v>
      </c>
      <c r="C227" s="346" t="s">
        <v>132</v>
      </c>
      <c r="D227" s="346" t="s">
        <v>422</v>
      </c>
      <c r="E227" s="301" t="s">
        <v>126</v>
      </c>
      <c r="F227" s="9">
        <f>'Пр.4 ведом.22'!G156</f>
        <v>15</v>
      </c>
    </row>
    <row r="228" spans="1:11" ht="63" x14ac:dyDescent="0.25">
      <c r="A228" s="138" t="s">
        <v>985</v>
      </c>
      <c r="B228" s="299" t="s">
        <v>116</v>
      </c>
      <c r="C228" s="299" t="s">
        <v>132</v>
      </c>
      <c r="D228" s="299" t="s">
        <v>358</v>
      </c>
      <c r="E228" s="304"/>
      <c r="F228" s="35">
        <f>F230</f>
        <v>625.21350999999993</v>
      </c>
    </row>
    <row r="229" spans="1:11" s="128" customFormat="1" ht="31.5" x14ac:dyDescent="0.25">
      <c r="A229" s="298" t="s">
        <v>499</v>
      </c>
      <c r="B229" s="299" t="s">
        <v>116</v>
      </c>
      <c r="C229" s="299" t="s">
        <v>132</v>
      </c>
      <c r="D229" s="299" t="s">
        <v>581</v>
      </c>
      <c r="E229" s="304"/>
      <c r="F229" s="35">
        <f>F230</f>
        <v>625.21350999999993</v>
      </c>
      <c r="G229" s="344"/>
      <c r="H229" s="344"/>
      <c r="I229" s="344"/>
      <c r="J229" s="344"/>
      <c r="K229" s="344"/>
    </row>
    <row r="230" spans="1:11" ht="31.5" x14ac:dyDescent="0.25">
      <c r="A230" s="108" t="s">
        <v>366</v>
      </c>
      <c r="B230" s="346" t="s">
        <v>116</v>
      </c>
      <c r="C230" s="346" t="s">
        <v>132</v>
      </c>
      <c r="D230" s="346" t="s">
        <v>582</v>
      </c>
      <c r="E230" s="301"/>
      <c r="F230" s="9">
        <f>F231</f>
        <v>625.21350999999993</v>
      </c>
    </row>
    <row r="231" spans="1:11" ht="31.5" x14ac:dyDescent="0.25">
      <c r="A231" s="108" t="s">
        <v>123</v>
      </c>
      <c r="B231" s="346" t="s">
        <v>116</v>
      </c>
      <c r="C231" s="346" t="s">
        <v>132</v>
      </c>
      <c r="D231" s="346" t="s">
        <v>582</v>
      </c>
      <c r="E231" s="301" t="s">
        <v>124</v>
      </c>
      <c r="F231" s="9">
        <f>F232</f>
        <v>625.21350999999993</v>
      </c>
    </row>
    <row r="232" spans="1:11" ht="47.25" x14ac:dyDescent="0.25">
      <c r="A232" s="108" t="s">
        <v>125</v>
      </c>
      <c r="B232" s="346" t="s">
        <v>116</v>
      </c>
      <c r="C232" s="346" t="s">
        <v>132</v>
      </c>
      <c r="D232" s="346" t="s">
        <v>582</v>
      </c>
      <c r="E232" s="301" t="s">
        <v>126</v>
      </c>
      <c r="F232" s="9">
        <f>'Пр.4 ведом.22'!G657</f>
        <v>625.21350999999993</v>
      </c>
    </row>
    <row r="233" spans="1:11" ht="78.75" x14ac:dyDescent="0.25">
      <c r="A233" s="340" t="s">
        <v>873</v>
      </c>
      <c r="B233" s="7" t="s">
        <v>116</v>
      </c>
      <c r="C233" s="7" t="s">
        <v>132</v>
      </c>
      <c r="D233" s="347" t="s">
        <v>393</v>
      </c>
      <c r="E233" s="7"/>
      <c r="F233" s="35">
        <f>F234</f>
        <v>45</v>
      </c>
    </row>
    <row r="234" spans="1:11" s="128" customFormat="1" ht="47.25" x14ac:dyDescent="0.25">
      <c r="A234" s="134" t="s">
        <v>428</v>
      </c>
      <c r="B234" s="7" t="s">
        <v>116</v>
      </c>
      <c r="C234" s="7" t="s">
        <v>132</v>
      </c>
      <c r="D234" s="119" t="s">
        <v>628</v>
      </c>
      <c r="E234" s="7"/>
      <c r="F234" s="35">
        <f>F235</f>
        <v>45</v>
      </c>
      <c r="G234" s="344"/>
      <c r="H234" s="344"/>
      <c r="I234" s="344"/>
      <c r="J234" s="344"/>
      <c r="K234" s="344"/>
    </row>
    <row r="235" spans="1:11" ht="31.5" x14ac:dyDescent="0.25">
      <c r="A235" s="66" t="s">
        <v>145</v>
      </c>
      <c r="B235" s="8" t="s">
        <v>116</v>
      </c>
      <c r="C235" s="8" t="s">
        <v>132</v>
      </c>
      <c r="D235" s="4" t="s">
        <v>429</v>
      </c>
      <c r="E235" s="8"/>
      <c r="F235" s="9">
        <f>F236</f>
        <v>45</v>
      </c>
    </row>
    <row r="236" spans="1:11" ht="31.5" x14ac:dyDescent="0.25">
      <c r="A236" s="345" t="s">
        <v>123</v>
      </c>
      <c r="B236" s="8" t="s">
        <v>116</v>
      </c>
      <c r="C236" s="8" t="s">
        <v>132</v>
      </c>
      <c r="D236" s="4" t="s">
        <v>429</v>
      </c>
      <c r="E236" s="8" t="s">
        <v>124</v>
      </c>
      <c r="F236" s="9">
        <f>F237</f>
        <v>45</v>
      </c>
    </row>
    <row r="237" spans="1:11" ht="47.25" x14ac:dyDescent="0.25">
      <c r="A237" s="345" t="s">
        <v>125</v>
      </c>
      <c r="B237" s="8" t="s">
        <v>116</v>
      </c>
      <c r="C237" s="8" t="s">
        <v>132</v>
      </c>
      <c r="D237" s="4" t="s">
        <v>429</v>
      </c>
      <c r="E237" s="8" t="s">
        <v>126</v>
      </c>
      <c r="F237" s="9">
        <f>'Пр.4 ведом.22'!G161+'Пр.4 ведом.22'!G686</f>
        <v>45</v>
      </c>
    </row>
    <row r="238" spans="1:11" s="343" customFormat="1" ht="63" x14ac:dyDescent="0.25">
      <c r="A238" s="340" t="s">
        <v>1257</v>
      </c>
      <c r="B238" s="7" t="s">
        <v>116</v>
      </c>
      <c r="C238" s="7" t="s">
        <v>132</v>
      </c>
      <c r="D238" s="119" t="s">
        <v>1249</v>
      </c>
      <c r="E238" s="7"/>
      <c r="F238" s="35">
        <f>F239</f>
        <v>30</v>
      </c>
      <c r="G238" s="344"/>
      <c r="H238" s="344"/>
      <c r="I238" s="344"/>
      <c r="J238" s="344"/>
      <c r="K238" s="344"/>
    </row>
    <row r="239" spans="1:11" s="343" customFormat="1" ht="47.25" x14ac:dyDescent="0.25">
      <c r="A239" s="340" t="s">
        <v>1258</v>
      </c>
      <c r="B239" s="8" t="s">
        <v>116</v>
      </c>
      <c r="C239" s="8" t="s">
        <v>132</v>
      </c>
      <c r="D239" s="4" t="s">
        <v>1250</v>
      </c>
      <c r="E239" s="8"/>
      <c r="F239" s="9">
        <f>F240</f>
        <v>30</v>
      </c>
      <c r="G239" s="344"/>
      <c r="H239" s="344"/>
      <c r="I239" s="344"/>
      <c r="J239" s="344"/>
      <c r="K239" s="344"/>
    </row>
    <row r="240" spans="1:11" s="343" customFormat="1" ht="31.5" x14ac:dyDescent="0.25">
      <c r="A240" s="345" t="s">
        <v>1259</v>
      </c>
      <c r="B240" s="8" t="s">
        <v>116</v>
      </c>
      <c r="C240" s="8" t="s">
        <v>132</v>
      </c>
      <c r="D240" s="4" t="s">
        <v>1251</v>
      </c>
      <c r="E240" s="8"/>
      <c r="F240" s="9">
        <f>F241</f>
        <v>30</v>
      </c>
      <c r="G240" s="344"/>
      <c r="H240" s="344"/>
      <c r="I240" s="344"/>
      <c r="J240" s="344"/>
      <c r="K240" s="344"/>
    </row>
    <row r="241" spans="1:11" s="343" customFormat="1" ht="31.5" x14ac:dyDescent="0.25">
      <c r="A241" s="583" t="s">
        <v>177</v>
      </c>
      <c r="B241" s="8" t="s">
        <v>116</v>
      </c>
      <c r="C241" s="8" t="s">
        <v>132</v>
      </c>
      <c r="D241" s="4" t="s">
        <v>1251</v>
      </c>
      <c r="E241" s="8" t="s">
        <v>178</v>
      </c>
      <c r="F241" s="9">
        <f>F242</f>
        <v>30</v>
      </c>
      <c r="G241" s="344"/>
      <c r="H241" s="344"/>
      <c r="I241" s="344"/>
      <c r="J241" s="344"/>
      <c r="K241" s="344"/>
    </row>
    <row r="242" spans="1:11" s="343" customFormat="1" ht="15.75" x14ac:dyDescent="0.25">
      <c r="A242" s="345" t="s">
        <v>1260</v>
      </c>
      <c r="B242" s="8" t="s">
        <v>116</v>
      </c>
      <c r="C242" s="8" t="s">
        <v>132</v>
      </c>
      <c r="D242" s="4" t="s">
        <v>1251</v>
      </c>
      <c r="E242" s="8" t="s">
        <v>1252</v>
      </c>
      <c r="F242" s="9">
        <f>'Пр.4 ведом.22'!G166</f>
        <v>30</v>
      </c>
      <c r="G242" s="344"/>
      <c r="H242" s="344"/>
      <c r="I242" s="344"/>
      <c r="J242" s="344"/>
      <c r="K242" s="344"/>
    </row>
    <row r="243" spans="1:11" ht="63" x14ac:dyDescent="0.25">
      <c r="A243" s="340" t="s">
        <v>874</v>
      </c>
      <c r="B243" s="7" t="s">
        <v>116</v>
      </c>
      <c r="C243" s="7" t="s">
        <v>132</v>
      </c>
      <c r="D243" s="119" t="s">
        <v>394</v>
      </c>
      <c r="E243" s="7"/>
      <c r="F243" s="294">
        <f>F244</f>
        <v>80</v>
      </c>
    </row>
    <row r="244" spans="1:11" ht="31.5" x14ac:dyDescent="0.25">
      <c r="A244" s="34" t="s">
        <v>430</v>
      </c>
      <c r="B244" s="7" t="s">
        <v>116</v>
      </c>
      <c r="C244" s="7" t="s">
        <v>132</v>
      </c>
      <c r="D244" s="119" t="s">
        <v>438</v>
      </c>
      <c r="E244" s="7"/>
      <c r="F244" s="294">
        <f t="shared" ref="F244:F245" si="31">F245</f>
        <v>80</v>
      </c>
    </row>
    <row r="245" spans="1:11" ht="15.75" x14ac:dyDescent="0.25">
      <c r="A245" s="29" t="s">
        <v>398</v>
      </c>
      <c r="B245" s="8" t="s">
        <v>116</v>
      </c>
      <c r="C245" s="8" t="s">
        <v>132</v>
      </c>
      <c r="D245" s="4" t="s">
        <v>431</v>
      </c>
      <c r="E245" s="8"/>
      <c r="F245" s="246">
        <f t="shared" si="31"/>
        <v>80</v>
      </c>
    </row>
    <row r="246" spans="1:11" ht="39.75" customHeight="1" x14ac:dyDescent="0.25">
      <c r="A246" s="345" t="s">
        <v>123</v>
      </c>
      <c r="B246" s="8" t="s">
        <v>116</v>
      </c>
      <c r="C246" s="8" t="s">
        <v>132</v>
      </c>
      <c r="D246" s="4" t="s">
        <v>431</v>
      </c>
      <c r="E246" s="8" t="s">
        <v>124</v>
      </c>
      <c r="F246" s="246">
        <f>F247</f>
        <v>80</v>
      </c>
      <c r="G246" s="71"/>
    </row>
    <row r="247" spans="1:11" ht="47.25" x14ac:dyDescent="0.25">
      <c r="A247" s="345" t="s">
        <v>125</v>
      </c>
      <c r="B247" s="8" t="s">
        <v>116</v>
      </c>
      <c r="C247" s="8" t="s">
        <v>132</v>
      </c>
      <c r="D247" s="4" t="s">
        <v>431</v>
      </c>
      <c r="E247" s="8" t="s">
        <v>126</v>
      </c>
      <c r="F247" s="295">
        <f>'Пр.4 ведом.22'!G171</f>
        <v>80</v>
      </c>
    </row>
    <row r="248" spans="1:11" s="128" customFormat="1" ht="15.75" hidden="1" x14ac:dyDescent="0.25">
      <c r="A248" s="298" t="s">
        <v>157</v>
      </c>
      <c r="B248" s="299" t="s">
        <v>158</v>
      </c>
      <c r="C248" s="299"/>
      <c r="D248" s="299"/>
      <c r="E248" s="299"/>
      <c r="F248" s="294">
        <f t="shared" ref="F248:F253" si="32">F249</f>
        <v>0</v>
      </c>
      <c r="G248" s="344"/>
      <c r="H248" s="344"/>
      <c r="I248" s="344"/>
      <c r="J248" s="344"/>
      <c r="K248" s="344"/>
    </row>
    <row r="249" spans="1:11" s="128" customFormat="1" ht="19.5" hidden="1" customHeight="1" x14ac:dyDescent="0.25">
      <c r="A249" s="298" t="s">
        <v>160</v>
      </c>
      <c r="B249" s="299" t="s">
        <v>158</v>
      </c>
      <c r="C249" s="299" t="s">
        <v>161</v>
      </c>
      <c r="D249" s="299"/>
      <c r="E249" s="299"/>
      <c r="F249" s="294">
        <f t="shared" si="32"/>
        <v>0</v>
      </c>
      <c r="G249" s="344"/>
      <c r="H249" s="344"/>
      <c r="I249" s="344"/>
      <c r="J249" s="344"/>
      <c r="K249" s="344"/>
    </row>
    <row r="250" spans="1:11" s="128" customFormat="1" ht="15.75" hidden="1" x14ac:dyDescent="0.25">
      <c r="A250" s="298" t="s">
        <v>133</v>
      </c>
      <c r="B250" s="299" t="s">
        <v>158</v>
      </c>
      <c r="C250" s="299" t="s">
        <v>161</v>
      </c>
      <c r="D250" s="299" t="s">
        <v>440</v>
      </c>
      <c r="E250" s="299"/>
      <c r="F250" s="294">
        <f t="shared" si="32"/>
        <v>0</v>
      </c>
      <c r="G250" s="344"/>
      <c r="H250" s="344"/>
      <c r="I250" s="344"/>
      <c r="J250" s="344"/>
      <c r="K250" s="344"/>
    </row>
    <row r="251" spans="1:11" s="128" customFormat="1" ht="31.5" hidden="1" x14ac:dyDescent="0.25">
      <c r="A251" s="298" t="s">
        <v>444</v>
      </c>
      <c r="B251" s="299" t="s">
        <v>158</v>
      </c>
      <c r="C251" s="299" t="s">
        <v>161</v>
      </c>
      <c r="D251" s="299" t="s">
        <v>439</v>
      </c>
      <c r="E251" s="299"/>
      <c r="F251" s="294">
        <f t="shared" si="32"/>
        <v>0</v>
      </c>
      <c r="G251" s="344"/>
      <c r="H251" s="344"/>
      <c r="I251" s="344"/>
      <c r="J251" s="344"/>
      <c r="K251" s="344"/>
    </row>
    <row r="252" spans="1:11" s="128" customFormat="1" ht="15.75" hidden="1" x14ac:dyDescent="0.25">
      <c r="A252" s="345" t="s">
        <v>162</v>
      </c>
      <c r="B252" s="346" t="s">
        <v>158</v>
      </c>
      <c r="C252" s="346" t="s">
        <v>161</v>
      </c>
      <c r="D252" s="346" t="s">
        <v>445</v>
      </c>
      <c r="E252" s="346"/>
      <c r="F252" s="295">
        <f t="shared" si="32"/>
        <v>0</v>
      </c>
      <c r="G252" s="344"/>
      <c r="H252" s="344"/>
      <c r="I252" s="344"/>
      <c r="J252" s="344"/>
      <c r="K252" s="344"/>
    </row>
    <row r="253" spans="1:11" s="128" customFormat="1" ht="31.5" hidden="1" x14ac:dyDescent="0.25">
      <c r="A253" s="345" t="s">
        <v>153</v>
      </c>
      <c r="B253" s="346" t="s">
        <v>158</v>
      </c>
      <c r="C253" s="346" t="s">
        <v>161</v>
      </c>
      <c r="D253" s="346" t="s">
        <v>445</v>
      </c>
      <c r="E253" s="346" t="s">
        <v>124</v>
      </c>
      <c r="F253" s="295">
        <f t="shared" si="32"/>
        <v>0</v>
      </c>
      <c r="G253" s="344"/>
      <c r="H253" s="344"/>
      <c r="I253" s="344"/>
      <c r="J253" s="344"/>
      <c r="K253" s="344"/>
    </row>
    <row r="254" spans="1:11" s="128" customFormat="1" ht="47.25" hidden="1" x14ac:dyDescent="0.25">
      <c r="A254" s="345" t="s">
        <v>125</v>
      </c>
      <c r="B254" s="346" t="s">
        <v>158</v>
      </c>
      <c r="C254" s="346" t="s">
        <v>161</v>
      </c>
      <c r="D254" s="346" t="s">
        <v>445</v>
      </c>
      <c r="E254" s="346" t="s">
        <v>126</v>
      </c>
      <c r="F254" s="295">
        <f>'Пр.4 ведом.22'!G178</f>
        <v>0</v>
      </c>
      <c r="G254" s="344"/>
      <c r="H254" s="344"/>
      <c r="I254" s="344"/>
      <c r="J254" s="344"/>
      <c r="K254" s="344"/>
    </row>
    <row r="255" spans="1:11" ht="31.5" x14ac:dyDescent="0.25">
      <c r="A255" s="298" t="s">
        <v>163</v>
      </c>
      <c r="B255" s="299" t="s">
        <v>159</v>
      </c>
      <c r="C255" s="299"/>
      <c r="D255" s="299"/>
      <c r="E255" s="299"/>
      <c r="F255" s="294">
        <f t="shared" ref="F255" si="33">F256</f>
        <v>10465.955</v>
      </c>
    </row>
    <row r="256" spans="1:11" ht="47.25" x14ac:dyDescent="0.25">
      <c r="A256" s="298" t="s">
        <v>849</v>
      </c>
      <c r="B256" s="299" t="s">
        <v>159</v>
      </c>
      <c r="C256" s="299" t="s">
        <v>174</v>
      </c>
      <c r="D256" s="346"/>
      <c r="E256" s="346"/>
      <c r="F256" s="294">
        <f>F257+F285</f>
        <v>10465.955</v>
      </c>
      <c r="G256" s="71"/>
      <c r="H256" s="71"/>
      <c r="I256" s="71"/>
      <c r="J256" s="71"/>
    </row>
    <row r="257" spans="1:11" ht="15.75" x14ac:dyDescent="0.25">
      <c r="A257" s="298" t="s">
        <v>133</v>
      </c>
      <c r="B257" s="299" t="s">
        <v>159</v>
      </c>
      <c r="C257" s="299" t="s">
        <v>174</v>
      </c>
      <c r="D257" s="299" t="s">
        <v>440</v>
      </c>
      <c r="E257" s="299"/>
      <c r="F257" s="294">
        <f>F269+F276+F258</f>
        <v>10465.955</v>
      </c>
    </row>
    <row r="258" spans="1:11" s="343" customFormat="1" ht="15.75" x14ac:dyDescent="0.25">
      <c r="A258" s="298" t="s">
        <v>1115</v>
      </c>
      <c r="B258" s="299" t="s">
        <v>159</v>
      </c>
      <c r="C258" s="299" t="s">
        <v>174</v>
      </c>
      <c r="D258" s="299" t="s">
        <v>516</v>
      </c>
      <c r="E258" s="299"/>
      <c r="F258" s="294">
        <f>F259+F262</f>
        <v>6949.4306400000005</v>
      </c>
      <c r="G258" s="344"/>
      <c r="H258" s="344"/>
      <c r="I258" s="344"/>
      <c r="J258" s="344"/>
      <c r="K258" s="344"/>
    </row>
    <row r="259" spans="1:11" s="343" customFormat="1" ht="47.25" x14ac:dyDescent="0.25">
      <c r="A259" s="345" t="s">
        <v>414</v>
      </c>
      <c r="B259" s="346" t="s">
        <v>159</v>
      </c>
      <c r="C259" s="346" t="s">
        <v>174</v>
      </c>
      <c r="D259" s="346" t="s">
        <v>519</v>
      </c>
      <c r="E259" s="346"/>
      <c r="F259" s="295">
        <f>F260</f>
        <v>212.4</v>
      </c>
      <c r="G259" s="344"/>
      <c r="H259" s="344"/>
      <c r="I259" s="344"/>
      <c r="J259" s="344"/>
      <c r="K259" s="344"/>
    </row>
    <row r="260" spans="1:11" s="343" customFormat="1" ht="78.75" x14ac:dyDescent="0.25">
      <c r="A260" s="345" t="s">
        <v>119</v>
      </c>
      <c r="B260" s="346" t="s">
        <v>159</v>
      </c>
      <c r="C260" s="346" t="s">
        <v>174</v>
      </c>
      <c r="D260" s="346" t="s">
        <v>519</v>
      </c>
      <c r="E260" s="346" t="s">
        <v>120</v>
      </c>
      <c r="F260" s="295">
        <f>F261</f>
        <v>212.4</v>
      </c>
      <c r="G260" s="344"/>
      <c r="H260" s="344"/>
      <c r="I260" s="344"/>
      <c r="J260" s="344"/>
      <c r="K260" s="344"/>
    </row>
    <row r="261" spans="1:11" s="343" customFormat="1" ht="31.5" x14ac:dyDescent="0.25">
      <c r="A261" s="345" t="s">
        <v>212</v>
      </c>
      <c r="B261" s="346" t="s">
        <v>159</v>
      </c>
      <c r="C261" s="346" t="s">
        <v>174</v>
      </c>
      <c r="D261" s="346" t="s">
        <v>519</v>
      </c>
      <c r="E261" s="346" t="s">
        <v>156</v>
      </c>
      <c r="F261" s="295">
        <f>'Пр.4 ведом.22'!G185</f>
        <v>212.4</v>
      </c>
      <c r="G261" s="344"/>
      <c r="H261" s="344"/>
      <c r="I261" s="344"/>
      <c r="J261" s="344"/>
      <c r="K261" s="344"/>
    </row>
    <row r="262" spans="1:11" s="343" customFormat="1" ht="15.75" x14ac:dyDescent="0.25">
      <c r="A262" s="345" t="s">
        <v>377</v>
      </c>
      <c r="B262" s="346" t="s">
        <v>159</v>
      </c>
      <c r="C262" s="346" t="s">
        <v>174</v>
      </c>
      <c r="D262" s="346" t="s">
        <v>518</v>
      </c>
      <c r="E262" s="346"/>
      <c r="F262" s="295">
        <f>F263+F265+F267</f>
        <v>6737.0306400000009</v>
      </c>
      <c r="G262" s="344"/>
      <c r="H262" s="344"/>
      <c r="I262" s="344"/>
      <c r="J262" s="344"/>
      <c r="K262" s="344"/>
    </row>
    <row r="263" spans="1:11" s="343" customFormat="1" ht="78.75" x14ac:dyDescent="0.25">
      <c r="A263" s="345" t="s">
        <v>119</v>
      </c>
      <c r="B263" s="346" t="s">
        <v>159</v>
      </c>
      <c r="C263" s="346" t="s">
        <v>174</v>
      </c>
      <c r="D263" s="346" t="s">
        <v>518</v>
      </c>
      <c r="E263" s="346" t="s">
        <v>120</v>
      </c>
      <c r="F263" s="295">
        <f>F264</f>
        <v>5847.3006400000004</v>
      </c>
      <c r="G263" s="344"/>
      <c r="H263" s="344"/>
      <c r="I263" s="344"/>
      <c r="J263" s="344"/>
      <c r="K263" s="344"/>
    </row>
    <row r="264" spans="1:11" s="343" customFormat="1" ht="31.5" x14ac:dyDescent="0.25">
      <c r="A264" s="345" t="s">
        <v>212</v>
      </c>
      <c r="B264" s="346" t="s">
        <v>159</v>
      </c>
      <c r="C264" s="346" t="s">
        <v>174</v>
      </c>
      <c r="D264" s="346" t="s">
        <v>518</v>
      </c>
      <c r="E264" s="346" t="s">
        <v>156</v>
      </c>
      <c r="F264" s="295">
        <f>'Пр.4 ведом.22'!G188</f>
        <v>5847.3006400000004</v>
      </c>
      <c r="G264" s="344"/>
      <c r="H264" s="344"/>
      <c r="I264" s="344"/>
      <c r="J264" s="344"/>
      <c r="K264" s="344"/>
    </row>
    <row r="265" spans="1:11" s="343" customFormat="1" ht="31.5" x14ac:dyDescent="0.25">
      <c r="A265" s="345" t="s">
        <v>123</v>
      </c>
      <c r="B265" s="346" t="s">
        <v>159</v>
      </c>
      <c r="C265" s="346" t="s">
        <v>174</v>
      </c>
      <c r="D265" s="346" t="s">
        <v>518</v>
      </c>
      <c r="E265" s="346" t="s">
        <v>124</v>
      </c>
      <c r="F265" s="295">
        <f>F266</f>
        <v>889.73</v>
      </c>
      <c r="G265" s="344"/>
      <c r="H265" s="344"/>
      <c r="I265" s="344"/>
      <c r="J265" s="344"/>
      <c r="K265" s="344"/>
    </row>
    <row r="266" spans="1:11" s="343" customFormat="1" ht="47.25" x14ac:dyDescent="0.25">
      <c r="A266" s="345" t="s">
        <v>125</v>
      </c>
      <c r="B266" s="346" t="s">
        <v>159</v>
      </c>
      <c r="C266" s="346" t="s">
        <v>174</v>
      </c>
      <c r="D266" s="346" t="s">
        <v>518</v>
      </c>
      <c r="E266" s="346" t="s">
        <v>126</v>
      </c>
      <c r="F266" s="295">
        <f>'Пр.4 ведом.22'!G190</f>
        <v>889.73</v>
      </c>
      <c r="G266" s="344"/>
      <c r="H266" s="344"/>
      <c r="I266" s="344"/>
      <c r="J266" s="344"/>
      <c r="K266" s="344"/>
    </row>
    <row r="267" spans="1:11" s="343" customFormat="1" ht="15.75" hidden="1" x14ac:dyDescent="0.25">
      <c r="A267" s="345" t="s">
        <v>127</v>
      </c>
      <c r="B267" s="346" t="s">
        <v>159</v>
      </c>
      <c r="C267" s="346" t="s">
        <v>174</v>
      </c>
      <c r="D267" s="346" t="s">
        <v>518</v>
      </c>
      <c r="E267" s="346" t="s">
        <v>134</v>
      </c>
      <c r="F267" s="295">
        <f>F268</f>
        <v>0</v>
      </c>
      <c r="G267" s="344"/>
      <c r="H267" s="344"/>
      <c r="I267" s="344"/>
      <c r="J267" s="344"/>
      <c r="K267" s="344"/>
    </row>
    <row r="268" spans="1:11" s="343" customFormat="1" ht="15.75" hidden="1" x14ac:dyDescent="0.25">
      <c r="A268" s="345" t="s">
        <v>280</v>
      </c>
      <c r="B268" s="346" t="s">
        <v>159</v>
      </c>
      <c r="C268" s="346" t="s">
        <v>174</v>
      </c>
      <c r="D268" s="346" t="s">
        <v>518</v>
      </c>
      <c r="E268" s="346" t="s">
        <v>130</v>
      </c>
      <c r="F268" s="295">
        <f>'Пр.4 ведом.22'!G192</f>
        <v>0</v>
      </c>
      <c r="G268" s="344"/>
      <c r="H268" s="344"/>
      <c r="I268" s="344"/>
      <c r="J268" s="344"/>
      <c r="K268" s="344"/>
    </row>
    <row r="269" spans="1:11" ht="31.5" x14ac:dyDescent="0.25">
      <c r="A269" s="298" t="s">
        <v>444</v>
      </c>
      <c r="B269" s="299" t="s">
        <v>159</v>
      </c>
      <c r="C269" s="299" t="s">
        <v>174</v>
      </c>
      <c r="D269" s="299" t="s">
        <v>439</v>
      </c>
      <c r="E269" s="299"/>
      <c r="F269" s="294">
        <f>F270+F273</f>
        <v>592.82999999999993</v>
      </c>
    </row>
    <row r="270" spans="1:11" ht="47.25" x14ac:dyDescent="0.25">
      <c r="A270" s="345" t="s">
        <v>164</v>
      </c>
      <c r="B270" s="346" t="s">
        <v>159</v>
      </c>
      <c r="C270" s="346" t="s">
        <v>174</v>
      </c>
      <c r="D270" s="346" t="s">
        <v>449</v>
      </c>
      <c r="E270" s="346"/>
      <c r="F270" s="295">
        <f t="shared" ref="F270:F271" si="34">F271</f>
        <v>272.89999999999986</v>
      </c>
    </row>
    <row r="271" spans="1:11" ht="31.5" x14ac:dyDescent="0.25">
      <c r="A271" s="345" t="s">
        <v>153</v>
      </c>
      <c r="B271" s="346" t="s">
        <v>159</v>
      </c>
      <c r="C271" s="346" t="s">
        <v>174</v>
      </c>
      <c r="D271" s="346" t="s">
        <v>449</v>
      </c>
      <c r="E271" s="346" t="s">
        <v>124</v>
      </c>
      <c r="F271" s="295">
        <f t="shared" si="34"/>
        <v>272.89999999999986</v>
      </c>
    </row>
    <row r="272" spans="1:11" ht="47.25" x14ac:dyDescent="0.25">
      <c r="A272" s="345" t="s">
        <v>125</v>
      </c>
      <c r="B272" s="346" t="s">
        <v>159</v>
      </c>
      <c r="C272" s="346" t="s">
        <v>174</v>
      </c>
      <c r="D272" s="346" t="s">
        <v>449</v>
      </c>
      <c r="E272" s="346" t="s">
        <v>126</v>
      </c>
      <c r="F272" s="249">
        <f>'Пр.4 ведом.22'!G196</f>
        <v>272.89999999999986</v>
      </c>
    </row>
    <row r="273" spans="1:11" ht="15.75" x14ac:dyDescent="0.25">
      <c r="A273" s="345" t="s">
        <v>165</v>
      </c>
      <c r="B273" s="346" t="s">
        <v>159</v>
      </c>
      <c r="C273" s="346" t="s">
        <v>174</v>
      </c>
      <c r="D273" s="346" t="s">
        <v>450</v>
      </c>
      <c r="E273" s="346"/>
      <c r="F273" s="249">
        <f t="shared" ref="F273:F274" si="35">F274</f>
        <v>319.93</v>
      </c>
    </row>
    <row r="274" spans="1:11" ht="31.5" x14ac:dyDescent="0.25">
      <c r="A274" s="345" t="s">
        <v>153</v>
      </c>
      <c r="B274" s="346" t="s">
        <v>159</v>
      </c>
      <c r="C274" s="346" t="s">
        <v>174</v>
      </c>
      <c r="D274" s="346" t="s">
        <v>450</v>
      </c>
      <c r="E274" s="346" t="s">
        <v>124</v>
      </c>
      <c r="F274" s="249">
        <f t="shared" si="35"/>
        <v>319.93</v>
      </c>
    </row>
    <row r="275" spans="1:11" ht="47.25" x14ac:dyDescent="0.25">
      <c r="A275" s="345" t="s">
        <v>125</v>
      </c>
      <c r="B275" s="346" t="s">
        <v>159</v>
      </c>
      <c r="C275" s="346" t="s">
        <v>174</v>
      </c>
      <c r="D275" s="346" t="s">
        <v>450</v>
      </c>
      <c r="E275" s="346" t="s">
        <v>126</v>
      </c>
      <c r="F275" s="249">
        <f>'Пр.4 ведом.22'!G199+'Пр.4 ведом.22'!G1075</f>
        <v>319.93</v>
      </c>
    </row>
    <row r="276" spans="1:11" ht="31.5" x14ac:dyDescent="0.25">
      <c r="A276" s="298" t="s">
        <v>492</v>
      </c>
      <c r="B276" s="299" t="s">
        <v>159</v>
      </c>
      <c r="C276" s="299" t="s">
        <v>174</v>
      </c>
      <c r="D276" s="299" t="s">
        <v>446</v>
      </c>
      <c r="E276" s="299"/>
      <c r="F276" s="294">
        <f>F277+F282</f>
        <v>2923.6943599999995</v>
      </c>
    </row>
    <row r="277" spans="1:11" ht="31.5" x14ac:dyDescent="0.25">
      <c r="A277" s="345" t="s">
        <v>496</v>
      </c>
      <c r="B277" s="346" t="s">
        <v>159</v>
      </c>
      <c r="C277" s="346" t="s">
        <v>174</v>
      </c>
      <c r="D277" s="346" t="s">
        <v>447</v>
      </c>
      <c r="E277" s="346"/>
      <c r="F277" s="246">
        <f>F278+F280</f>
        <v>2421.7993599999995</v>
      </c>
      <c r="G277" s="149" t="e">
        <f>F277+#REF!</f>
        <v>#REF!</v>
      </c>
    </row>
    <row r="278" spans="1:11" ht="78.75" x14ac:dyDescent="0.25">
      <c r="A278" s="345" t="s">
        <v>119</v>
      </c>
      <c r="B278" s="346" t="s">
        <v>159</v>
      </c>
      <c r="C278" s="346" t="s">
        <v>174</v>
      </c>
      <c r="D278" s="346" t="s">
        <v>447</v>
      </c>
      <c r="E278" s="346" t="s">
        <v>120</v>
      </c>
      <c r="F278" s="246">
        <f>F279</f>
        <v>2258.7993599999995</v>
      </c>
    </row>
    <row r="279" spans="1:11" ht="15.75" x14ac:dyDescent="0.25">
      <c r="A279" s="345" t="s">
        <v>155</v>
      </c>
      <c r="B279" s="346" t="s">
        <v>159</v>
      </c>
      <c r="C279" s="346" t="s">
        <v>174</v>
      </c>
      <c r="D279" s="346" t="s">
        <v>447</v>
      </c>
      <c r="E279" s="346" t="s">
        <v>156</v>
      </c>
      <c r="F279" s="295">
        <f>'Пр.4 ведом.22'!G203</f>
        <v>2258.7993599999995</v>
      </c>
    </row>
    <row r="280" spans="1:11" ht="31.5" x14ac:dyDescent="0.25">
      <c r="A280" s="345" t="s">
        <v>153</v>
      </c>
      <c r="B280" s="346" t="s">
        <v>159</v>
      </c>
      <c r="C280" s="346" t="s">
        <v>174</v>
      </c>
      <c r="D280" s="346" t="s">
        <v>447</v>
      </c>
      <c r="E280" s="346" t="s">
        <v>124</v>
      </c>
      <c r="F280" s="295">
        <f>F281</f>
        <v>163</v>
      </c>
    </row>
    <row r="281" spans="1:11" ht="47.25" x14ac:dyDescent="0.25">
      <c r="A281" s="345" t="s">
        <v>125</v>
      </c>
      <c r="B281" s="346" t="s">
        <v>159</v>
      </c>
      <c r="C281" s="346" t="s">
        <v>174</v>
      </c>
      <c r="D281" s="346" t="s">
        <v>447</v>
      </c>
      <c r="E281" s="346" t="s">
        <v>126</v>
      </c>
      <c r="F281" s="295">
        <f>'Пр.4 ведом.22'!G205</f>
        <v>163</v>
      </c>
    </row>
    <row r="282" spans="1:11" ht="31.5" x14ac:dyDescent="0.25">
      <c r="A282" s="345" t="s">
        <v>177</v>
      </c>
      <c r="B282" s="346" t="s">
        <v>159</v>
      </c>
      <c r="C282" s="346" t="s">
        <v>174</v>
      </c>
      <c r="D282" s="346" t="s">
        <v>447</v>
      </c>
      <c r="E282" s="346" t="s">
        <v>178</v>
      </c>
      <c r="F282" s="295">
        <f>F283</f>
        <v>501.89499999999998</v>
      </c>
    </row>
    <row r="283" spans="1:11" s="128" customFormat="1" ht="37.5" customHeight="1" x14ac:dyDescent="0.25">
      <c r="A283" s="30" t="s">
        <v>179</v>
      </c>
      <c r="B283" s="346" t="s">
        <v>159</v>
      </c>
      <c r="C283" s="346" t="s">
        <v>174</v>
      </c>
      <c r="D283" s="346" t="s">
        <v>447</v>
      </c>
      <c r="E283" s="346" t="s">
        <v>180</v>
      </c>
      <c r="F283" s="295">
        <f>'Пр.4 ведом.22'!G207</f>
        <v>501.89499999999998</v>
      </c>
      <c r="G283" s="344"/>
      <c r="H283" s="344"/>
      <c r="I283" s="344"/>
      <c r="J283" s="344"/>
      <c r="K283" s="344"/>
    </row>
    <row r="284" spans="1:11" s="293" customFormat="1" ht="47.25" hidden="1" x14ac:dyDescent="0.25">
      <c r="A284" s="340" t="s">
        <v>856</v>
      </c>
      <c r="B284" s="7" t="s">
        <v>116</v>
      </c>
      <c r="C284" s="7" t="s">
        <v>132</v>
      </c>
      <c r="D284" s="299" t="s">
        <v>339</v>
      </c>
      <c r="E284" s="346"/>
      <c r="F284" s="294">
        <f>F285</f>
        <v>0</v>
      </c>
      <c r="G284" s="344"/>
      <c r="H284" s="344"/>
      <c r="I284" s="344"/>
      <c r="J284" s="344"/>
      <c r="K284" s="344"/>
    </row>
    <row r="285" spans="1:11" s="293" customFormat="1" ht="31.5" hidden="1" x14ac:dyDescent="0.25">
      <c r="A285" s="298" t="s">
        <v>1027</v>
      </c>
      <c r="B285" s="299" t="s">
        <v>159</v>
      </c>
      <c r="C285" s="299" t="s">
        <v>174</v>
      </c>
      <c r="D285" s="299" t="s">
        <v>1028</v>
      </c>
      <c r="E285" s="304"/>
      <c r="F285" s="294">
        <f>F286+F292+F289</f>
        <v>0</v>
      </c>
      <c r="G285" s="344"/>
      <c r="H285" s="344"/>
      <c r="I285" s="344"/>
      <c r="J285" s="344"/>
      <c r="K285" s="344"/>
    </row>
    <row r="286" spans="1:11" s="293" customFormat="1" ht="15.75" hidden="1" x14ac:dyDescent="0.25">
      <c r="A286" s="345" t="s">
        <v>165</v>
      </c>
      <c r="B286" s="346" t="s">
        <v>159</v>
      </c>
      <c r="C286" s="346" t="s">
        <v>174</v>
      </c>
      <c r="D286" s="346" t="s">
        <v>1029</v>
      </c>
      <c r="E286" s="301"/>
      <c r="F286" s="295">
        <f>F287</f>
        <v>0</v>
      </c>
      <c r="G286" s="344"/>
      <c r="H286" s="344"/>
      <c r="I286" s="344"/>
      <c r="J286" s="344"/>
      <c r="K286" s="344"/>
    </row>
    <row r="287" spans="1:11" s="293" customFormat="1" ht="31.5" hidden="1" x14ac:dyDescent="0.25">
      <c r="A287" s="345" t="s">
        <v>123</v>
      </c>
      <c r="B287" s="346" t="s">
        <v>159</v>
      </c>
      <c r="C287" s="346" t="s">
        <v>174</v>
      </c>
      <c r="D287" s="346" t="s">
        <v>1029</v>
      </c>
      <c r="E287" s="301" t="s">
        <v>124</v>
      </c>
      <c r="F287" s="295">
        <f>F288</f>
        <v>0</v>
      </c>
      <c r="G287" s="344"/>
      <c r="H287" s="344"/>
      <c r="I287" s="344"/>
      <c r="J287" s="344"/>
      <c r="K287" s="344"/>
    </row>
    <row r="288" spans="1:11" s="293" customFormat="1" ht="47.25" hidden="1" x14ac:dyDescent="0.25">
      <c r="A288" s="345" t="s">
        <v>125</v>
      </c>
      <c r="B288" s="346" t="s">
        <v>159</v>
      </c>
      <c r="C288" s="346" t="s">
        <v>174</v>
      </c>
      <c r="D288" s="346" t="s">
        <v>1029</v>
      </c>
      <c r="E288" s="301" t="s">
        <v>126</v>
      </c>
      <c r="F288" s="295">
        <f>'Пр.4 ведом.22'!G215</f>
        <v>0</v>
      </c>
      <c r="G288" s="344"/>
      <c r="H288" s="344"/>
      <c r="I288" s="344"/>
      <c r="J288" s="344"/>
      <c r="K288" s="344"/>
    </row>
    <row r="289" spans="1:12" s="343" customFormat="1" ht="47.25" hidden="1" x14ac:dyDescent="0.25">
      <c r="A289" s="345" t="s">
        <v>1062</v>
      </c>
      <c r="B289" s="346" t="s">
        <v>159</v>
      </c>
      <c r="C289" s="346" t="s">
        <v>174</v>
      </c>
      <c r="D289" s="346" t="s">
        <v>1063</v>
      </c>
      <c r="E289" s="301"/>
      <c r="F289" s="295">
        <f>F290</f>
        <v>0</v>
      </c>
      <c r="G289" s="344"/>
      <c r="H289" s="344"/>
      <c r="I289" s="344"/>
      <c r="J289" s="344"/>
      <c r="K289" s="344"/>
    </row>
    <row r="290" spans="1:12" s="343" customFormat="1" ht="31.5" hidden="1" x14ac:dyDescent="0.25">
      <c r="A290" s="345" t="s">
        <v>153</v>
      </c>
      <c r="B290" s="346" t="s">
        <v>159</v>
      </c>
      <c r="C290" s="346" t="s">
        <v>174</v>
      </c>
      <c r="D290" s="346" t="s">
        <v>1063</v>
      </c>
      <c r="E290" s="301" t="s">
        <v>124</v>
      </c>
      <c r="F290" s="295">
        <f>F291</f>
        <v>0</v>
      </c>
      <c r="G290" s="344"/>
      <c r="H290" s="344"/>
      <c r="I290" s="344"/>
      <c r="J290" s="344"/>
      <c r="K290" s="344"/>
    </row>
    <row r="291" spans="1:12" s="343" customFormat="1" ht="47.25" hidden="1" x14ac:dyDescent="0.25">
      <c r="A291" s="345" t="s">
        <v>125</v>
      </c>
      <c r="B291" s="346" t="s">
        <v>159</v>
      </c>
      <c r="C291" s="346" t="s">
        <v>174</v>
      </c>
      <c r="D291" s="346" t="s">
        <v>1063</v>
      </c>
      <c r="E291" s="301" t="s">
        <v>126</v>
      </c>
      <c r="F291" s="295">
        <f>'Пр.4 ведом.22'!G218</f>
        <v>0</v>
      </c>
      <c r="G291" s="344"/>
      <c r="H291" s="344"/>
      <c r="I291" s="344"/>
      <c r="J291" s="344"/>
      <c r="K291" s="344"/>
    </row>
    <row r="292" spans="1:12" s="293" customFormat="1" ht="47.25" hidden="1" x14ac:dyDescent="0.25">
      <c r="A292" s="345" t="s">
        <v>1062</v>
      </c>
      <c r="B292" s="346" t="s">
        <v>159</v>
      </c>
      <c r="C292" s="346" t="s">
        <v>174</v>
      </c>
      <c r="D292" s="346" t="s">
        <v>1063</v>
      </c>
      <c r="E292" s="301"/>
      <c r="F292" s="295">
        <f>F293</f>
        <v>0</v>
      </c>
      <c r="G292" s="344"/>
      <c r="H292" s="344"/>
      <c r="I292" s="344"/>
      <c r="J292" s="344"/>
      <c r="K292" s="344"/>
    </row>
    <row r="293" spans="1:12" s="293" customFormat="1" ht="31.5" hidden="1" x14ac:dyDescent="0.25">
      <c r="A293" s="345" t="s">
        <v>177</v>
      </c>
      <c r="B293" s="346" t="s">
        <v>159</v>
      </c>
      <c r="C293" s="346" t="s">
        <v>174</v>
      </c>
      <c r="D293" s="346" t="s">
        <v>1063</v>
      </c>
      <c r="E293" s="301" t="s">
        <v>178</v>
      </c>
      <c r="F293" s="295">
        <f>F294</f>
        <v>0</v>
      </c>
      <c r="G293" s="344"/>
      <c r="H293" s="344"/>
      <c r="I293" s="344"/>
      <c r="J293" s="344"/>
      <c r="K293" s="344"/>
    </row>
    <row r="294" spans="1:12" s="293" customFormat="1" ht="31.5" hidden="1" x14ac:dyDescent="0.25">
      <c r="A294" s="345" t="s">
        <v>179</v>
      </c>
      <c r="B294" s="346" t="s">
        <v>159</v>
      </c>
      <c r="C294" s="346" t="s">
        <v>174</v>
      </c>
      <c r="D294" s="346" t="s">
        <v>1063</v>
      </c>
      <c r="E294" s="301" t="s">
        <v>180</v>
      </c>
      <c r="F294" s="295">
        <f>'Пр.4 ведом.22'!G221</f>
        <v>0</v>
      </c>
      <c r="G294" s="344"/>
      <c r="H294" s="344"/>
      <c r="I294" s="344"/>
      <c r="J294" s="344"/>
      <c r="K294" s="344"/>
    </row>
    <row r="295" spans="1:12" ht="15.75" x14ac:dyDescent="0.25">
      <c r="A295" s="298" t="s">
        <v>166</v>
      </c>
      <c r="B295" s="299" t="s">
        <v>139</v>
      </c>
      <c r="C295" s="299"/>
      <c r="D295" s="299"/>
      <c r="E295" s="346"/>
      <c r="F295" s="294">
        <f>F306+F312+F326+F296</f>
        <v>8133.4000000000005</v>
      </c>
      <c r="K295" s="71" t="e">
        <f>F295-F328-'Пр.4 ведом.22'!#REF!-'Пр.4 ведом.22'!#REF!-'Пр.4 ведом.22'!#REF!</f>
        <v>#REF!</v>
      </c>
      <c r="L295" s="15" t="e">
        <f>F328+F341+F354-'Пр.4 ведом.22'!#REF!-'Пр.4 ведом.22'!#REF!-'Пр.4 ведом.22'!#REF!+F299</f>
        <v>#REF!</v>
      </c>
    </row>
    <row r="296" spans="1:12" ht="15.75" x14ac:dyDescent="0.25">
      <c r="A296" s="298" t="s">
        <v>167</v>
      </c>
      <c r="B296" s="299" t="s">
        <v>139</v>
      </c>
      <c r="C296" s="299" t="s">
        <v>168</v>
      </c>
      <c r="D296" s="299"/>
      <c r="E296" s="346"/>
      <c r="F296" s="294">
        <f>F297</f>
        <v>19.199999999999989</v>
      </c>
    </row>
    <row r="297" spans="1:12" ht="31.7" customHeight="1" x14ac:dyDescent="0.25">
      <c r="A297" s="24" t="s">
        <v>875</v>
      </c>
      <c r="B297" s="299" t="s">
        <v>139</v>
      </c>
      <c r="C297" s="299" t="s">
        <v>168</v>
      </c>
      <c r="D297" s="119" t="s">
        <v>147</v>
      </c>
      <c r="E297" s="304"/>
      <c r="F297" s="294">
        <f>F298+F302</f>
        <v>19.199999999999989</v>
      </c>
    </row>
    <row r="298" spans="1:12" ht="31.5" x14ac:dyDescent="0.25">
      <c r="A298" s="24" t="s">
        <v>567</v>
      </c>
      <c r="B298" s="299" t="s">
        <v>139</v>
      </c>
      <c r="C298" s="299" t="s">
        <v>168</v>
      </c>
      <c r="D298" s="165" t="s">
        <v>451</v>
      </c>
      <c r="E298" s="304"/>
      <c r="F298" s="294">
        <f>F299</f>
        <v>19.199999999999989</v>
      </c>
    </row>
    <row r="299" spans="1:12" ht="31.5" x14ac:dyDescent="0.25">
      <c r="A299" s="345" t="s">
        <v>169</v>
      </c>
      <c r="B299" s="346" t="s">
        <v>139</v>
      </c>
      <c r="C299" s="346" t="s">
        <v>168</v>
      </c>
      <c r="D299" s="346" t="s">
        <v>467</v>
      </c>
      <c r="E299" s="301"/>
      <c r="F299" s="295">
        <f>F300</f>
        <v>19.199999999999989</v>
      </c>
    </row>
    <row r="300" spans="1:12" ht="15.75" x14ac:dyDescent="0.25">
      <c r="A300" s="20" t="s">
        <v>127</v>
      </c>
      <c r="B300" s="346" t="s">
        <v>139</v>
      </c>
      <c r="C300" s="346" t="s">
        <v>168</v>
      </c>
      <c r="D300" s="346" t="s">
        <v>467</v>
      </c>
      <c r="E300" s="301" t="s">
        <v>134</v>
      </c>
      <c r="F300" s="295">
        <f>F301</f>
        <v>19.199999999999989</v>
      </c>
    </row>
    <row r="301" spans="1:12" ht="47.25" x14ac:dyDescent="0.25">
      <c r="A301" s="20" t="s">
        <v>148</v>
      </c>
      <c r="B301" s="346" t="s">
        <v>139</v>
      </c>
      <c r="C301" s="346" t="s">
        <v>168</v>
      </c>
      <c r="D301" s="346" t="s">
        <v>467</v>
      </c>
      <c r="E301" s="301" t="s">
        <v>142</v>
      </c>
      <c r="F301" s="295">
        <f>'Пр.4 ведом.22'!G228</f>
        <v>19.199999999999989</v>
      </c>
    </row>
    <row r="302" spans="1:12" ht="47.25" hidden="1" x14ac:dyDescent="0.25">
      <c r="A302" s="135" t="s">
        <v>568</v>
      </c>
      <c r="B302" s="299" t="s">
        <v>139</v>
      </c>
      <c r="C302" s="299" t="s">
        <v>168</v>
      </c>
      <c r="D302" s="119" t="s">
        <v>453</v>
      </c>
      <c r="E302" s="304"/>
      <c r="F302" s="294">
        <f>F303</f>
        <v>0</v>
      </c>
    </row>
    <row r="303" spans="1:12" s="128" customFormat="1" ht="15.75" hidden="1" x14ac:dyDescent="0.25">
      <c r="A303" s="345" t="s">
        <v>452</v>
      </c>
      <c r="B303" s="346" t="s">
        <v>139</v>
      </c>
      <c r="C303" s="346" t="s">
        <v>168</v>
      </c>
      <c r="D303" s="4" t="s">
        <v>468</v>
      </c>
      <c r="E303" s="301"/>
      <c r="F303" s="295">
        <f>F304</f>
        <v>0</v>
      </c>
      <c r="G303" s="344"/>
      <c r="H303" s="344"/>
      <c r="I303" s="344"/>
      <c r="J303" s="344"/>
      <c r="K303" s="344"/>
    </row>
    <row r="304" spans="1:12" s="128" customFormat="1" ht="15.75" hidden="1" x14ac:dyDescent="0.25">
      <c r="A304" s="20" t="s">
        <v>127</v>
      </c>
      <c r="B304" s="346" t="s">
        <v>139</v>
      </c>
      <c r="C304" s="346" t="s">
        <v>168</v>
      </c>
      <c r="D304" s="4" t="s">
        <v>468</v>
      </c>
      <c r="E304" s="301" t="s">
        <v>134</v>
      </c>
      <c r="F304" s="295">
        <f>F305</f>
        <v>0</v>
      </c>
      <c r="G304" s="344"/>
      <c r="H304" s="344"/>
      <c r="I304" s="344"/>
      <c r="J304" s="344"/>
      <c r="K304" s="344"/>
    </row>
    <row r="305" spans="1:11" s="128" customFormat="1" ht="47.25" hidden="1" x14ac:dyDescent="0.25">
      <c r="A305" s="20" t="s">
        <v>148</v>
      </c>
      <c r="B305" s="346" t="s">
        <v>139</v>
      </c>
      <c r="C305" s="346" t="s">
        <v>168</v>
      </c>
      <c r="D305" s="4" t="s">
        <v>468</v>
      </c>
      <c r="E305" s="301" t="s">
        <v>142</v>
      </c>
      <c r="F305" s="295">
        <f>'Пр.4 ведом.22'!G232</f>
        <v>0</v>
      </c>
      <c r="G305" s="344"/>
      <c r="H305" s="344"/>
      <c r="I305" s="344"/>
      <c r="J305" s="344"/>
      <c r="K305" s="344"/>
    </row>
    <row r="306" spans="1:11" ht="15.75" x14ac:dyDescent="0.25">
      <c r="A306" s="298" t="s">
        <v>256</v>
      </c>
      <c r="B306" s="299" t="s">
        <v>139</v>
      </c>
      <c r="C306" s="299" t="s">
        <v>203</v>
      </c>
      <c r="D306" s="299"/>
      <c r="E306" s="299"/>
      <c r="F306" s="294">
        <f t="shared" ref="F306:F310" si="36">F307</f>
        <v>3258</v>
      </c>
    </row>
    <row r="307" spans="1:11" ht="15.75" x14ac:dyDescent="0.25">
      <c r="A307" s="298" t="s">
        <v>133</v>
      </c>
      <c r="B307" s="299" t="s">
        <v>139</v>
      </c>
      <c r="C307" s="299" t="s">
        <v>203</v>
      </c>
      <c r="D307" s="299" t="s">
        <v>440</v>
      </c>
      <c r="E307" s="299"/>
      <c r="F307" s="294">
        <f t="shared" si="36"/>
        <v>3258</v>
      </c>
    </row>
    <row r="308" spans="1:11" ht="31.5" x14ac:dyDescent="0.25">
      <c r="A308" s="298" t="s">
        <v>444</v>
      </c>
      <c r="B308" s="299" t="s">
        <v>139</v>
      </c>
      <c r="C308" s="299" t="s">
        <v>203</v>
      </c>
      <c r="D308" s="299" t="s">
        <v>439</v>
      </c>
      <c r="E308" s="299"/>
      <c r="F308" s="294">
        <f t="shared" si="36"/>
        <v>3258</v>
      </c>
    </row>
    <row r="309" spans="1:11" ht="17.45" customHeight="1" x14ac:dyDescent="0.25">
      <c r="A309" s="345" t="s">
        <v>257</v>
      </c>
      <c r="B309" s="346" t="s">
        <v>139</v>
      </c>
      <c r="C309" s="346" t="s">
        <v>203</v>
      </c>
      <c r="D309" s="346" t="s">
        <v>520</v>
      </c>
      <c r="E309" s="346"/>
      <c r="F309" s="295">
        <f t="shared" si="36"/>
        <v>3258</v>
      </c>
    </row>
    <row r="310" spans="1:11" ht="34.5" customHeight="1" x14ac:dyDescent="0.25">
      <c r="A310" s="345" t="s">
        <v>123</v>
      </c>
      <c r="B310" s="346" t="s">
        <v>139</v>
      </c>
      <c r="C310" s="346" t="s">
        <v>203</v>
      </c>
      <c r="D310" s="346" t="s">
        <v>520</v>
      </c>
      <c r="E310" s="346" t="s">
        <v>124</v>
      </c>
      <c r="F310" s="295">
        <f t="shared" si="36"/>
        <v>3258</v>
      </c>
    </row>
    <row r="311" spans="1:11" ht="38.25" customHeight="1" x14ac:dyDescent="0.25">
      <c r="A311" s="345" t="s">
        <v>125</v>
      </c>
      <c r="B311" s="346" t="s">
        <v>139</v>
      </c>
      <c r="C311" s="346" t="s">
        <v>203</v>
      </c>
      <c r="D311" s="346" t="s">
        <v>520</v>
      </c>
      <c r="E311" s="346" t="s">
        <v>126</v>
      </c>
      <c r="F311" s="246">
        <f>'Пр.4 ведом.22'!G1091</f>
        <v>3258</v>
      </c>
    </row>
    <row r="312" spans="1:11" ht="15.75" x14ac:dyDescent="0.25">
      <c r="A312" s="298" t="s">
        <v>258</v>
      </c>
      <c r="B312" s="299" t="s">
        <v>139</v>
      </c>
      <c r="C312" s="299" t="s">
        <v>161</v>
      </c>
      <c r="D312" s="346"/>
      <c r="E312" s="299"/>
      <c r="F312" s="294">
        <f t="shared" ref="F312" si="37">F313</f>
        <v>4110.4000000000005</v>
      </c>
    </row>
    <row r="313" spans="1:11" ht="47.25" x14ac:dyDescent="0.25">
      <c r="A313" s="24" t="s">
        <v>871</v>
      </c>
      <c r="B313" s="299" t="s">
        <v>139</v>
      </c>
      <c r="C313" s="299" t="s">
        <v>161</v>
      </c>
      <c r="D313" s="299" t="s">
        <v>259</v>
      </c>
      <c r="E313" s="299"/>
      <c r="F313" s="35">
        <f>F314+F318</f>
        <v>4110.4000000000005</v>
      </c>
    </row>
    <row r="314" spans="1:11" ht="31.5" hidden="1" x14ac:dyDescent="0.25">
      <c r="A314" s="24" t="s">
        <v>560</v>
      </c>
      <c r="B314" s="299" t="s">
        <v>139</v>
      </c>
      <c r="C314" s="299" t="s">
        <v>161</v>
      </c>
      <c r="D314" s="6" t="s">
        <v>521</v>
      </c>
      <c r="E314" s="299"/>
      <c r="F314" s="35">
        <f>F315</f>
        <v>144.30000000000001</v>
      </c>
    </row>
    <row r="315" spans="1:11" ht="15.75" hidden="1" x14ac:dyDescent="0.25">
      <c r="A315" s="20" t="s">
        <v>562</v>
      </c>
      <c r="B315" s="346" t="s">
        <v>139</v>
      </c>
      <c r="C315" s="346" t="s">
        <v>161</v>
      </c>
      <c r="D315" s="341" t="s">
        <v>561</v>
      </c>
      <c r="E315" s="346"/>
      <c r="F315" s="9">
        <f>F316</f>
        <v>144.30000000000001</v>
      </c>
    </row>
    <row r="316" spans="1:11" ht="31.5" hidden="1" x14ac:dyDescent="0.25">
      <c r="A316" s="345" t="s">
        <v>123</v>
      </c>
      <c r="B316" s="346" t="s">
        <v>139</v>
      </c>
      <c r="C316" s="346" t="s">
        <v>161</v>
      </c>
      <c r="D316" s="341" t="s">
        <v>561</v>
      </c>
      <c r="E316" s="346" t="s">
        <v>124</v>
      </c>
      <c r="F316" s="246">
        <f>F317</f>
        <v>144.30000000000001</v>
      </c>
    </row>
    <row r="317" spans="1:11" ht="47.25" hidden="1" x14ac:dyDescent="0.25">
      <c r="A317" s="345" t="s">
        <v>125</v>
      </c>
      <c r="B317" s="346" t="s">
        <v>139</v>
      </c>
      <c r="C317" s="346" t="s">
        <v>161</v>
      </c>
      <c r="D317" s="341" t="s">
        <v>561</v>
      </c>
      <c r="E317" s="346" t="s">
        <v>126</v>
      </c>
      <c r="F317" s="246">
        <f>'Пр.4 ведом.22'!G1097</f>
        <v>144.30000000000001</v>
      </c>
    </row>
    <row r="318" spans="1:11" ht="31.5" x14ac:dyDescent="0.25">
      <c r="A318" s="24" t="s">
        <v>616</v>
      </c>
      <c r="B318" s="299" t="s">
        <v>139</v>
      </c>
      <c r="C318" s="299" t="s">
        <v>161</v>
      </c>
      <c r="D318" s="299" t="s">
        <v>522</v>
      </c>
      <c r="E318" s="299"/>
      <c r="F318" s="248">
        <f>F319</f>
        <v>3966.1000000000004</v>
      </c>
    </row>
    <row r="319" spans="1:11" s="128" customFormat="1" ht="15.75" x14ac:dyDescent="0.25">
      <c r="A319" s="20" t="s">
        <v>260</v>
      </c>
      <c r="B319" s="346" t="s">
        <v>139</v>
      </c>
      <c r="C319" s="346" t="s">
        <v>161</v>
      </c>
      <c r="D319" s="341" t="s">
        <v>563</v>
      </c>
      <c r="E319" s="346"/>
      <c r="F319" s="246">
        <f>F322+F324+F320</f>
        <v>3966.1000000000004</v>
      </c>
      <c r="G319" s="344"/>
      <c r="H319" s="344"/>
      <c r="I319" s="344"/>
      <c r="J319" s="344"/>
      <c r="K319" s="344"/>
    </row>
    <row r="320" spans="1:11" s="128" customFormat="1" ht="78.75" x14ac:dyDescent="0.25">
      <c r="A320" s="345" t="s">
        <v>119</v>
      </c>
      <c r="B320" s="346" t="s">
        <v>139</v>
      </c>
      <c r="C320" s="346" t="s">
        <v>161</v>
      </c>
      <c r="D320" s="341" t="s">
        <v>563</v>
      </c>
      <c r="E320" s="346" t="s">
        <v>120</v>
      </c>
      <c r="F320" s="246">
        <f>F321</f>
        <v>2770.4</v>
      </c>
      <c r="G320" s="344"/>
      <c r="H320" s="344"/>
      <c r="I320" s="344"/>
      <c r="J320" s="344"/>
      <c r="K320" s="344"/>
    </row>
    <row r="321" spans="1:11" s="128" customFormat="1" ht="15.75" x14ac:dyDescent="0.25">
      <c r="A321" s="345" t="s">
        <v>155</v>
      </c>
      <c r="B321" s="346" t="s">
        <v>139</v>
      </c>
      <c r="C321" s="346" t="s">
        <v>161</v>
      </c>
      <c r="D321" s="341" t="s">
        <v>563</v>
      </c>
      <c r="E321" s="346" t="s">
        <v>156</v>
      </c>
      <c r="F321" s="246">
        <f>'Пр.4 ведом.22'!G1101</f>
        <v>2770.4</v>
      </c>
      <c r="G321" s="344"/>
      <c r="H321" s="344"/>
      <c r="I321" s="344"/>
      <c r="J321" s="344"/>
      <c r="K321" s="344"/>
    </row>
    <row r="322" spans="1:11" s="128" customFormat="1" ht="31.5" x14ac:dyDescent="0.25">
      <c r="A322" s="345" t="s">
        <v>123</v>
      </c>
      <c r="B322" s="346" t="s">
        <v>139</v>
      </c>
      <c r="C322" s="346" t="s">
        <v>161</v>
      </c>
      <c r="D322" s="341" t="s">
        <v>563</v>
      </c>
      <c r="E322" s="346" t="s">
        <v>124</v>
      </c>
      <c r="F322" s="246">
        <f>F323</f>
        <v>1195.7</v>
      </c>
      <c r="G322" s="344"/>
      <c r="H322" s="344"/>
      <c r="I322" s="344"/>
      <c r="J322" s="344"/>
      <c r="K322" s="344"/>
    </row>
    <row r="323" spans="1:11" s="128" customFormat="1" ht="35.450000000000003" customHeight="1" x14ac:dyDescent="0.25">
      <c r="A323" s="345" t="s">
        <v>125</v>
      </c>
      <c r="B323" s="346" t="s">
        <v>139</v>
      </c>
      <c r="C323" s="346" t="s">
        <v>161</v>
      </c>
      <c r="D323" s="341" t="s">
        <v>563</v>
      </c>
      <c r="E323" s="346" t="s">
        <v>126</v>
      </c>
      <c r="F323" s="246">
        <f>'Пр.4 ведом.22'!G1103</f>
        <v>1195.7</v>
      </c>
      <c r="G323" s="344"/>
      <c r="H323" s="344"/>
      <c r="I323" s="344"/>
      <c r="J323" s="344"/>
      <c r="K323" s="344"/>
    </row>
    <row r="324" spans="1:11" s="128" customFormat="1" ht="15.75" hidden="1" x14ac:dyDescent="0.25">
      <c r="A324" s="345" t="s">
        <v>127</v>
      </c>
      <c r="B324" s="346" t="s">
        <v>139</v>
      </c>
      <c r="C324" s="346" t="s">
        <v>161</v>
      </c>
      <c r="D324" s="341" t="s">
        <v>563</v>
      </c>
      <c r="E324" s="346" t="s">
        <v>134</v>
      </c>
      <c r="F324" s="246">
        <f>F325</f>
        <v>0</v>
      </c>
      <c r="G324" s="344"/>
      <c r="H324" s="344"/>
      <c r="I324" s="344"/>
      <c r="J324" s="344"/>
      <c r="K324" s="344"/>
    </row>
    <row r="325" spans="1:11" s="128" customFormat="1" ht="15.75" hidden="1" x14ac:dyDescent="0.25">
      <c r="A325" s="345" t="s">
        <v>280</v>
      </c>
      <c r="B325" s="346" t="s">
        <v>139</v>
      </c>
      <c r="C325" s="346" t="s">
        <v>161</v>
      </c>
      <c r="D325" s="341" t="s">
        <v>563</v>
      </c>
      <c r="E325" s="346" t="s">
        <v>130</v>
      </c>
      <c r="F325" s="246">
        <f>'Пр.4 ведом.22'!G1105</f>
        <v>0</v>
      </c>
      <c r="G325" s="344"/>
      <c r="H325" s="344"/>
      <c r="I325" s="344"/>
      <c r="J325" s="344"/>
      <c r="K325" s="344"/>
    </row>
    <row r="326" spans="1:11" ht="21" customHeight="1" x14ac:dyDescent="0.25">
      <c r="A326" s="298" t="s">
        <v>170</v>
      </c>
      <c r="B326" s="299" t="s">
        <v>139</v>
      </c>
      <c r="C326" s="299" t="s">
        <v>171</v>
      </c>
      <c r="D326" s="299"/>
      <c r="E326" s="299"/>
      <c r="F326" s="35">
        <f>F327+F334+F352</f>
        <v>745.8</v>
      </c>
    </row>
    <row r="327" spans="1:11" ht="31.5" x14ac:dyDescent="0.25">
      <c r="A327" s="298" t="s">
        <v>486</v>
      </c>
      <c r="B327" s="299" t="s">
        <v>139</v>
      </c>
      <c r="C327" s="299" t="s">
        <v>171</v>
      </c>
      <c r="D327" s="299" t="s">
        <v>432</v>
      </c>
      <c r="E327" s="299"/>
      <c r="F327" s="35">
        <f>F328</f>
        <v>315.8</v>
      </c>
    </row>
    <row r="328" spans="1:11" ht="31.5" x14ac:dyDescent="0.25">
      <c r="A328" s="298" t="s">
        <v>458</v>
      </c>
      <c r="B328" s="299" t="s">
        <v>139</v>
      </c>
      <c r="C328" s="299" t="s">
        <v>171</v>
      </c>
      <c r="D328" s="299" t="s">
        <v>437</v>
      </c>
      <c r="E328" s="299"/>
      <c r="F328" s="35">
        <f>F329</f>
        <v>315.8</v>
      </c>
    </row>
    <row r="329" spans="1:11" ht="63" x14ac:dyDescent="0.25">
      <c r="A329" s="22" t="s">
        <v>172</v>
      </c>
      <c r="B329" s="346" t="s">
        <v>139</v>
      </c>
      <c r="C329" s="346" t="s">
        <v>171</v>
      </c>
      <c r="D329" s="346" t="s">
        <v>493</v>
      </c>
      <c r="E329" s="346"/>
      <c r="F329" s="9">
        <f>F330+F332</f>
        <v>315.8</v>
      </c>
      <c r="G329" s="149">
        <f>F329+F62+F65+F66+F81+F71+F76+F1077+F1083</f>
        <v>7554.1</v>
      </c>
    </row>
    <row r="330" spans="1:11" ht="78.75" x14ac:dyDescent="0.25">
      <c r="A330" s="345" t="s">
        <v>119</v>
      </c>
      <c r="B330" s="346" t="s">
        <v>139</v>
      </c>
      <c r="C330" s="346" t="s">
        <v>171</v>
      </c>
      <c r="D330" s="346" t="s">
        <v>493</v>
      </c>
      <c r="E330" s="346" t="s">
        <v>120</v>
      </c>
      <c r="F330" s="9">
        <f>F331</f>
        <v>287.10000000000002</v>
      </c>
    </row>
    <row r="331" spans="1:11" ht="32.25" customHeight="1" x14ac:dyDescent="0.25">
      <c r="A331" s="345" t="s">
        <v>121</v>
      </c>
      <c r="B331" s="346" t="s">
        <v>139</v>
      </c>
      <c r="C331" s="346" t="s">
        <v>171</v>
      </c>
      <c r="D331" s="346" t="s">
        <v>493</v>
      </c>
      <c r="E331" s="346" t="s">
        <v>122</v>
      </c>
      <c r="F331" s="9">
        <f>'Пр.4 ведом.22'!G238</f>
        <v>287.10000000000002</v>
      </c>
    </row>
    <row r="332" spans="1:11" ht="31.5" x14ac:dyDescent="0.25">
      <c r="A332" s="345" t="s">
        <v>123</v>
      </c>
      <c r="B332" s="346" t="s">
        <v>139</v>
      </c>
      <c r="C332" s="346" t="s">
        <v>171</v>
      </c>
      <c r="D332" s="346" t="s">
        <v>493</v>
      </c>
      <c r="E332" s="346" t="s">
        <v>124</v>
      </c>
      <c r="F332" s="9">
        <f>F333</f>
        <v>28.7</v>
      </c>
    </row>
    <row r="333" spans="1:11" ht="47.25" x14ac:dyDescent="0.25">
      <c r="A333" s="345" t="s">
        <v>125</v>
      </c>
      <c r="B333" s="346" t="s">
        <v>139</v>
      </c>
      <c r="C333" s="346" t="s">
        <v>171</v>
      </c>
      <c r="D333" s="346" t="s">
        <v>493</v>
      </c>
      <c r="E333" s="346" t="s">
        <v>126</v>
      </c>
      <c r="F333" s="9">
        <f>'Пр.4 ведом.22'!G240</f>
        <v>28.7</v>
      </c>
    </row>
    <row r="334" spans="1:11" s="128" customFormat="1" ht="47.25" x14ac:dyDescent="0.25">
      <c r="A334" s="298" t="s">
        <v>735</v>
      </c>
      <c r="B334" s="299" t="s">
        <v>139</v>
      </c>
      <c r="C334" s="299" t="s">
        <v>171</v>
      </c>
      <c r="D334" s="299" t="s">
        <v>213</v>
      </c>
      <c r="E334" s="304"/>
      <c r="F334" s="35">
        <f>F335</f>
        <v>60</v>
      </c>
      <c r="G334" s="344"/>
      <c r="H334" s="344"/>
      <c r="I334" s="344"/>
      <c r="J334" s="344"/>
      <c r="K334" s="344"/>
    </row>
    <row r="335" spans="1:11" s="128" customFormat="1" ht="63" x14ac:dyDescent="0.25">
      <c r="A335" s="298" t="s">
        <v>224</v>
      </c>
      <c r="B335" s="299" t="s">
        <v>139</v>
      </c>
      <c r="C335" s="299" t="s">
        <v>171</v>
      </c>
      <c r="D335" s="299" t="s">
        <v>221</v>
      </c>
      <c r="E335" s="299"/>
      <c r="F335" s="35">
        <f>F336+F340+F344+F348</f>
        <v>60</v>
      </c>
      <c r="G335" s="344"/>
      <c r="H335" s="344"/>
      <c r="I335" s="344"/>
      <c r="J335" s="344"/>
      <c r="K335" s="344"/>
    </row>
    <row r="336" spans="1:11" s="128" customFormat="1" ht="47.25" hidden="1" x14ac:dyDescent="0.25">
      <c r="A336" s="136" t="s">
        <v>602</v>
      </c>
      <c r="B336" s="299" t="s">
        <v>139</v>
      </c>
      <c r="C336" s="299" t="s">
        <v>171</v>
      </c>
      <c r="D336" s="299" t="s">
        <v>476</v>
      </c>
      <c r="E336" s="299"/>
      <c r="F336" s="35">
        <f>F337</f>
        <v>0</v>
      </c>
      <c r="G336" s="344"/>
      <c r="H336" s="344"/>
      <c r="I336" s="344"/>
      <c r="J336" s="344"/>
      <c r="K336" s="344"/>
    </row>
    <row r="337" spans="1:11" s="128" customFormat="1" ht="47.25" hidden="1" x14ac:dyDescent="0.25">
      <c r="A337" s="345" t="s">
        <v>227</v>
      </c>
      <c r="B337" s="346" t="s">
        <v>139</v>
      </c>
      <c r="C337" s="346" t="s">
        <v>171</v>
      </c>
      <c r="D337" s="346" t="s">
        <v>825</v>
      </c>
      <c r="E337" s="346"/>
      <c r="F337" s="9">
        <f>F338</f>
        <v>0</v>
      </c>
      <c r="G337" s="344"/>
      <c r="H337" s="344"/>
      <c r="I337" s="344"/>
      <c r="J337" s="344"/>
      <c r="K337" s="344"/>
    </row>
    <row r="338" spans="1:11" s="128" customFormat="1" ht="21.2" hidden="1" customHeight="1" x14ac:dyDescent="0.25">
      <c r="A338" s="345" t="s">
        <v>177</v>
      </c>
      <c r="B338" s="346" t="s">
        <v>139</v>
      </c>
      <c r="C338" s="346" t="s">
        <v>171</v>
      </c>
      <c r="D338" s="346" t="s">
        <v>825</v>
      </c>
      <c r="E338" s="346" t="s">
        <v>178</v>
      </c>
      <c r="F338" s="9">
        <f>F339</f>
        <v>0</v>
      </c>
      <c r="G338" s="344"/>
      <c r="H338" s="344"/>
      <c r="I338" s="344"/>
      <c r="J338" s="344"/>
      <c r="K338" s="344"/>
    </row>
    <row r="339" spans="1:11" s="128" customFormat="1" ht="31.5" hidden="1" x14ac:dyDescent="0.25">
      <c r="A339" s="345" t="s">
        <v>179</v>
      </c>
      <c r="B339" s="346" t="s">
        <v>139</v>
      </c>
      <c r="C339" s="346" t="s">
        <v>171</v>
      </c>
      <c r="D339" s="346" t="s">
        <v>825</v>
      </c>
      <c r="E339" s="346" t="s">
        <v>180</v>
      </c>
      <c r="F339" s="9">
        <f>'Пр.4 ведом.22'!G319</f>
        <v>0</v>
      </c>
      <c r="G339" s="344"/>
      <c r="H339" s="344"/>
      <c r="I339" s="344"/>
      <c r="J339" s="344"/>
      <c r="K339" s="344"/>
    </row>
    <row r="340" spans="1:11" s="128" customFormat="1" ht="31.5" x14ac:dyDescent="0.25">
      <c r="A340" s="298" t="s">
        <v>601</v>
      </c>
      <c r="B340" s="299" t="s">
        <v>139</v>
      </c>
      <c r="C340" s="299" t="s">
        <v>171</v>
      </c>
      <c r="D340" s="299" t="s">
        <v>737</v>
      </c>
      <c r="E340" s="299"/>
      <c r="F340" s="35">
        <f>F341</f>
        <v>60</v>
      </c>
      <c r="G340" s="344"/>
      <c r="H340" s="344"/>
      <c r="I340" s="344"/>
      <c r="J340" s="344"/>
      <c r="K340" s="344"/>
    </row>
    <row r="341" spans="1:11" s="128" customFormat="1" ht="110.25" x14ac:dyDescent="0.25">
      <c r="A341" s="345" t="s">
        <v>226</v>
      </c>
      <c r="B341" s="346" t="s">
        <v>139</v>
      </c>
      <c r="C341" s="346" t="s">
        <v>171</v>
      </c>
      <c r="D341" s="346" t="s">
        <v>738</v>
      </c>
      <c r="E341" s="346"/>
      <c r="F341" s="9">
        <f>F342</f>
        <v>60</v>
      </c>
      <c r="G341" s="344"/>
      <c r="H341" s="344"/>
      <c r="I341" s="344"/>
      <c r="J341" s="344"/>
      <c r="K341" s="344"/>
    </row>
    <row r="342" spans="1:11" s="128" customFormat="1" ht="31.5" x14ac:dyDescent="0.25">
      <c r="A342" s="345" t="s">
        <v>191</v>
      </c>
      <c r="B342" s="346" t="s">
        <v>139</v>
      </c>
      <c r="C342" s="346" t="s">
        <v>171</v>
      </c>
      <c r="D342" s="346" t="s">
        <v>738</v>
      </c>
      <c r="E342" s="346" t="s">
        <v>192</v>
      </c>
      <c r="F342" s="9">
        <f>F343</f>
        <v>60</v>
      </c>
      <c r="G342" s="344"/>
      <c r="H342" s="344"/>
      <c r="I342" s="344"/>
      <c r="J342" s="344"/>
      <c r="K342" s="344"/>
    </row>
    <row r="343" spans="1:11" s="128" customFormat="1" ht="63" x14ac:dyDescent="0.25">
      <c r="A343" s="345" t="s">
        <v>641</v>
      </c>
      <c r="B343" s="346" t="s">
        <v>139</v>
      </c>
      <c r="C343" s="346" t="s">
        <v>171</v>
      </c>
      <c r="D343" s="346" t="s">
        <v>738</v>
      </c>
      <c r="E343" s="346" t="s">
        <v>225</v>
      </c>
      <c r="F343" s="9">
        <f>'Пр.4 ведом.22'!G323</f>
        <v>60</v>
      </c>
      <c r="G343" s="344"/>
      <c r="H343" s="344"/>
      <c r="I343" s="344"/>
      <c r="J343" s="344"/>
      <c r="K343" s="344"/>
    </row>
    <row r="344" spans="1:11" s="128" customFormat="1" ht="31.5" hidden="1" x14ac:dyDescent="0.25">
      <c r="A344" s="298" t="s">
        <v>556</v>
      </c>
      <c r="B344" s="299" t="s">
        <v>139</v>
      </c>
      <c r="C344" s="299" t="s">
        <v>171</v>
      </c>
      <c r="D344" s="299" t="s">
        <v>822</v>
      </c>
      <c r="E344" s="299"/>
      <c r="F344" s="35">
        <f>F345</f>
        <v>0</v>
      </c>
      <c r="G344" s="344"/>
      <c r="H344" s="344"/>
      <c r="I344" s="344"/>
      <c r="J344" s="344"/>
      <c r="K344" s="344"/>
    </row>
    <row r="345" spans="1:11" s="128" customFormat="1" ht="31.5" hidden="1" x14ac:dyDescent="0.25">
      <c r="A345" s="166" t="s">
        <v>603</v>
      </c>
      <c r="B345" s="346" t="s">
        <v>139</v>
      </c>
      <c r="C345" s="346" t="s">
        <v>171</v>
      </c>
      <c r="D345" s="346" t="s">
        <v>823</v>
      </c>
      <c r="E345" s="346"/>
      <c r="F345" s="9">
        <f>F346</f>
        <v>0</v>
      </c>
      <c r="G345" s="344"/>
      <c r="H345" s="344"/>
      <c r="I345" s="344"/>
      <c r="J345" s="344"/>
      <c r="K345" s="344"/>
    </row>
    <row r="346" spans="1:11" s="128" customFormat="1" ht="31.5" hidden="1" x14ac:dyDescent="0.25">
      <c r="A346" s="345" t="s">
        <v>123</v>
      </c>
      <c r="B346" s="346" t="s">
        <v>139</v>
      </c>
      <c r="C346" s="346" t="s">
        <v>171</v>
      </c>
      <c r="D346" s="346" t="s">
        <v>823</v>
      </c>
      <c r="E346" s="346" t="s">
        <v>124</v>
      </c>
      <c r="F346" s="9">
        <f>F347</f>
        <v>0</v>
      </c>
      <c r="G346" s="344"/>
      <c r="H346" s="344"/>
      <c r="I346" s="344"/>
      <c r="J346" s="344"/>
      <c r="K346" s="344"/>
    </row>
    <row r="347" spans="1:11" s="128" customFormat="1" ht="47.25" hidden="1" x14ac:dyDescent="0.25">
      <c r="A347" s="345" t="s">
        <v>125</v>
      </c>
      <c r="B347" s="346" t="s">
        <v>139</v>
      </c>
      <c r="C347" s="346" t="s">
        <v>171</v>
      </c>
      <c r="D347" s="346" t="s">
        <v>823</v>
      </c>
      <c r="E347" s="346" t="s">
        <v>126</v>
      </c>
      <c r="F347" s="9">
        <f>'Пр.4 ведом.22'!G327</f>
        <v>0</v>
      </c>
      <c r="G347" s="344"/>
      <c r="H347" s="344"/>
      <c r="I347" s="344"/>
      <c r="J347" s="344"/>
      <c r="K347" s="344"/>
    </row>
    <row r="348" spans="1:11" s="128" customFormat="1" ht="31.5" hidden="1" x14ac:dyDescent="0.25">
      <c r="A348" s="303" t="s">
        <v>654</v>
      </c>
      <c r="B348" s="299" t="s">
        <v>139</v>
      </c>
      <c r="C348" s="299" t="s">
        <v>171</v>
      </c>
      <c r="D348" s="299" t="s">
        <v>739</v>
      </c>
      <c r="E348" s="299"/>
      <c r="F348" s="297">
        <f>F349</f>
        <v>0</v>
      </c>
      <c r="G348" s="344"/>
      <c r="H348" s="344"/>
      <c r="I348" s="344"/>
      <c r="J348" s="344"/>
      <c r="K348" s="344"/>
    </row>
    <row r="349" spans="1:11" s="128" customFormat="1" ht="31.5" hidden="1" x14ac:dyDescent="0.25">
      <c r="A349" s="150" t="s">
        <v>655</v>
      </c>
      <c r="B349" s="346" t="s">
        <v>139</v>
      </c>
      <c r="C349" s="346" t="s">
        <v>171</v>
      </c>
      <c r="D349" s="346" t="s">
        <v>740</v>
      </c>
      <c r="E349" s="346"/>
      <c r="F349" s="300">
        <f>F350</f>
        <v>0</v>
      </c>
      <c r="G349" s="344"/>
      <c r="H349" s="344"/>
      <c r="I349" s="344"/>
      <c r="J349" s="344"/>
      <c r="K349" s="344"/>
    </row>
    <row r="350" spans="1:11" s="128" customFormat="1" ht="31.5" hidden="1" x14ac:dyDescent="0.25">
      <c r="A350" s="345" t="s">
        <v>123</v>
      </c>
      <c r="B350" s="346" t="s">
        <v>139</v>
      </c>
      <c r="C350" s="346" t="s">
        <v>171</v>
      </c>
      <c r="D350" s="346" t="s">
        <v>740</v>
      </c>
      <c r="E350" s="346" t="s">
        <v>124</v>
      </c>
      <c r="F350" s="300">
        <f>F351</f>
        <v>0</v>
      </c>
      <c r="G350" s="344"/>
      <c r="H350" s="344"/>
      <c r="I350" s="344"/>
      <c r="J350" s="344"/>
      <c r="K350" s="344"/>
    </row>
    <row r="351" spans="1:11" s="128" customFormat="1" ht="47.25" hidden="1" x14ac:dyDescent="0.25">
      <c r="A351" s="345" t="s">
        <v>125</v>
      </c>
      <c r="B351" s="346" t="s">
        <v>139</v>
      </c>
      <c r="C351" s="346" t="s">
        <v>171</v>
      </c>
      <c r="D351" s="346" t="s">
        <v>740</v>
      </c>
      <c r="E351" s="346" t="s">
        <v>126</v>
      </c>
      <c r="F351" s="300">
        <f>'Пр.4 ведом.22'!G331</f>
        <v>0</v>
      </c>
      <c r="G351" s="344"/>
      <c r="H351" s="344"/>
      <c r="I351" s="344"/>
      <c r="J351" s="344"/>
      <c r="K351" s="344"/>
    </row>
    <row r="352" spans="1:11" ht="47.25" x14ac:dyDescent="0.25">
      <c r="A352" s="298" t="s">
        <v>840</v>
      </c>
      <c r="B352" s="299" t="s">
        <v>139</v>
      </c>
      <c r="C352" s="299" t="s">
        <v>171</v>
      </c>
      <c r="D352" s="299" t="s">
        <v>141</v>
      </c>
      <c r="E352" s="299"/>
      <c r="F352" s="35">
        <f>F353</f>
        <v>370</v>
      </c>
    </row>
    <row r="353" spans="1:12" ht="47.25" x14ac:dyDescent="0.25">
      <c r="A353" s="298" t="s">
        <v>619</v>
      </c>
      <c r="B353" s="299" t="s">
        <v>139</v>
      </c>
      <c r="C353" s="299" t="s">
        <v>171</v>
      </c>
      <c r="D353" s="299" t="s">
        <v>617</v>
      </c>
      <c r="E353" s="299"/>
      <c r="F353" s="35">
        <f>F354</f>
        <v>370</v>
      </c>
    </row>
    <row r="354" spans="1:12" ht="31.5" x14ac:dyDescent="0.25">
      <c r="A354" s="345" t="s">
        <v>620</v>
      </c>
      <c r="B354" s="346" t="s">
        <v>139</v>
      </c>
      <c r="C354" s="346" t="s">
        <v>171</v>
      </c>
      <c r="D354" s="346" t="s">
        <v>618</v>
      </c>
      <c r="E354" s="346"/>
      <c r="F354" s="9">
        <f>F355</f>
        <v>370</v>
      </c>
    </row>
    <row r="355" spans="1:12" ht="15.75" x14ac:dyDescent="0.25">
      <c r="A355" s="345" t="s">
        <v>127</v>
      </c>
      <c r="B355" s="346" t="s">
        <v>139</v>
      </c>
      <c r="C355" s="346" t="s">
        <v>171</v>
      </c>
      <c r="D355" s="346" t="s">
        <v>618</v>
      </c>
      <c r="E355" s="346" t="s">
        <v>134</v>
      </c>
      <c r="F355" s="9">
        <f>F356</f>
        <v>370</v>
      </c>
    </row>
    <row r="356" spans="1:12" ht="47.25" x14ac:dyDescent="0.25">
      <c r="A356" s="345" t="s">
        <v>148</v>
      </c>
      <c r="B356" s="346" t="s">
        <v>139</v>
      </c>
      <c r="C356" s="346" t="s">
        <v>171</v>
      </c>
      <c r="D356" s="346" t="s">
        <v>618</v>
      </c>
      <c r="E356" s="346" t="s">
        <v>142</v>
      </c>
      <c r="F356" s="9">
        <f>'Пр.4 ведом.22'!G245</f>
        <v>370</v>
      </c>
    </row>
    <row r="357" spans="1:12" ht="15.75" x14ac:dyDescent="0.25">
      <c r="A357" s="298" t="s">
        <v>231</v>
      </c>
      <c r="B357" s="299" t="s">
        <v>168</v>
      </c>
      <c r="C357" s="299"/>
      <c r="D357" s="299"/>
      <c r="E357" s="299"/>
      <c r="F357" s="294">
        <f>F358++F375+F447+F520</f>
        <v>153342.36051</v>
      </c>
      <c r="G357" s="344">
        <v>67341.100000000006</v>
      </c>
      <c r="H357" s="71">
        <f>G357-F357</f>
        <v>-86001.260509999993</v>
      </c>
      <c r="K357" s="149" t="e">
        <f>F357-F485-'Пр.4 ведом.22'!#REF!-'Пр.4 ведом.22'!#REF!</f>
        <v>#REF!</v>
      </c>
      <c r="L357" s="151" t="e">
        <f>F485+F510-'Пр.4 ведом.22'!#REF!-'Пр.4 ведом.22'!#REF!</f>
        <v>#REF!</v>
      </c>
    </row>
    <row r="358" spans="1:12" ht="15.75" x14ac:dyDescent="0.25">
      <c r="A358" s="298" t="s">
        <v>232</v>
      </c>
      <c r="B358" s="299" t="s">
        <v>168</v>
      </c>
      <c r="C358" s="299" t="s">
        <v>116</v>
      </c>
      <c r="D358" s="299"/>
      <c r="E358" s="299"/>
      <c r="F358" s="294">
        <f t="shared" ref="F358:F359" si="38">F359</f>
        <v>18834.92354</v>
      </c>
      <c r="G358" s="71"/>
      <c r="H358" s="71"/>
      <c r="I358" s="71"/>
      <c r="L358" s="15"/>
    </row>
    <row r="359" spans="1:12" ht="15.75" x14ac:dyDescent="0.25">
      <c r="A359" s="298" t="s">
        <v>133</v>
      </c>
      <c r="B359" s="299" t="s">
        <v>168</v>
      </c>
      <c r="C359" s="299" t="s">
        <v>116</v>
      </c>
      <c r="D359" s="299" t="s">
        <v>440</v>
      </c>
      <c r="E359" s="299"/>
      <c r="F359" s="294">
        <f t="shared" si="38"/>
        <v>18834.92354</v>
      </c>
    </row>
    <row r="360" spans="1:12" ht="31.5" x14ac:dyDescent="0.25">
      <c r="A360" s="298" t="s">
        <v>444</v>
      </c>
      <c r="B360" s="299" t="s">
        <v>168</v>
      </c>
      <c r="C360" s="299" t="s">
        <v>116</v>
      </c>
      <c r="D360" s="299" t="s">
        <v>439</v>
      </c>
      <c r="E360" s="299"/>
      <c r="F360" s="294">
        <f>F361+F366+F369+F372</f>
        <v>18834.92354</v>
      </c>
    </row>
    <row r="361" spans="1:12" ht="15.75" hidden="1" x14ac:dyDescent="0.25">
      <c r="A361" s="345" t="s">
        <v>261</v>
      </c>
      <c r="B361" s="346" t="s">
        <v>351</v>
      </c>
      <c r="C361" s="346" t="s">
        <v>116</v>
      </c>
      <c r="D361" s="346" t="s">
        <v>523</v>
      </c>
      <c r="E361" s="299"/>
      <c r="F361" s="295">
        <f t="shared" ref="F361" si="39">F362+F364</f>
        <v>300</v>
      </c>
    </row>
    <row r="362" spans="1:12" ht="31.5" hidden="1" x14ac:dyDescent="0.25">
      <c r="A362" s="345" t="s">
        <v>123</v>
      </c>
      <c r="B362" s="346" t="s">
        <v>168</v>
      </c>
      <c r="C362" s="346" t="s">
        <v>116</v>
      </c>
      <c r="D362" s="346" t="s">
        <v>523</v>
      </c>
      <c r="E362" s="346" t="s">
        <v>124</v>
      </c>
      <c r="F362" s="295">
        <f t="shared" ref="F362" si="40">F363</f>
        <v>300</v>
      </c>
    </row>
    <row r="363" spans="1:12" ht="47.25" hidden="1" x14ac:dyDescent="0.25">
      <c r="A363" s="345" t="s">
        <v>125</v>
      </c>
      <c r="B363" s="346" t="s">
        <v>168</v>
      </c>
      <c r="C363" s="346" t="s">
        <v>116</v>
      </c>
      <c r="D363" s="346" t="s">
        <v>523</v>
      </c>
      <c r="E363" s="346" t="s">
        <v>126</v>
      </c>
      <c r="F363" s="295">
        <f>'Пр.4 ведом.22'!G1112</f>
        <v>300</v>
      </c>
    </row>
    <row r="364" spans="1:12" ht="15.75" hidden="1" x14ac:dyDescent="0.25">
      <c r="A364" s="345" t="s">
        <v>127</v>
      </c>
      <c r="B364" s="346" t="s">
        <v>168</v>
      </c>
      <c r="C364" s="346" t="s">
        <v>116</v>
      </c>
      <c r="D364" s="346" t="s">
        <v>523</v>
      </c>
      <c r="E364" s="346" t="s">
        <v>134</v>
      </c>
      <c r="F364" s="295">
        <f t="shared" ref="F364" si="41">F365</f>
        <v>0</v>
      </c>
    </row>
    <row r="365" spans="1:12" ht="47.25" hidden="1" x14ac:dyDescent="0.25">
      <c r="A365" s="345" t="s">
        <v>148</v>
      </c>
      <c r="B365" s="346" t="s">
        <v>168</v>
      </c>
      <c r="C365" s="346" t="s">
        <v>116</v>
      </c>
      <c r="D365" s="346" t="s">
        <v>523</v>
      </c>
      <c r="E365" s="346" t="s">
        <v>142</v>
      </c>
      <c r="F365" s="295">
        <f>'Пр.4 ведом.22'!G1114</f>
        <v>0</v>
      </c>
    </row>
    <row r="366" spans="1:12" ht="31.5" x14ac:dyDescent="0.25">
      <c r="A366" s="20" t="s">
        <v>233</v>
      </c>
      <c r="B366" s="346" t="s">
        <v>168</v>
      </c>
      <c r="C366" s="346" t="s">
        <v>116</v>
      </c>
      <c r="D366" s="346" t="s">
        <v>524</v>
      </c>
      <c r="E366" s="299"/>
      <c r="F366" s="295">
        <f t="shared" ref="F366:F367" si="42">F367</f>
        <v>5295.9869999999992</v>
      </c>
    </row>
    <row r="367" spans="1:12" ht="31.5" x14ac:dyDescent="0.25">
      <c r="A367" s="345" t="s">
        <v>123</v>
      </c>
      <c r="B367" s="346" t="s">
        <v>168</v>
      </c>
      <c r="C367" s="346" t="s">
        <v>116</v>
      </c>
      <c r="D367" s="346" t="s">
        <v>524</v>
      </c>
      <c r="E367" s="346" t="s">
        <v>124</v>
      </c>
      <c r="F367" s="295">
        <f t="shared" si="42"/>
        <v>5295.9869999999992</v>
      </c>
    </row>
    <row r="368" spans="1:12" ht="47.25" x14ac:dyDescent="0.25">
      <c r="A368" s="345" t="s">
        <v>125</v>
      </c>
      <c r="B368" s="346" t="s">
        <v>168</v>
      </c>
      <c r="C368" s="346" t="s">
        <v>116</v>
      </c>
      <c r="D368" s="346" t="s">
        <v>524</v>
      </c>
      <c r="E368" s="346" t="s">
        <v>126</v>
      </c>
      <c r="F368" s="295">
        <f>'Пр.4 ведом.22'!G664+'Пр.4 ведом.22'!G1117</f>
        <v>5295.9869999999992</v>
      </c>
    </row>
    <row r="369" spans="1:11" ht="31.5" x14ac:dyDescent="0.25">
      <c r="A369" s="20" t="s">
        <v>501</v>
      </c>
      <c r="B369" s="346" t="s">
        <v>168</v>
      </c>
      <c r="C369" s="346" t="s">
        <v>116</v>
      </c>
      <c r="D369" s="346" t="s">
        <v>525</v>
      </c>
      <c r="E369" s="299"/>
      <c r="F369" s="295">
        <f>F370</f>
        <v>1132.4000000000001</v>
      </c>
    </row>
    <row r="370" spans="1:11" ht="31.5" x14ac:dyDescent="0.25">
      <c r="A370" s="345" t="s">
        <v>123</v>
      </c>
      <c r="B370" s="346" t="s">
        <v>168</v>
      </c>
      <c r="C370" s="346" t="s">
        <v>116</v>
      </c>
      <c r="D370" s="346" t="s">
        <v>525</v>
      </c>
      <c r="E370" s="346" t="s">
        <v>124</v>
      </c>
      <c r="F370" s="295">
        <f>F371</f>
        <v>1132.4000000000001</v>
      </c>
    </row>
    <row r="371" spans="1:11" ht="47.25" x14ac:dyDescent="0.25">
      <c r="A371" s="345" t="s">
        <v>125</v>
      </c>
      <c r="B371" s="346" t="s">
        <v>168</v>
      </c>
      <c r="C371" s="346" t="s">
        <v>116</v>
      </c>
      <c r="D371" s="346" t="s">
        <v>525</v>
      </c>
      <c r="E371" s="346" t="s">
        <v>126</v>
      </c>
      <c r="F371" s="295">
        <f>'Пр.4 ведом.22'!G1120+'Пр.4 ведом.22'!G667</f>
        <v>1132.4000000000001</v>
      </c>
    </row>
    <row r="372" spans="1:11" s="280" customFormat="1" ht="31.5" x14ac:dyDescent="0.25">
      <c r="A372" s="345" t="s">
        <v>1015</v>
      </c>
      <c r="B372" s="346" t="s">
        <v>168</v>
      </c>
      <c r="C372" s="346" t="s">
        <v>116</v>
      </c>
      <c r="D372" s="346" t="s">
        <v>1016</v>
      </c>
      <c r="E372" s="346"/>
      <c r="F372" s="295">
        <f>F373</f>
        <v>12106.536540000001</v>
      </c>
      <c r="G372" s="344"/>
      <c r="H372" s="344"/>
      <c r="I372" s="344"/>
      <c r="J372" s="344"/>
      <c r="K372" s="344"/>
    </row>
    <row r="373" spans="1:11" s="280" customFormat="1" ht="31.5" x14ac:dyDescent="0.25">
      <c r="A373" s="345" t="s">
        <v>123</v>
      </c>
      <c r="B373" s="346" t="s">
        <v>168</v>
      </c>
      <c r="C373" s="346" t="s">
        <v>116</v>
      </c>
      <c r="D373" s="346" t="s">
        <v>1016</v>
      </c>
      <c r="E373" s="346" t="s">
        <v>124</v>
      </c>
      <c r="F373" s="295">
        <f>F374</f>
        <v>12106.536540000001</v>
      </c>
      <c r="G373" s="344"/>
      <c r="H373" s="344"/>
      <c r="I373" s="344"/>
      <c r="J373" s="344"/>
      <c r="K373" s="344"/>
    </row>
    <row r="374" spans="1:11" s="280" customFormat="1" ht="47.25" x14ac:dyDescent="0.25">
      <c r="A374" s="345" t="s">
        <v>125</v>
      </c>
      <c r="B374" s="346" t="s">
        <v>168</v>
      </c>
      <c r="C374" s="346" t="s">
        <v>116</v>
      </c>
      <c r="D374" s="346" t="s">
        <v>1016</v>
      </c>
      <c r="E374" s="346" t="s">
        <v>126</v>
      </c>
      <c r="F374" s="295">
        <f>'Пр.4 ведом.22'!G1123</f>
        <v>12106.536540000001</v>
      </c>
      <c r="G374" s="344"/>
      <c r="H374" s="344"/>
      <c r="I374" s="344"/>
      <c r="J374" s="344"/>
      <c r="K374" s="344"/>
    </row>
    <row r="375" spans="1:11" ht="15.75" x14ac:dyDescent="0.25">
      <c r="A375" s="298" t="s">
        <v>262</v>
      </c>
      <c r="B375" s="299" t="s">
        <v>168</v>
      </c>
      <c r="C375" s="299" t="s">
        <v>158</v>
      </c>
      <c r="D375" s="299"/>
      <c r="E375" s="299"/>
      <c r="F375" s="294">
        <f>F407+F376+F442</f>
        <v>50519.080010000005</v>
      </c>
      <c r="H375" s="71"/>
    </row>
    <row r="376" spans="1:11" ht="15.75" x14ac:dyDescent="0.25">
      <c r="A376" s="298" t="s">
        <v>133</v>
      </c>
      <c r="B376" s="299" t="s">
        <v>168</v>
      </c>
      <c r="C376" s="299" t="s">
        <v>158</v>
      </c>
      <c r="D376" s="299" t="s">
        <v>440</v>
      </c>
      <c r="E376" s="299"/>
      <c r="F376" s="294">
        <f>F377+F390</f>
        <v>26627.920000000006</v>
      </c>
    </row>
    <row r="377" spans="1:11" ht="33" customHeight="1" x14ac:dyDescent="0.25">
      <c r="A377" s="298" t="s">
        <v>444</v>
      </c>
      <c r="B377" s="299" t="s">
        <v>168</v>
      </c>
      <c r="C377" s="299" t="s">
        <v>158</v>
      </c>
      <c r="D377" s="299" t="s">
        <v>439</v>
      </c>
      <c r="E377" s="299"/>
      <c r="F377" s="294">
        <f>F378+F384</f>
        <v>26627.920000000006</v>
      </c>
    </row>
    <row r="378" spans="1:11" ht="17.45" hidden="1" customHeight="1" x14ac:dyDescent="0.25">
      <c r="A378" s="25" t="s">
        <v>271</v>
      </c>
      <c r="B378" s="346" t="s">
        <v>168</v>
      </c>
      <c r="C378" s="346" t="s">
        <v>158</v>
      </c>
      <c r="D378" s="346" t="s">
        <v>542</v>
      </c>
      <c r="E378" s="346"/>
      <c r="F378" s="295">
        <f>F379+F381</f>
        <v>800.00000000000182</v>
      </c>
    </row>
    <row r="379" spans="1:11" ht="35.450000000000003" hidden="1" customHeight="1" x14ac:dyDescent="0.25">
      <c r="A379" s="345" t="s">
        <v>123</v>
      </c>
      <c r="B379" s="346" t="s">
        <v>168</v>
      </c>
      <c r="C379" s="346" t="s">
        <v>158</v>
      </c>
      <c r="D379" s="346" t="s">
        <v>542</v>
      </c>
      <c r="E379" s="346" t="s">
        <v>124</v>
      </c>
      <c r="F379" s="295">
        <f>F380</f>
        <v>800.00000000000182</v>
      </c>
    </row>
    <row r="380" spans="1:11" ht="47.25" hidden="1" x14ac:dyDescent="0.25">
      <c r="A380" s="345" t="s">
        <v>125</v>
      </c>
      <c r="B380" s="346" t="s">
        <v>168</v>
      </c>
      <c r="C380" s="346" t="s">
        <v>158</v>
      </c>
      <c r="D380" s="346" t="s">
        <v>542</v>
      </c>
      <c r="E380" s="346" t="s">
        <v>126</v>
      </c>
      <c r="F380" s="295">
        <f>'Пр.4 ведом.22'!G1129</f>
        <v>800.00000000000182</v>
      </c>
    </row>
    <row r="381" spans="1:11" ht="15.75" hidden="1" x14ac:dyDescent="0.25">
      <c r="A381" s="345" t="s">
        <v>127</v>
      </c>
      <c r="B381" s="346" t="s">
        <v>168</v>
      </c>
      <c r="C381" s="346" t="s">
        <v>158</v>
      </c>
      <c r="D381" s="346" t="s">
        <v>542</v>
      </c>
      <c r="E381" s="346" t="s">
        <v>134</v>
      </c>
      <c r="F381" s="295">
        <f>F382+F383</f>
        <v>0</v>
      </c>
    </row>
    <row r="382" spans="1:11" ht="47.25" hidden="1" x14ac:dyDescent="0.25">
      <c r="A382" s="345" t="s">
        <v>148</v>
      </c>
      <c r="B382" s="346" t="s">
        <v>168</v>
      </c>
      <c r="C382" s="346" t="s">
        <v>158</v>
      </c>
      <c r="D382" s="346" t="s">
        <v>542</v>
      </c>
      <c r="E382" s="346" t="s">
        <v>142</v>
      </c>
      <c r="F382" s="295">
        <f>'Пр.4 ведом.22'!G1131</f>
        <v>0</v>
      </c>
    </row>
    <row r="383" spans="1:11" s="128" customFormat="1" ht="15.75" hidden="1" x14ac:dyDescent="0.25">
      <c r="A383" s="345" t="s">
        <v>729</v>
      </c>
      <c r="B383" s="346" t="s">
        <v>168</v>
      </c>
      <c r="C383" s="346" t="s">
        <v>158</v>
      </c>
      <c r="D383" s="346" t="s">
        <v>542</v>
      </c>
      <c r="E383" s="346" t="s">
        <v>136</v>
      </c>
      <c r="F383" s="295">
        <f>'Пр.4 ведом.22'!G1132</f>
        <v>0</v>
      </c>
      <c r="G383" s="344"/>
      <c r="H383" s="344"/>
      <c r="I383" s="344"/>
      <c r="J383" s="344"/>
      <c r="K383" s="344"/>
    </row>
    <row r="384" spans="1:11" ht="31.5" x14ac:dyDescent="0.25">
      <c r="A384" s="20" t="s">
        <v>501</v>
      </c>
      <c r="B384" s="346" t="s">
        <v>168</v>
      </c>
      <c r="C384" s="346" t="s">
        <v>158</v>
      </c>
      <c r="D384" s="346" t="s">
        <v>525</v>
      </c>
      <c r="E384" s="346"/>
      <c r="F384" s="295">
        <f>F385+F387</f>
        <v>25827.920000000006</v>
      </c>
    </row>
    <row r="385" spans="1:11" ht="31.5" x14ac:dyDescent="0.25">
      <c r="A385" s="345" t="s">
        <v>123</v>
      </c>
      <c r="B385" s="346" t="s">
        <v>168</v>
      </c>
      <c r="C385" s="346" t="s">
        <v>158</v>
      </c>
      <c r="D385" s="346" t="s">
        <v>525</v>
      </c>
      <c r="E385" s="346" t="s">
        <v>124</v>
      </c>
      <c r="F385" s="295">
        <f t="shared" ref="F385" si="43">F386</f>
        <v>24239.520000000004</v>
      </c>
    </row>
    <row r="386" spans="1:11" ht="47.25" x14ac:dyDescent="0.25">
      <c r="A386" s="345" t="s">
        <v>125</v>
      </c>
      <c r="B386" s="346" t="s">
        <v>168</v>
      </c>
      <c r="C386" s="346" t="s">
        <v>158</v>
      </c>
      <c r="D386" s="346" t="s">
        <v>525</v>
      </c>
      <c r="E386" s="346" t="s">
        <v>126</v>
      </c>
      <c r="F386" s="295">
        <f>'Пр.4 ведом.22'!G1135</f>
        <v>24239.520000000004</v>
      </c>
    </row>
    <row r="387" spans="1:11" ht="15.75" x14ac:dyDescent="0.25">
      <c r="A387" s="345" t="s">
        <v>127</v>
      </c>
      <c r="B387" s="346" t="s">
        <v>168</v>
      </c>
      <c r="C387" s="346" t="s">
        <v>158</v>
      </c>
      <c r="D387" s="346" t="s">
        <v>525</v>
      </c>
      <c r="E387" s="346" t="s">
        <v>134</v>
      </c>
      <c r="F387" s="295">
        <f>F388+F389</f>
        <v>1588.4</v>
      </c>
    </row>
    <row r="388" spans="1:11" ht="15.75" x14ac:dyDescent="0.25">
      <c r="A388" s="345" t="s">
        <v>135</v>
      </c>
      <c r="B388" s="346" t="s">
        <v>168</v>
      </c>
      <c r="C388" s="346" t="s">
        <v>158</v>
      </c>
      <c r="D388" s="346" t="s">
        <v>525</v>
      </c>
      <c r="E388" s="346" t="s">
        <v>136</v>
      </c>
      <c r="F388" s="295">
        <f>'Пр.4 ведом.22'!G1137</f>
        <v>107.9</v>
      </c>
    </row>
    <row r="389" spans="1:11" s="343" customFormat="1" ht="15.75" x14ac:dyDescent="0.25">
      <c r="A389" s="345" t="s">
        <v>338</v>
      </c>
      <c r="B389" s="346" t="s">
        <v>168</v>
      </c>
      <c r="C389" s="346" t="s">
        <v>158</v>
      </c>
      <c r="D389" s="346" t="s">
        <v>525</v>
      </c>
      <c r="E389" s="346" t="s">
        <v>130</v>
      </c>
      <c r="F389" s="295">
        <f>'Пр.4 ведом.22'!G1138</f>
        <v>1480.5</v>
      </c>
      <c r="G389" s="344"/>
      <c r="H389" s="344"/>
      <c r="I389" s="344"/>
      <c r="J389" s="344"/>
      <c r="K389" s="344"/>
    </row>
    <row r="390" spans="1:11" ht="47.25" hidden="1" x14ac:dyDescent="0.25">
      <c r="A390" s="298" t="s">
        <v>574</v>
      </c>
      <c r="B390" s="299" t="s">
        <v>168</v>
      </c>
      <c r="C390" s="299" t="s">
        <v>158</v>
      </c>
      <c r="D390" s="299" t="s">
        <v>543</v>
      </c>
      <c r="E390" s="299"/>
      <c r="F390" s="294">
        <f>F391+F396+F399+F404</f>
        <v>0</v>
      </c>
    </row>
    <row r="391" spans="1:11" ht="47.25" hidden="1" x14ac:dyDescent="0.25">
      <c r="A391" s="345" t="s">
        <v>402</v>
      </c>
      <c r="B391" s="346" t="s">
        <v>168</v>
      </c>
      <c r="C391" s="346" t="s">
        <v>158</v>
      </c>
      <c r="D391" s="346" t="s">
        <v>544</v>
      </c>
      <c r="E391" s="346"/>
      <c r="F391" s="295">
        <f>F392+F394</f>
        <v>0</v>
      </c>
    </row>
    <row r="392" spans="1:11" ht="31.5" hidden="1" x14ac:dyDescent="0.25">
      <c r="A392" s="345" t="s">
        <v>123</v>
      </c>
      <c r="B392" s="346" t="s">
        <v>168</v>
      </c>
      <c r="C392" s="346" t="s">
        <v>158</v>
      </c>
      <c r="D392" s="346" t="s">
        <v>544</v>
      </c>
      <c r="E392" s="346" t="s">
        <v>124</v>
      </c>
      <c r="F392" s="295">
        <f>F393</f>
        <v>0</v>
      </c>
    </row>
    <row r="393" spans="1:11" ht="47.25" hidden="1" x14ac:dyDescent="0.25">
      <c r="A393" s="345" t="s">
        <v>125</v>
      </c>
      <c r="B393" s="346" t="s">
        <v>168</v>
      </c>
      <c r="C393" s="346" t="s">
        <v>158</v>
      </c>
      <c r="D393" s="346" t="s">
        <v>544</v>
      </c>
      <c r="E393" s="346" t="s">
        <v>126</v>
      </c>
      <c r="F393" s="295">
        <f>'Пр.4 ведом.22'!G1142</f>
        <v>0</v>
      </c>
    </row>
    <row r="394" spans="1:11" ht="15.75" hidden="1" x14ac:dyDescent="0.25">
      <c r="A394" s="345" t="s">
        <v>127</v>
      </c>
      <c r="B394" s="346" t="s">
        <v>168</v>
      </c>
      <c r="C394" s="346" t="s">
        <v>158</v>
      </c>
      <c r="D394" s="346" t="s">
        <v>544</v>
      </c>
      <c r="E394" s="346" t="s">
        <v>412</v>
      </c>
      <c r="F394" s="295">
        <f>F395</f>
        <v>0</v>
      </c>
    </row>
    <row r="395" spans="1:11" ht="15.75" hidden="1" x14ac:dyDescent="0.25">
      <c r="A395" s="345" t="s">
        <v>280</v>
      </c>
      <c r="B395" s="346" t="s">
        <v>168</v>
      </c>
      <c r="C395" s="346" t="s">
        <v>158</v>
      </c>
      <c r="D395" s="346" t="s">
        <v>544</v>
      </c>
      <c r="E395" s="346" t="s">
        <v>622</v>
      </c>
      <c r="F395" s="295">
        <f>'Пр.4 ведом.22'!G1144</f>
        <v>0</v>
      </c>
    </row>
    <row r="396" spans="1:11" ht="49.7" hidden="1" customHeight="1" x14ac:dyDescent="0.25">
      <c r="A396" s="345" t="s">
        <v>369</v>
      </c>
      <c r="B396" s="346" t="s">
        <v>168</v>
      </c>
      <c r="C396" s="346" t="s">
        <v>158</v>
      </c>
      <c r="D396" s="346" t="s">
        <v>545</v>
      </c>
      <c r="E396" s="346"/>
      <c r="F396" s="295">
        <f>F397</f>
        <v>0</v>
      </c>
    </row>
    <row r="397" spans="1:11" ht="31.5" hidden="1" x14ac:dyDescent="0.25">
      <c r="A397" s="345" t="s">
        <v>123</v>
      </c>
      <c r="B397" s="346" t="s">
        <v>168</v>
      </c>
      <c r="C397" s="346" t="s">
        <v>158</v>
      </c>
      <c r="D397" s="346" t="s">
        <v>545</v>
      </c>
      <c r="E397" s="346" t="s">
        <v>124</v>
      </c>
      <c r="F397" s="295">
        <f>F398</f>
        <v>0</v>
      </c>
    </row>
    <row r="398" spans="1:11" ht="47.25" hidden="1" x14ac:dyDescent="0.25">
      <c r="A398" s="345" t="s">
        <v>125</v>
      </c>
      <c r="B398" s="346" t="s">
        <v>168</v>
      </c>
      <c r="C398" s="346" t="s">
        <v>158</v>
      </c>
      <c r="D398" s="346" t="s">
        <v>545</v>
      </c>
      <c r="E398" s="346" t="s">
        <v>126</v>
      </c>
      <c r="F398" s="295">
        <f>'Пр.4 ведом.22'!G1147</f>
        <v>0</v>
      </c>
    </row>
    <row r="399" spans="1:11" ht="47.25" hidden="1" x14ac:dyDescent="0.25">
      <c r="A399" s="66" t="s">
        <v>408</v>
      </c>
      <c r="B399" s="346" t="s">
        <v>168</v>
      </c>
      <c r="C399" s="346" t="s">
        <v>158</v>
      </c>
      <c r="D399" s="346" t="s">
        <v>546</v>
      </c>
      <c r="E399" s="346"/>
      <c r="F399" s="295">
        <f>F400+F402</f>
        <v>0</v>
      </c>
    </row>
    <row r="400" spans="1:11" ht="31.5" hidden="1" x14ac:dyDescent="0.25">
      <c r="A400" s="345" t="s">
        <v>413</v>
      </c>
      <c r="B400" s="346" t="s">
        <v>168</v>
      </c>
      <c r="C400" s="346" t="s">
        <v>158</v>
      </c>
      <c r="D400" s="346" t="s">
        <v>546</v>
      </c>
      <c r="E400" s="346" t="s">
        <v>412</v>
      </c>
      <c r="F400" s="295">
        <f>F401</f>
        <v>0</v>
      </c>
    </row>
    <row r="401" spans="1:11" ht="31.7" hidden="1" customHeight="1" x14ac:dyDescent="0.25">
      <c r="A401" s="345" t="s">
        <v>607</v>
      </c>
      <c r="B401" s="346" t="s">
        <v>168</v>
      </c>
      <c r="C401" s="346" t="s">
        <v>158</v>
      </c>
      <c r="D401" s="346" t="s">
        <v>546</v>
      </c>
      <c r="E401" s="346" t="s">
        <v>622</v>
      </c>
      <c r="F401" s="295">
        <f>'Пр.4 ведом.22'!G1150</f>
        <v>0</v>
      </c>
    </row>
    <row r="402" spans="1:11" ht="21.2" hidden="1" customHeight="1" x14ac:dyDescent="0.25">
      <c r="A402" s="345" t="s">
        <v>127</v>
      </c>
      <c r="B402" s="346" t="s">
        <v>168</v>
      </c>
      <c r="C402" s="346" t="s">
        <v>158</v>
      </c>
      <c r="D402" s="346" t="s">
        <v>546</v>
      </c>
      <c r="E402" s="346" t="s">
        <v>134</v>
      </c>
      <c r="F402" s="295">
        <f>F403</f>
        <v>0</v>
      </c>
    </row>
    <row r="403" spans="1:11" ht="21.75" hidden="1" customHeight="1" x14ac:dyDescent="0.25">
      <c r="A403" s="345" t="s">
        <v>338</v>
      </c>
      <c r="B403" s="346" t="s">
        <v>168</v>
      </c>
      <c r="C403" s="346" t="s">
        <v>158</v>
      </c>
      <c r="D403" s="346" t="s">
        <v>546</v>
      </c>
      <c r="E403" s="346" t="s">
        <v>130</v>
      </c>
      <c r="F403" s="295">
        <f>'Пр.4 ведом.22'!G1152</f>
        <v>0</v>
      </c>
    </row>
    <row r="404" spans="1:11" ht="31.5" hidden="1" x14ac:dyDescent="0.25">
      <c r="A404" s="345" t="s">
        <v>623</v>
      </c>
      <c r="B404" s="346" t="s">
        <v>168</v>
      </c>
      <c r="C404" s="346" t="s">
        <v>158</v>
      </c>
      <c r="D404" s="346" t="s">
        <v>624</v>
      </c>
      <c r="E404" s="346"/>
      <c r="F404" s="295">
        <f t="shared" ref="F404:F405" si="44">F405</f>
        <v>0</v>
      </c>
    </row>
    <row r="405" spans="1:11" ht="31.5" hidden="1" x14ac:dyDescent="0.25">
      <c r="A405" s="345" t="s">
        <v>123</v>
      </c>
      <c r="B405" s="346" t="s">
        <v>168</v>
      </c>
      <c r="C405" s="346" t="s">
        <v>158</v>
      </c>
      <c r="D405" s="346" t="s">
        <v>624</v>
      </c>
      <c r="E405" s="346" t="s">
        <v>124</v>
      </c>
      <c r="F405" s="295">
        <f t="shared" si="44"/>
        <v>0</v>
      </c>
    </row>
    <row r="406" spans="1:11" ht="47.25" hidden="1" x14ac:dyDescent="0.25">
      <c r="A406" s="345" t="s">
        <v>125</v>
      </c>
      <c r="B406" s="346" t="s">
        <v>168</v>
      </c>
      <c r="C406" s="346" t="s">
        <v>158</v>
      </c>
      <c r="D406" s="346" t="s">
        <v>624</v>
      </c>
      <c r="E406" s="346" t="s">
        <v>126</v>
      </c>
      <c r="F406" s="295">
        <f>'Пр.4 ведом.22'!G1155</f>
        <v>0</v>
      </c>
    </row>
    <row r="407" spans="1:11" ht="63" x14ac:dyDescent="0.25">
      <c r="A407" s="298" t="s">
        <v>983</v>
      </c>
      <c r="B407" s="299" t="s">
        <v>168</v>
      </c>
      <c r="C407" s="299" t="s">
        <v>158</v>
      </c>
      <c r="D407" s="299" t="s">
        <v>263</v>
      </c>
      <c r="E407" s="299"/>
      <c r="F407" s="294">
        <f>F408+F412+F418+F422+F426+F430+F434+F438</f>
        <v>23837.760009999998</v>
      </c>
    </row>
    <row r="408" spans="1:11" ht="31.5" x14ac:dyDescent="0.25">
      <c r="A408" s="298" t="s">
        <v>526</v>
      </c>
      <c r="B408" s="299" t="s">
        <v>168</v>
      </c>
      <c r="C408" s="299" t="s">
        <v>158</v>
      </c>
      <c r="D408" s="299" t="s">
        <v>528</v>
      </c>
      <c r="E408" s="299"/>
      <c r="F408" s="294">
        <f>F409</f>
        <v>507.4</v>
      </c>
    </row>
    <row r="409" spans="1:11" ht="15.75" x14ac:dyDescent="0.25">
      <c r="A409" s="29" t="s">
        <v>527</v>
      </c>
      <c r="B409" s="341" t="s">
        <v>168</v>
      </c>
      <c r="C409" s="341" t="s">
        <v>158</v>
      </c>
      <c r="D409" s="346" t="s">
        <v>529</v>
      </c>
      <c r="E409" s="341"/>
      <c r="F409" s="295">
        <f t="shared" ref="F409:F410" si="45">F410</f>
        <v>507.4</v>
      </c>
    </row>
    <row r="410" spans="1:11" ht="31.5" x14ac:dyDescent="0.25">
      <c r="A410" s="22" t="s">
        <v>123</v>
      </c>
      <c r="B410" s="341" t="s">
        <v>168</v>
      </c>
      <c r="C410" s="341" t="s">
        <v>158</v>
      </c>
      <c r="D410" s="346" t="s">
        <v>529</v>
      </c>
      <c r="E410" s="341" t="s">
        <v>124</v>
      </c>
      <c r="F410" s="295">
        <f t="shared" si="45"/>
        <v>507.4</v>
      </c>
    </row>
    <row r="411" spans="1:11" ht="47.25" x14ac:dyDescent="0.25">
      <c r="A411" s="22" t="s">
        <v>125</v>
      </c>
      <c r="B411" s="341" t="s">
        <v>168</v>
      </c>
      <c r="C411" s="341" t="s">
        <v>158</v>
      </c>
      <c r="D411" s="346" t="s">
        <v>529</v>
      </c>
      <c r="E411" s="341" t="s">
        <v>126</v>
      </c>
      <c r="F411" s="295">
        <f>'Пр.4 ведом.22'!G1160</f>
        <v>507.4</v>
      </c>
    </row>
    <row r="412" spans="1:11" ht="31.5" x14ac:dyDescent="0.25">
      <c r="A412" s="24" t="s">
        <v>530</v>
      </c>
      <c r="B412" s="6" t="s">
        <v>168</v>
      </c>
      <c r="C412" s="6" t="s">
        <v>158</v>
      </c>
      <c r="D412" s="299" t="s">
        <v>531</v>
      </c>
      <c r="E412" s="6"/>
      <c r="F412" s="294">
        <f>F413</f>
        <v>48.4</v>
      </c>
    </row>
    <row r="413" spans="1:11" ht="15.75" x14ac:dyDescent="0.25">
      <c r="A413" s="29" t="s">
        <v>265</v>
      </c>
      <c r="B413" s="341" t="s">
        <v>168</v>
      </c>
      <c r="C413" s="341" t="s">
        <v>158</v>
      </c>
      <c r="D413" s="346" t="s">
        <v>534</v>
      </c>
      <c r="E413" s="341"/>
      <c r="F413" s="295">
        <f>F414+F416</f>
        <v>48.4</v>
      </c>
    </row>
    <row r="414" spans="1:11" ht="31.5" x14ac:dyDescent="0.25">
      <c r="A414" s="22" t="s">
        <v>123</v>
      </c>
      <c r="B414" s="341" t="s">
        <v>168</v>
      </c>
      <c r="C414" s="341" t="s">
        <v>158</v>
      </c>
      <c r="D414" s="346" t="s">
        <v>534</v>
      </c>
      <c r="E414" s="341" t="s">
        <v>124</v>
      </c>
      <c r="F414" s="295">
        <f>F415</f>
        <v>30</v>
      </c>
    </row>
    <row r="415" spans="1:11" ht="47.25" x14ac:dyDescent="0.25">
      <c r="A415" s="22" t="s">
        <v>125</v>
      </c>
      <c r="B415" s="341" t="s">
        <v>168</v>
      </c>
      <c r="C415" s="341" t="s">
        <v>158</v>
      </c>
      <c r="D415" s="346" t="s">
        <v>534</v>
      </c>
      <c r="E415" s="341" t="s">
        <v>126</v>
      </c>
      <c r="F415" s="295">
        <f>'Пр.4 ведом.22'!G1164</f>
        <v>30</v>
      </c>
    </row>
    <row r="416" spans="1:11" s="343" customFormat="1" ht="15.75" x14ac:dyDescent="0.25">
      <c r="A416" s="345" t="s">
        <v>127</v>
      </c>
      <c r="B416" s="341" t="s">
        <v>168</v>
      </c>
      <c r="C416" s="341" t="s">
        <v>158</v>
      </c>
      <c r="D416" s="346" t="s">
        <v>534</v>
      </c>
      <c r="E416" s="341" t="s">
        <v>134</v>
      </c>
      <c r="F416" s="295">
        <f>F417</f>
        <v>18.399999999999999</v>
      </c>
      <c r="G416" s="344"/>
      <c r="H416" s="344"/>
      <c r="I416" s="344"/>
      <c r="J416" s="344"/>
      <c r="K416" s="344"/>
    </row>
    <row r="417" spans="1:11" s="343" customFormat="1" ht="15.75" x14ac:dyDescent="0.25">
      <c r="A417" s="345" t="s">
        <v>1321</v>
      </c>
      <c r="B417" s="341" t="s">
        <v>168</v>
      </c>
      <c r="C417" s="341" t="s">
        <v>158</v>
      </c>
      <c r="D417" s="346" t="s">
        <v>534</v>
      </c>
      <c r="E417" s="341" t="s">
        <v>136</v>
      </c>
      <c r="F417" s="295">
        <f>'Пр.4 ведом.22'!G1166</f>
        <v>18.399999999999999</v>
      </c>
      <c r="G417" s="344"/>
      <c r="H417" s="344"/>
      <c r="I417" s="344"/>
      <c r="J417" s="344"/>
      <c r="K417" s="344"/>
    </row>
    <row r="418" spans="1:11" ht="31.5" x14ac:dyDescent="0.25">
      <c r="A418" s="34" t="s">
        <v>532</v>
      </c>
      <c r="B418" s="6" t="s">
        <v>168</v>
      </c>
      <c r="C418" s="6" t="s">
        <v>158</v>
      </c>
      <c r="D418" s="299" t="s">
        <v>533</v>
      </c>
      <c r="E418" s="6"/>
      <c r="F418" s="294">
        <f>F419</f>
        <v>500</v>
      </c>
    </row>
    <row r="419" spans="1:11" ht="15.75" x14ac:dyDescent="0.25">
      <c r="A419" s="29" t="s">
        <v>266</v>
      </c>
      <c r="B419" s="341" t="s">
        <v>168</v>
      </c>
      <c r="C419" s="341" t="s">
        <v>158</v>
      </c>
      <c r="D419" s="346" t="s">
        <v>535</v>
      </c>
      <c r="E419" s="341"/>
      <c r="F419" s="295">
        <f>F420</f>
        <v>500</v>
      </c>
    </row>
    <row r="420" spans="1:11" ht="31.5" x14ac:dyDescent="0.25">
      <c r="A420" s="22" t="s">
        <v>123</v>
      </c>
      <c r="B420" s="341" t="s">
        <v>168</v>
      </c>
      <c r="C420" s="341" t="s">
        <v>158</v>
      </c>
      <c r="D420" s="346" t="s">
        <v>535</v>
      </c>
      <c r="E420" s="341" t="s">
        <v>124</v>
      </c>
      <c r="F420" s="295">
        <f>F421</f>
        <v>500</v>
      </c>
    </row>
    <row r="421" spans="1:11" ht="47.25" x14ac:dyDescent="0.25">
      <c r="A421" s="22" t="s">
        <v>125</v>
      </c>
      <c r="B421" s="341" t="s">
        <v>168</v>
      </c>
      <c r="C421" s="341" t="s">
        <v>158</v>
      </c>
      <c r="D421" s="346" t="s">
        <v>535</v>
      </c>
      <c r="E421" s="341" t="s">
        <v>126</v>
      </c>
      <c r="F421" s="295">
        <f>'Пр.4 ведом.22'!G1170</f>
        <v>500</v>
      </c>
    </row>
    <row r="422" spans="1:11" ht="31.5" hidden="1" x14ac:dyDescent="0.25">
      <c r="A422" s="34" t="s">
        <v>536</v>
      </c>
      <c r="B422" s="6" t="s">
        <v>168</v>
      </c>
      <c r="C422" s="6" t="s">
        <v>158</v>
      </c>
      <c r="D422" s="299" t="s">
        <v>537</v>
      </c>
      <c r="E422" s="6"/>
      <c r="F422" s="294">
        <f>F423</f>
        <v>0</v>
      </c>
    </row>
    <row r="423" spans="1:11" ht="15.75" hidden="1" x14ac:dyDescent="0.25">
      <c r="A423" s="29" t="s">
        <v>267</v>
      </c>
      <c r="B423" s="341" t="s">
        <v>168</v>
      </c>
      <c r="C423" s="341" t="s">
        <v>158</v>
      </c>
      <c r="D423" s="346" t="s">
        <v>538</v>
      </c>
      <c r="E423" s="341"/>
      <c r="F423" s="295">
        <f>F424</f>
        <v>0</v>
      </c>
    </row>
    <row r="424" spans="1:11" ht="31.5" hidden="1" x14ac:dyDescent="0.25">
      <c r="A424" s="22" t="s">
        <v>123</v>
      </c>
      <c r="B424" s="341" t="s">
        <v>168</v>
      </c>
      <c r="C424" s="341" t="s">
        <v>158</v>
      </c>
      <c r="D424" s="346" t="s">
        <v>538</v>
      </c>
      <c r="E424" s="341" t="s">
        <v>124</v>
      </c>
      <c r="F424" s="295">
        <f>F425</f>
        <v>0</v>
      </c>
    </row>
    <row r="425" spans="1:11" ht="47.25" hidden="1" x14ac:dyDescent="0.25">
      <c r="A425" s="22" t="s">
        <v>125</v>
      </c>
      <c r="B425" s="341" t="s">
        <v>168</v>
      </c>
      <c r="C425" s="341" t="s">
        <v>158</v>
      </c>
      <c r="D425" s="346" t="s">
        <v>538</v>
      </c>
      <c r="E425" s="341" t="s">
        <v>126</v>
      </c>
      <c r="F425" s="295">
        <f>'Пр.4 ведом.22'!G1174</f>
        <v>0</v>
      </c>
    </row>
    <row r="426" spans="1:11" ht="31.5" x14ac:dyDescent="0.25">
      <c r="A426" s="24" t="s">
        <v>575</v>
      </c>
      <c r="B426" s="6" t="s">
        <v>168</v>
      </c>
      <c r="C426" s="6" t="s">
        <v>158</v>
      </c>
      <c r="D426" s="299" t="s">
        <v>576</v>
      </c>
      <c r="E426" s="6"/>
      <c r="F426" s="294">
        <f>F427</f>
        <v>85.960000000000036</v>
      </c>
    </row>
    <row r="427" spans="1:11" ht="18" customHeight="1" x14ac:dyDescent="0.25">
      <c r="A427" s="29" t="s">
        <v>268</v>
      </c>
      <c r="B427" s="341" t="s">
        <v>168</v>
      </c>
      <c r="C427" s="341" t="s">
        <v>158</v>
      </c>
      <c r="D427" s="346" t="s">
        <v>579</v>
      </c>
      <c r="E427" s="341"/>
      <c r="F427" s="295">
        <f>F428</f>
        <v>85.960000000000036</v>
      </c>
    </row>
    <row r="428" spans="1:11" ht="31.5" x14ac:dyDescent="0.25">
      <c r="A428" s="22" t="s">
        <v>123</v>
      </c>
      <c r="B428" s="341" t="s">
        <v>168</v>
      </c>
      <c r="C428" s="341" t="s">
        <v>158</v>
      </c>
      <c r="D428" s="346" t="s">
        <v>579</v>
      </c>
      <c r="E428" s="341" t="s">
        <v>124</v>
      </c>
      <c r="F428" s="295">
        <f>F429</f>
        <v>85.960000000000036</v>
      </c>
    </row>
    <row r="429" spans="1:11" ht="47.25" x14ac:dyDescent="0.25">
      <c r="A429" s="22" t="s">
        <v>125</v>
      </c>
      <c r="B429" s="341" t="s">
        <v>168</v>
      </c>
      <c r="C429" s="341" t="s">
        <v>158</v>
      </c>
      <c r="D429" s="346" t="s">
        <v>579</v>
      </c>
      <c r="E429" s="341" t="s">
        <v>126</v>
      </c>
      <c r="F429" s="295">
        <f>'Пр.4 ведом.22'!G1178</f>
        <v>85.960000000000036</v>
      </c>
    </row>
    <row r="430" spans="1:11" ht="31.5" hidden="1" x14ac:dyDescent="0.25">
      <c r="A430" s="141" t="s">
        <v>577</v>
      </c>
      <c r="B430" s="6" t="s">
        <v>168</v>
      </c>
      <c r="C430" s="6" t="s">
        <v>158</v>
      </c>
      <c r="D430" s="299" t="s">
        <v>578</v>
      </c>
      <c r="E430" s="6"/>
      <c r="F430" s="294">
        <f>F431</f>
        <v>0</v>
      </c>
    </row>
    <row r="431" spans="1:11" ht="31.5" hidden="1" x14ac:dyDescent="0.25">
      <c r="A431" s="100" t="s">
        <v>269</v>
      </c>
      <c r="B431" s="341" t="s">
        <v>168</v>
      </c>
      <c r="C431" s="341" t="s">
        <v>158</v>
      </c>
      <c r="D431" s="346" t="s">
        <v>580</v>
      </c>
      <c r="E431" s="341"/>
      <c r="F431" s="295">
        <f>F432</f>
        <v>0</v>
      </c>
    </row>
    <row r="432" spans="1:11" ht="31.5" hidden="1" x14ac:dyDescent="0.25">
      <c r="A432" s="22" t="s">
        <v>123</v>
      </c>
      <c r="B432" s="341" t="s">
        <v>168</v>
      </c>
      <c r="C432" s="341" t="s">
        <v>158</v>
      </c>
      <c r="D432" s="346" t="s">
        <v>580</v>
      </c>
      <c r="E432" s="341" t="s">
        <v>124</v>
      </c>
      <c r="F432" s="295">
        <f>F433</f>
        <v>0</v>
      </c>
    </row>
    <row r="433" spans="1:11" ht="47.25" hidden="1" x14ac:dyDescent="0.25">
      <c r="A433" s="22" t="s">
        <v>125</v>
      </c>
      <c r="B433" s="341" t="s">
        <v>168</v>
      </c>
      <c r="C433" s="341" t="s">
        <v>158</v>
      </c>
      <c r="D433" s="346" t="s">
        <v>580</v>
      </c>
      <c r="E433" s="341" t="s">
        <v>126</v>
      </c>
      <c r="F433" s="295">
        <f>'Пр.4 ведом.22'!G1182</f>
        <v>0</v>
      </c>
    </row>
    <row r="434" spans="1:11" ht="31.5" hidden="1" x14ac:dyDescent="0.25">
      <c r="A434" s="141" t="s">
        <v>540</v>
      </c>
      <c r="B434" s="6" t="s">
        <v>168</v>
      </c>
      <c r="C434" s="6" t="s">
        <v>158</v>
      </c>
      <c r="D434" s="299" t="s">
        <v>541</v>
      </c>
      <c r="E434" s="6"/>
      <c r="F434" s="294">
        <f>F435</f>
        <v>0</v>
      </c>
    </row>
    <row r="435" spans="1:11" ht="15.75" hidden="1" x14ac:dyDescent="0.25">
      <c r="A435" s="100" t="s">
        <v>270</v>
      </c>
      <c r="B435" s="341" t="s">
        <v>168</v>
      </c>
      <c r="C435" s="341" t="s">
        <v>158</v>
      </c>
      <c r="D435" s="346" t="s">
        <v>539</v>
      </c>
      <c r="E435" s="341"/>
      <c r="F435" s="295">
        <f>F436</f>
        <v>0</v>
      </c>
    </row>
    <row r="436" spans="1:11" ht="31.5" hidden="1" x14ac:dyDescent="0.25">
      <c r="A436" s="345" t="s">
        <v>123</v>
      </c>
      <c r="B436" s="341" t="s">
        <v>168</v>
      </c>
      <c r="C436" s="341" t="s">
        <v>158</v>
      </c>
      <c r="D436" s="346" t="s">
        <v>539</v>
      </c>
      <c r="E436" s="341" t="s">
        <v>124</v>
      </c>
      <c r="F436" s="295">
        <f>F437</f>
        <v>0</v>
      </c>
    </row>
    <row r="437" spans="1:11" s="128" customFormat="1" ht="47.25" hidden="1" x14ac:dyDescent="0.25">
      <c r="A437" s="345" t="s">
        <v>125</v>
      </c>
      <c r="B437" s="341" t="s">
        <v>168</v>
      </c>
      <c r="C437" s="341" t="s">
        <v>158</v>
      </c>
      <c r="D437" s="346" t="s">
        <v>539</v>
      </c>
      <c r="E437" s="341" t="s">
        <v>126</v>
      </c>
      <c r="F437" s="295">
        <f>'Пр.4 ведом.22'!G1186</f>
        <v>0</v>
      </c>
      <c r="G437" s="344"/>
      <c r="H437" s="344"/>
      <c r="I437" s="344"/>
      <c r="J437" s="344"/>
      <c r="K437" s="344"/>
    </row>
    <row r="438" spans="1:11" s="343" customFormat="1" ht="31.5" x14ac:dyDescent="0.25">
      <c r="A438" s="298" t="s">
        <v>1311</v>
      </c>
      <c r="B438" s="6" t="s">
        <v>168</v>
      </c>
      <c r="C438" s="6" t="s">
        <v>158</v>
      </c>
      <c r="D438" s="299" t="s">
        <v>1313</v>
      </c>
      <c r="E438" s="6"/>
      <c r="F438" s="294">
        <f>F440</f>
        <v>22696.00001</v>
      </c>
      <c r="G438" s="344"/>
      <c r="H438" s="344"/>
      <c r="I438" s="344"/>
      <c r="J438" s="344"/>
      <c r="K438" s="344"/>
    </row>
    <row r="439" spans="1:11" s="343" customFormat="1" ht="31.5" x14ac:dyDescent="0.25">
      <c r="A439" s="345" t="s">
        <v>1314</v>
      </c>
      <c r="B439" s="341" t="s">
        <v>168</v>
      </c>
      <c r="C439" s="341" t="s">
        <v>158</v>
      </c>
      <c r="D439" s="346" t="s">
        <v>1312</v>
      </c>
      <c r="E439" s="6"/>
      <c r="F439" s="294">
        <f>F440</f>
        <v>22696.00001</v>
      </c>
      <c r="G439" s="344"/>
      <c r="H439" s="344"/>
      <c r="I439" s="344"/>
      <c r="J439" s="344"/>
      <c r="K439" s="344"/>
    </row>
    <row r="440" spans="1:11" s="343" customFormat="1" ht="31.5" x14ac:dyDescent="0.25">
      <c r="A440" s="345" t="s">
        <v>123</v>
      </c>
      <c r="B440" s="341" t="s">
        <v>168</v>
      </c>
      <c r="C440" s="341" t="s">
        <v>158</v>
      </c>
      <c r="D440" s="346" t="s">
        <v>1312</v>
      </c>
      <c r="E440" s="341" t="s">
        <v>124</v>
      </c>
      <c r="F440" s="295">
        <f>F441</f>
        <v>22696.00001</v>
      </c>
      <c r="G440" s="344"/>
      <c r="H440" s="344"/>
      <c r="I440" s="344"/>
      <c r="J440" s="344"/>
      <c r="K440" s="344"/>
    </row>
    <row r="441" spans="1:11" s="343" customFormat="1" ht="47.25" x14ac:dyDescent="0.25">
      <c r="A441" s="345" t="s">
        <v>125</v>
      </c>
      <c r="B441" s="341" t="s">
        <v>168</v>
      </c>
      <c r="C441" s="341" t="s">
        <v>158</v>
      </c>
      <c r="D441" s="346" t="s">
        <v>1312</v>
      </c>
      <c r="E441" s="341" t="s">
        <v>126</v>
      </c>
      <c r="F441" s="295">
        <f>'Пр.4 ведом.22'!G1190</f>
        <v>22696.00001</v>
      </c>
      <c r="G441" s="344"/>
      <c r="H441" s="344"/>
      <c r="I441" s="344"/>
      <c r="J441" s="344"/>
      <c r="K441" s="344"/>
    </row>
    <row r="442" spans="1:11" s="128" customFormat="1" ht="47.25" x14ac:dyDescent="0.25">
      <c r="A442" s="298" t="s">
        <v>984</v>
      </c>
      <c r="B442" s="6" t="s">
        <v>168</v>
      </c>
      <c r="C442" s="6" t="s">
        <v>158</v>
      </c>
      <c r="D442" s="299" t="s">
        <v>690</v>
      </c>
      <c r="E442" s="6"/>
      <c r="F442" s="294">
        <f>F443</f>
        <v>53.399999999999991</v>
      </c>
      <c r="G442" s="344"/>
      <c r="H442" s="344"/>
      <c r="I442" s="344"/>
      <c r="J442" s="344"/>
      <c r="K442" s="344"/>
    </row>
    <row r="443" spans="1:11" s="128" customFormat="1" ht="31.5" x14ac:dyDescent="0.25">
      <c r="A443" s="298" t="s">
        <v>691</v>
      </c>
      <c r="B443" s="6" t="s">
        <v>168</v>
      </c>
      <c r="C443" s="6" t="s">
        <v>158</v>
      </c>
      <c r="D443" s="299" t="s">
        <v>692</v>
      </c>
      <c r="E443" s="6"/>
      <c r="F443" s="294">
        <f>F444</f>
        <v>53.399999999999991</v>
      </c>
      <c r="G443" s="344"/>
      <c r="H443" s="344"/>
      <c r="I443" s="344"/>
      <c r="J443" s="344"/>
      <c r="K443" s="344"/>
    </row>
    <row r="444" spans="1:11" s="128" customFormat="1" ht="15.75" x14ac:dyDescent="0.25">
      <c r="A444" s="345" t="s">
        <v>271</v>
      </c>
      <c r="B444" s="341" t="s">
        <v>168</v>
      </c>
      <c r="C444" s="341" t="s">
        <v>158</v>
      </c>
      <c r="D444" s="346" t="s">
        <v>693</v>
      </c>
      <c r="E444" s="341"/>
      <c r="F444" s="295">
        <f>F445</f>
        <v>53.399999999999991</v>
      </c>
      <c r="G444" s="344"/>
      <c r="H444" s="344"/>
      <c r="I444" s="344"/>
      <c r="J444" s="344"/>
      <c r="K444" s="344"/>
    </row>
    <row r="445" spans="1:11" s="128" customFormat="1" ht="31.5" x14ac:dyDescent="0.25">
      <c r="A445" s="345" t="s">
        <v>123</v>
      </c>
      <c r="B445" s="341" t="s">
        <v>168</v>
      </c>
      <c r="C445" s="341" t="s">
        <v>158</v>
      </c>
      <c r="D445" s="346" t="s">
        <v>693</v>
      </c>
      <c r="E445" s="341" t="s">
        <v>124</v>
      </c>
      <c r="F445" s="295">
        <f>F446</f>
        <v>53.399999999999991</v>
      </c>
      <c r="G445" s="344"/>
      <c r="H445" s="344"/>
      <c r="I445" s="344"/>
      <c r="J445" s="344"/>
      <c r="K445" s="344"/>
    </row>
    <row r="446" spans="1:11" s="128" customFormat="1" ht="47.25" x14ac:dyDescent="0.25">
      <c r="A446" s="345" t="s">
        <v>125</v>
      </c>
      <c r="B446" s="341" t="s">
        <v>168</v>
      </c>
      <c r="C446" s="341" t="s">
        <v>158</v>
      </c>
      <c r="D446" s="346" t="s">
        <v>693</v>
      </c>
      <c r="E446" s="341" t="s">
        <v>126</v>
      </c>
      <c r="F446" s="295">
        <f>'Пр.4 ведом.22'!G1195</f>
        <v>53.399999999999991</v>
      </c>
      <c r="G446" s="344"/>
      <c r="H446" s="344"/>
      <c r="I446" s="344"/>
      <c r="J446" s="344"/>
      <c r="K446" s="344"/>
    </row>
    <row r="447" spans="1:11" ht="15.75" x14ac:dyDescent="0.25">
      <c r="A447" s="340" t="s">
        <v>272</v>
      </c>
      <c r="B447" s="6" t="s">
        <v>168</v>
      </c>
      <c r="C447" s="6" t="s">
        <v>159</v>
      </c>
      <c r="D447" s="6"/>
      <c r="E447" s="6"/>
      <c r="F447" s="294">
        <f>F448+F453+F508</f>
        <v>50995.255960000002</v>
      </c>
      <c r="H447" s="71"/>
    </row>
    <row r="448" spans="1:11" s="128" customFormat="1" ht="15.75" x14ac:dyDescent="0.25">
      <c r="A448" s="298" t="s">
        <v>133</v>
      </c>
      <c r="B448" s="299" t="s">
        <v>168</v>
      </c>
      <c r="C448" s="299" t="s">
        <v>159</v>
      </c>
      <c r="D448" s="299" t="s">
        <v>440</v>
      </c>
      <c r="E448" s="299"/>
      <c r="F448" s="294">
        <f>F449</f>
        <v>385.8</v>
      </c>
      <c r="G448" s="344"/>
      <c r="H448" s="71"/>
      <c r="I448" s="344"/>
      <c r="J448" s="344"/>
      <c r="K448" s="344"/>
    </row>
    <row r="449" spans="1:11" s="128" customFormat="1" ht="31.5" x14ac:dyDescent="0.25">
      <c r="A449" s="298" t="s">
        <v>444</v>
      </c>
      <c r="B449" s="299" t="s">
        <v>168</v>
      </c>
      <c r="C449" s="299" t="s">
        <v>159</v>
      </c>
      <c r="D449" s="299" t="s">
        <v>439</v>
      </c>
      <c r="E449" s="299"/>
      <c r="F449" s="294">
        <f>F450</f>
        <v>385.8</v>
      </c>
      <c r="G449" s="344"/>
      <c r="H449" s="71"/>
      <c r="I449" s="344"/>
      <c r="J449" s="344"/>
      <c r="K449" s="344"/>
    </row>
    <row r="450" spans="1:11" s="128" customFormat="1" ht="15.75" x14ac:dyDescent="0.25">
      <c r="A450" s="345" t="s">
        <v>279</v>
      </c>
      <c r="B450" s="346" t="s">
        <v>168</v>
      </c>
      <c r="C450" s="346" t="s">
        <v>159</v>
      </c>
      <c r="D450" s="346" t="s">
        <v>627</v>
      </c>
      <c r="E450" s="346"/>
      <c r="F450" s="295">
        <f>F451</f>
        <v>385.8</v>
      </c>
      <c r="G450" s="344"/>
      <c r="H450" s="71"/>
      <c r="I450" s="344"/>
      <c r="J450" s="344"/>
      <c r="K450" s="344"/>
    </row>
    <row r="451" spans="1:11" s="128" customFormat="1" ht="31.5" x14ac:dyDescent="0.25">
      <c r="A451" s="345" t="s">
        <v>123</v>
      </c>
      <c r="B451" s="346" t="s">
        <v>168</v>
      </c>
      <c r="C451" s="346" t="s">
        <v>159</v>
      </c>
      <c r="D451" s="346" t="s">
        <v>627</v>
      </c>
      <c r="E451" s="346" t="s">
        <v>124</v>
      </c>
      <c r="F451" s="295">
        <f>F452</f>
        <v>385.8</v>
      </c>
      <c r="G451" s="344"/>
      <c r="H451" s="71"/>
      <c r="I451" s="344"/>
      <c r="J451" s="344"/>
      <c r="K451" s="344"/>
    </row>
    <row r="452" spans="1:11" s="128" customFormat="1" ht="47.25" x14ac:dyDescent="0.25">
      <c r="A452" s="345" t="s">
        <v>125</v>
      </c>
      <c r="B452" s="346" t="s">
        <v>168</v>
      </c>
      <c r="C452" s="346" t="s">
        <v>159</v>
      </c>
      <c r="D452" s="346" t="s">
        <v>627</v>
      </c>
      <c r="E452" s="346" t="s">
        <v>126</v>
      </c>
      <c r="F452" s="295">
        <f>'Пр.4 ведом.22'!G1201</f>
        <v>385.8</v>
      </c>
      <c r="G452" s="344"/>
      <c r="H452" s="71"/>
      <c r="I452" s="344"/>
      <c r="J452" s="344"/>
      <c r="K452" s="344"/>
    </row>
    <row r="453" spans="1:11" ht="39.4" customHeight="1" x14ac:dyDescent="0.25">
      <c r="A453" s="298" t="s">
        <v>865</v>
      </c>
      <c r="B453" s="6" t="s">
        <v>168</v>
      </c>
      <c r="C453" s="6" t="s">
        <v>159</v>
      </c>
      <c r="D453" s="6" t="s">
        <v>273</v>
      </c>
      <c r="E453" s="6"/>
      <c r="F453" s="294">
        <f>F454+F458+F485+F492+F496+F500+F504</f>
        <v>23168.870000000003</v>
      </c>
    </row>
    <row r="454" spans="1:11" s="128" customFormat="1" ht="47.25" hidden="1" x14ac:dyDescent="0.25">
      <c r="A454" s="298" t="s">
        <v>920</v>
      </c>
      <c r="B454" s="299" t="s">
        <v>168</v>
      </c>
      <c r="C454" s="299" t="s">
        <v>159</v>
      </c>
      <c r="D454" s="299" t="s">
        <v>798</v>
      </c>
      <c r="E454" s="299"/>
      <c r="F454" s="294">
        <f>F455</f>
        <v>0</v>
      </c>
      <c r="G454" s="344"/>
      <c r="H454" s="344"/>
      <c r="I454" s="344"/>
      <c r="J454" s="344"/>
      <c r="K454" s="344"/>
    </row>
    <row r="455" spans="1:11" s="128" customFormat="1" ht="31.5" hidden="1" x14ac:dyDescent="0.25">
      <c r="A455" s="205" t="s">
        <v>921</v>
      </c>
      <c r="B455" s="346" t="s">
        <v>168</v>
      </c>
      <c r="C455" s="346" t="s">
        <v>159</v>
      </c>
      <c r="D455" s="346" t="s">
        <v>911</v>
      </c>
      <c r="E455" s="346"/>
      <c r="F455" s="300">
        <f>F456</f>
        <v>0</v>
      </c>
      <c r="G455" s="344"/>
      <c r="H455" s="344"/>
      <c r="I455" s="344"/>
      <c r="J455" s="344"/>
      <c r="K455" s="344"/>
    </row>
    <row r="456" spans="1:11" s="128" customFormat="1" ht="31.5" hidden="1" x14ac:dyDescent="0.25">
      <c r="A456" s="345" t="s">
        <v>123</v>
      </c>
      <c r="B456" s="346" t="s">
        <v>168</v>
      </c>
      <c r="C456" s="346" t="s">
        <v>159</v>
      </c>
      <c r="D456" s="346" t="s">
        <v>911</v>
      </c>
      <c r="E456" s="346" t="s">
        <v>124</v>
      </c>
      <c r="F456" s="300">
        <f>F457</f>
        <v>0</v>
      </c>
      <c r="G456" s="344"/>
      <c r="H456" s="344"/>
      <c r="I456" s="344"/>
      <c r="J456" s="344"/>
      <c r="K456" s="344"/>
    </row>
    <row r="457" spans="1:11" s="128" customFormat="1" ht="47.25" hidden="1" x14ac:dyDescent="0.25">
      <c r="A457" s="345" t="s">
        <v>125</v>
      </c>
      <c r="B457" s="346" t="s">
        <v>168</v>
      </c>
      <c r="C457" s="346" t="s">
        <v>159</v>
      </c>
      <c r="D457" s="346" t="s">
        <v>911</v>
      </c>
      <c r="E457" s="346" t="s">
        <v>126</v>
      </c>
      <c r="F457" s="300">
        <f>'Пр.4 ведом.22'!G1206</f>
        <v>0</v>
      </c>
      <c r="G457" s="344"/>
      <c r="H457" s="344"/>
      <c r="I457" s="344"/>
      <c r="J457" s="344"/>
      <c r="K457" s="344"/>
    </row>
    <row r="458" spans="1:11" s="128" customFormat="1" ht="31.5" x14ac:dyDescent="0.25">
      <c r="A458" s="298" t="s">
        <v>923</v>
      </c>
      <c r="B458" s="299" t="s">
        <v>168</v>
      </c>
      <c r="C458" s="299" t="s">
        <v>159</v>
      </c>
      <c r="D458" s="299" t="s">
        <v>799</v>
      </c>
      <c r="E458" s="299"/>
      <c r="F458" s="294">
        <f>F459+F462+F468+F471+F474+F479+F482</f>
        <v>6112.9500000000007</v>
      </c>
      <c r="G458" s="344"/>
      <c r="H458" s="344"/>
      <c r="I458" s="344"/>
      <c r="J458" s="344"/>
      <c r="K458" s="344"/>
    </row>
    <row r="459" spans="1:11" ht="24" customHeight="1" x14ac:dyDescent="0.25">
      <c r="A459" s="345" t="s">
        <v>274</v>
      </c>
      <c r="B459" s="346" t="s">
        <v>168</v>
      </c>
      <c r="C459" s="346" t="s">
        <v>159</v>
      </c>
      <c r="D459" s="346" t="s">
        <v>919</v>
      </c>
      <c r="E459" s="346"/>
      <c r="F459" s="295">
        <f t="shared" ref="F459:F460" si="46">F460</f>
        <v>3841.3300000000004</v>
      </c>
    </row>
    <row r="460" spans="1:11" ht="31.5" x14ac:dyDescent="0.25">
      <c r="A460" s="345" t="s">
        <v>123</v>
      </c>
      <c r="B460" s="346" t="s">
        <v>168</v>
      </c>
      <c r="C460" s="346" t="s">
        <v>159</v>
      </c>
      <c r="D460" s="346" t="s">
        <v>919</v>
      </c>
      <c r="E460" s="346" t="s">
        <v>124</v>
      </c>
      <c r="F460" s="295">
        <f t="shared" si="46"/>
        <v>3841.3300000000004</v>
      </c>
    </row>
    <row r="461" spans="1:11" ht="47.25" x14ac:dyDescent="0.25">
      <c r="A461" s="345" t="s">
        <v>125</v>
      </c>
      <c r="B461" s="346" t="s">
        <v>168</v>
      </c>
      <c r="C461" s="346" t="s">
        <v>159</v>
      </c>
      <c r="D461" s="346" t="s">
        <v>919</v>
      </c>
      <c r="E461" s="346" t="s">
        <v>126</v>
      </c>
      <c r="F461" s="295">
        <f>'Пр.4 ведом.22'!G1210</f>
        <v>3841.3300000000004</v>
      </c>
    </row>
    <row r="462" spans="1:11" ht="15.75" x14ac:dyDescent="0.25">
      <c r="A462" s="345" t="s">
        <v>275</v>
      </c>
      <c r="B462" s="346" t="s">
        <v>168</v>
      </c>
      <c r="C462" s="346" t="s">
        <v>159</v>
      </c>
      <c r="D462" s="346" t="s">
        <v>910</v>
      </c>
      <c r="E462" s="346"/>
      <c r="F462" s="295">
        <f>F463+F465</f>
        <v>1775.1200000000001</v>
      </c>
    </row>
    <row r="463" spans="1:11" ht="31.5" x14ac:dyDescent="0.25">
      <c r="A463" s="345" t="s">
        <v>123</v>
      </c>
      <c r="B463" s="346" t="s">
        <v>168</v>
      </c>
      <c r="C463" s="346" t="s">
        <v>159</v>
      </c>
      <c r="D463" s="346" t="s">
        <v>910</v>
      </c>
      <c r="E463" s="346" t="s">
        <v>124</v>
      </c>
      <c r="F463" s="295">
        <f t="shared" ref="F463" si="47">F464</f>
        <v>1775.1200000000001</v>
      </c>
    </row>
    <row r="464" spans="1:11" ht="47.25" x14ac:dyDescent="0.25">
      <c r="A464" s="345" t="s">
        <v>125</v>
      </c>
      <c r="B464" s="346" t="s">
        <v>168</v>
      </c>
      <c r="C464" s="346" t="s">
        <v>159</v>
      </c>
      <c r="D464" s="346" t="s">
        <v>910</v>
      </c>
      <c r="E464" s="346" t="s">
        <v>126</v>
      </c>
      <c r="F464" s="295">
        <f>'Пр.4 ведом.22'!G1213</f>
        <v>1775.1200000000001</v>
      </c>
    </row>
    <row r="465" spans="1:11" ht="15.75" hidden="1" x14ac:dyDescent="0.25">
      <c r="A465" s="20" t="s">
        <v>127</v>
      </c>
      <c r="B465" s="346" t="s">
        <v>168</v>
      </c>
      <c r="C465" s="346" t="s">
        <v>159</v>
      </c>
      <c r="D465" s="346" t="s">
        <v>910</v>
      </c>
      <c r="E465" s="346" t="s">
        <v>134</v>
      </c>
      <c r="F465" s="295">
        <f>F467+F466</f>
        <v>0</v>
      </c>
    </row>
    <row r="466" spans="1:11" s="128" customFormat="1" ht="47.25" hidden="1" x14ac:dyDescent="0.25">
      <c r="A466" s="345" t="s">
        <v>411</v>
      </c>
      <c r="B466" s="346" t="s">
        <v>168</v>
      </c>
      <c r="C466" s="346" t="s">
        <v>159</v>
      </c>
      <c r="D466" s="346" t="s">
        <v>910</v>
      </c>
      <c r="E466" s="346" t="s">
        <v>136</v>
      </c>
      <c r="F466" s="295">
        <f>'Пр.4 ведом.22'!G1215</f>
        <v>0</v>
      </c>
      <c r="G466" s="344"/>
      <c r="H466" s="344"/>
      <c r="I466" s="344"/>
      <c r="J466" s="344"/>
      <c r="K466" s="344"/>
    </row>
    <row r="467" spans="1:11" ht="15.75" hidden="1" x14ac:dyDescent="0.25">
      <c r="A467" s="20" t="s">
        <v>280</v>
      </c>
      <c r="B467" s="346" t="s">
        <v>168</v>
      </c>
      <c r="C467" s="346" t="s">
        <v>159</v>
      </c>
      <c r="D467" s="346" t="s">
        <v>910</v>
      </c>
      <c r="E467" s="346" t="s">
        <v>130</v>
      </c>
      <c r="F467" s="295">
        <f>'Пр.4 ведом.22'!G1216</f>
        <v>0</v>
      </c>
    </row>
    <row r="468" spans="1:11" ht="15.75" hidden="1" x14ac:dyDescent="0.25">
      <c r="A468" s="345" t="s">
        <v>276</v>
      </c>
      <c r="B468" s="346" t="s">
        <v>168</v>
      </c>
      <c r="C468" s="346" t="s">
        <v>159</v>
      </c>
      <c r="D468" s="346" t="s">
        <v>814</v>
      </c>
      <c r="E468" s="346"/>
      <c r="F468" s="295">
        <f t="shared" ref="F468:F469" si="48">F469</f>
        <v>0</v>
      </c>
    </row>
    <row r="469" spans="1:11" ht="31.5" hidden="1" x14ac:dyDescent="0.25">
      <c r="A469" s="345" t="s">
        <v>123</v>
      </c>
      <c r="B469" s="346" t="s">
        <v>168</v>
      </c>
      <c r="C469" s="346" t="s">
        <v>159</v>
      </c>
      <c r="D469" s="346" t="s">
        <v>814</v>
      </c>
      <c r="E469" s="346" t="s">
        <v>124</v>
      </c>
      <c r="F469" s="295">
        <f t="shared" si="48"/>
        <v>0</v>
      </c>
    </row>
    <row r="470" spans="1:11" ht="47.25" hidden="1" x14ac:dyDescent="0.25">
      <c r="A470" s="345" t="s">
        <v>125</v>
      </c>
      <c r="B470" s="346" t="s">
        <v>168</v>
      </c>
      <c r="C470" s="346" t="s">
        <v>159</v>
      </c>
      <c r="D470" s="346" t="s">
        <v>814</v>
      </c>
      <c r="E470" s="346" t="s">
        <v>126</v>
      </c>
      <c r="F470" s="295">
        <f>'Пр.4 ведом.22'!G1219</f>
        <v>0</v>
      </c>
    </row>
    <row r="471" spans="1:11" ht="15.75" x14ac:dyDescent="0.25">
      <c r="A471" s="345" t="s">
        <v>277</v>
      </c>
      <c r="B471" s="346" t="s">
        <v>168</v>
      </c>
      <c r="C471" s="346" t="s">
        <v>159</v>
      </c>
      <c r="D471" s="346" t="s">
        <v>800</v>
      </c>
      <c r="E471" s="346"/>
      <c r="F471" s="295">
        <f t="shared" ref="F471:F472" si="49">F472</f>
        <v>7.9</v>
      </c>
    </row>
    <row r="472" spans="1:11" ht="31.5" x14ac:dyDescent="0.25">
      <c r="A472" s="345" t="s">
        <v>123</v>
      </c>
      <c r="B472" s="346" t="s">
        <v>168</v>
      </c>
      <c r="C472" s="346" t="s">
        <v>159</v>
      </c>
      <c r="D472" s="346" t="s">
        <v>800</v>
      </c>
      <c r="E472" s="346" t="s">
        <v>124</v>
      </c>
      <c r="F472" s="295">
        <f t="shared" si="49"/>
        <v>7.9</v>
      </c>
    </row>
    <row r="473" spans="1:11" ht="47.25" x14ac:dyDescent="0.25">
      <c r="A473" s="345" t="s">
        <v>125</v>
      </c>
      <c r="B473" s="346" t="s">
        <v>168</v>
      </c>
      <c r="C473" s="346" t="s">
        <v>159</v>
      </c>
      <c r="D473" s="346" t="s">
        <v>800</v>
      </c>
      <c r="E473" s="346" t="s">
        <v>126</v>
      </c>
      <c r="F473" s="295">
        <f>'Пр.4 ведом.22'!G1222</f>
        <v>7.9</v>
      </c>
    </row>
    <row r="474" spans="1:11" ht="31.5" hidden="1" x14ac:dyDescent="0.25">
      <c r="A474" s="204" t="s">
        <v>922</v>
      </c>
      <c r="B474" s="346" t="s">
        <v>168</v>
      </c>
      <c r="C474" s="346" t="s">
        <v>159</v>
      </c>
      <c r="D474" s="346" t="s">
        <v>801</v>
      </c>
      <c r="E474" s="346"/>
      <c r="F474" s="295">
        <f>F475+F477</f>
        <v>3.397282455352979E-14</v>
      </c>
    </row>
    <row r="475" spans="1:11" ht="31.5" hidden="1" x14ac:dyDescent="0.25">
      <c r="A475" s="345" t="s">
        <v>123</v>
      </c>
      <c r="B475" s="346" t="s">
        <v>168</v>
      </c>
      <c r="C475" s="346" t="s">
        <v>159</v>
      </c>
      <c r="D475" s="346" t="s">
        <v>801</v>
      </c>
      <c r="E475" s="346" t="s">
        <v>124</v>
      </c>
      <c r="F475" s="295">
        <f t="shared" ref="F475" si="50">F476</f>
        <v>3.397282455352979E-14</v>
      </c>
    </row>
    <row r="476" spans="1:11" ht="47.25" hidden="1" x14ac:dyDescent="0.25">
      <c r="A476" s="345" t="s">
        <v>125</v>
      </c>
      <c r="B476" s="346" t="s">
        <v>168</v>
      </c>
      <c r="C476" s="346" t="s">
        <v>159</v>
      </c>
      <c r="D476" s="346" t="s">
        <v>801</v>
      </c>
      <c r="E476" s="346" t="s">
        <v>126</v>
      </c>
      <c r="F476" s="295">
        <f>'Пр.4 ведом.22'!G1225</f>
        <v>3.397282455352979E-14</v>
      </c>
    </row>
    <row r="477" spans="1:11" s="128" customFormat="1" ht="15.75" hidden="1" x14ac:dyDescent="0.25">
      <c r="A477" s="20" t="s">
        <v>127</v>
      </c>
      <c r="B477" s="346" t="s">
        <v>168</v>
      </c>
      <c r="C477" s="346" t="s">
        <v>159</v>
      </c>
      <c r="D477" s="346" t="s">
        <v>801</v>
      </c>
      <c r="E477" s="346" t="s">
        <v>134</v>
      </c>
      <c r="F477" s="295">
        <f>F478</f>
        <v>0</v>
      </c>
      <c r="G477" s="344"/>
      <c r="H477" s="344"/>
      <c r="I477" s="344"/>
      <c r="J477" s="344"/>
      <c r="K477" s="344"/>
    </row>
    <row r="478" spans="1:11" s="128" customFormat="1" ht="15.75" hidden="1" x14ac:dyDescent="0.25">
      <c r="A478" s="20" t="s">
        <v>280</v>
      </c>
      <c r="B478" s="346" t="s">
        <v>168</v>
      </c>
      <c r="C478" s="346" t="s">
        <v>159</v>
      </c>
      <c r="D478" s="346" t="s">
        <v>801</v>
      </c>
      <c r="E478" s="346" t="s">
        <v>130</v>
      </c>
      <c r="F478" s="295">
        <f>'Пр.4 ведом.22'!G1227</f>
        <v>0</v>
      </c>
      <c r="G478" s="344"/>
      <c r="H478" s="344"/>
      <c r="I478" s="344"/>
      <c r="J478" s="344"/>
      <c r="K478" s="344"/>
    </row>
    <row r="479" spans="1:11" ht="15.75" hidden="1" x14ac:dyDescent="0.25">
      <c r="A479" s="67" t="s">
        <v>278</v>
      </c>
      <c r="B479" s="346" t="s">
        <v>168</v>
      </c>
      <c r="C479" s="346" t="s">
        <v>159</v>
      </c>
      <c r="D479" s="346" t="s">
        <v>802</v>
      </c>
      <c r="E479" s="346"/>
      <c r="F479" s="295">
        <f t="shared" ref="F479:F480" si="51">F480</f>
        <v>0</v>
      </c>
    </row>
    <row r="480" spans="1:11" ht="31.5" hidden="1" x14ac:dyDescent="0.25">
      <c r="A480" s="345" t="s">
        <v>123</v>
      </c>
      <c r="B480" s="346" t="s">
        <v>168</v>
      </c>
      <c r="C480" s="346" t="s">
        <v>159</v>
      </c>
      <c r="D480" s="346" t="s">
        <v>802</v>
      </c>
      <c r="E480" s="346" t="s">
        <v>124</v>
      </c>
      <c r="F480" s="295">
        <f t="shared" si="51"/>
        <v>0</v>
      </c>
    </row>
    <row r="481" spans="1:11" ht="47.25" hidden="1" x14ac:dyDescent="0.25">
      <c r="A481" s="345" t="s">
        <v>125</v>
      </c>
      <c r="B481" s="346" t="s">
        <v>168</v>
      </c>
      <c r="C481" s="346" t="s">
        <v>159</v>
      </c>
      <c r="D481" s="346" t="s">
        <v>802</v>
      </c>
      <c r="E481" s="346" t="s">
        <v>126</v>
      </c>
      <c r="F481" s="295">
        <f>'Пр.4 ведом.22'!G1230</f>
        <v>0</v>
      </c>
    </row>
    <row r="482" spans="1:11" s="128" customFormat="1" ht="31.5" hidden="1" x14ac:dyDescent="0.25">
      <c r="A482" s="148" t="s">
        <v>640</v>
      </c>
      <c r="B482" s="346" t="s">
        <v>168</v>
      </c>
      <c r="C482" s="346" t="s">
        <v>159</v>
      </c>
      <c r="D482" s="346" t="s">
        <v>803</v>
      </c>
      <c r="E482" s="346"/>
      <c r="F482" s="300">
        <f>F483</f>
        <v>488.6</v>
      </c>
      <c r="G482" s="344"/>
      <c r="H482" s="344"/>
      <c r="I482" s="344"/>
      <c r="J482" s="344"/>
      <c r="K482" s="344"/>
    </row>
    <row r="483" spans="1:11" s="128" customFormat="1" ht="31.5" hidden="1" x14ac:dyDescent="0.25">
      <c r="A483" s="345" t="s">
        <v>123</v>
      </c>
      <c r="B483" s="346" t="s">
        <v>168</v>
      </c>
      <c r="C483" s="346" t="s">
        <v>159</v>
      </c>
      <c r="D483" s="346" t="s">
        <v>803</v>
      </c>
      <c r="E483" s="346" t="s">
        <v>124</v>
      </c>
      <c r="F483" s="300">
        <f>F484</f>
        <v>488.6</v>
      </c>
      <c r="G483" s="344"/>
      <c r="H483" s="344"/>
      <c r="I483" s="344"/>
      <c r="J483" s="344"/>
      <c r="K483" s="344"/>
    </row>
    <row r="484" spans="1:11" s="128" customFormat="1" ht="47.25" hidden="1" x14ac:dyDescent="0.25">
      <c r="A484" s="345" t="s">
        <v>125</v>
      </c>
      <c r="B484" s="346" t="s">
        <v>168</v>
      </c>
      <c r="C484" s="346" t="s">
        <v>159</v>
      </c>
      <c r="D484" s="346" t="s">
        <v>803</v>
      </c>
      <c r="E484" s="346" t="s">
        <v>126</v>
      </c>
      <c r="F484" s="300">
        <f>'Пр.4 ведом.22'!G1233</f>
        <v>488.6</v>
      </c>
      <c r="G484" s="344"/>
      <c r="H484" s="344"/>
      <c r="I484" s="344"/>
      <c r="J484" s="344"/>
      <c r="K484" s="344"/>
    </row>
    <row r="485" spans="1:11" s="128" customFormat="1" ht="31.5" x14ac:dyDescent="0.25">
      <c r="A485" s="298" t="s">
        <v>462</v>
      </c>
      <c r="B485" s="6" t="s">
        <v>168</v>
      </c>
      <c r="C485" s="6" t="s">
        <v>159</v>
      </c>
      <c r="D485" s="299" t="s">
        <v>813</v>
      </c>
      <c r="E485" s="299"/>
      <c r="F485" s="294">
        <f>F486+F489</f>
        <v>2258.7000000000003</v>
      </c>
      <c r="G485" s="344"/>
      <c r="H485" s="344"/>
      <c r="I485" s="344"/>
      <c r="J485" s="344"/>
      <c r="K485" s="344"/>
    </row>
    <row r="486" spans="1:11" s="128" customFormat="1" ht="31.5" hidden="1" x14ac:dyDescent="0.25">
      <c r="A486" s="345" t="s">
        <v>332</v>
      </c>
      <c r="B486" s="346" t="s">
        <v>168</v>
      </c>
      <c r="C486" s="346" t="s">
        <v>159</v>
      </c>
      <c r="D486" s="346" t="s">
        <v>835</v>
      </c>
      <c r="E486" s="346"/>
      <c r="F486" s="295">
        <f t="shared" ref="F486" si="52">F487</f>
        <v>0</v>
      </c>
      <c r="G486" s="344"/>
      <c r="H486" s="344"/>
      <c r="I486" s="344"/>
      <c r="J486" s="344"/>
      <c r="K486" s="344"/>
    </row>
    <row r="487" spans="1:11" s="128" customFormat="1" ht="31.5" hidden="1" x14ac:dyDescent="0.25">
      <c r="A487" s="345" t="s">
        <v>123</v>
      </c>
      <c r="B487" s="346" t="s">
        <v>168</v>
      </c>
      <c r="C487" s="346" t="s">
        <v>159</v>
      </c>
      <c r="D487" s="346" t="s">
        <v>835</v>
      </c>
      <c r="E487" s="346" t="s">
        <v>124</v>
      </c>
      <c r="F487" s="295">
        <f>F488</f>
        <v>0</v>
      </c>
      <c r="G487" s="344"/>
      <c r="H487" s="344"/>
      <c r="I487" s="344"/>
      <c r="J487" s="344"/>
      <c r="K487" s="344"/>
    </row>
    <row r="488" spans="1:11" s="128" customFormat="1" ht="47.25" hidden="1" x14ac:dyDescent="0.25">
      <c r="A488" s="345" t="s">
        <v>125</v>
      </c>
      <c r="B488" s="346" t="s">
        <v>168</v>
      </c>
      <c r="C488" s="346" t="s">
        <v>159</v>
      </c>
      <c r="D488" s="346" t="s">
        <v>835</v>
      </c>
      <c r="E488" s="346" t="s">
        <v>126</v>
      </c>
      <c r="F488" s="295">
        <f>'Пр.4 ведом.22'!G1237</f>
        <v>0</v>
      </c>
      <c r="G488" s="344"/>
      <c r="H488" s="344"/>
      <c r="I488" s="344"/>
      <c r="J488" s="344"/>
      <c r="K488" s="344"/>
    </row>
    <row r="489" spans="1:11" s="128" customFormat="1" ht="63" x14ac:dyDescent="0.25">
      <c r="A489" s="345" t="s">
        <v>625</v>
      </c>
      <c r="B489" s="346" t="s">
        <v>168</v>
      </c>
      <c r="C489" s="346" t="s">
        <v>159</v>
      </c>
      <c r="D489" s="346" t="s">
        <v>812</v>
      </c>
      <c r="E489" s="346"/>
      <c r="F489" s="295">
        <f>F490</f>
        <v>2258.7000000000003</v>
      </c>
      <c r="G489" s="344"/>
      <c r="H489" s="344"/>
      <c r="I489" s="344"/>
      <c r="J489" s="344"/>
      <c r="K489" s="344"/>
    </row>
    <row r="490" spans="1:11" s="128" customFormat="1" ht="31.5" x14ac:dyDescent="0.25">
      <c r="A490" s="345" t="s">
        <v>123</v>
      </c>
      <c r="B490" s="346" t="s">
        <v>168</v>
      </c>
      <c r="C490" s="346" t="s">
        <v>159</v>
      </c>
      <c r="D490" s="346" t="s">
        <v>812</v>
      </c>
      <c r="E490" s="346" t="s">
        <v>124</v>
      </c>
      <c r="F490" s="295">
        <f>F491</f>
        <v>2258.7000000000003</v>
      </c>
      <c r="G490" s="344"/>
      <c r="H490" s="344"/>
      <c r="I490" s="344"/>
      <c r="J490" s="344"/>
      <c r="K490" s="344"/>
    </row>
    <row r="491" spans="1:11" s="128" customFormat="1" ht="47.25" x14ac:dyDescent="0.25">
      <c r="A491" s="345" t="s">
        <v>125</v>
      </c>
      <c r="B491" s="346" t="s">
        <v>168</v>
      </c>
      <c r="C491" s="346" t="s">
        <v>159</v>
      </c>
      <c r="D491" s="346" t="s">
        <v>812</v>
      </c>
      <c r="E491" s="346" t="s">
        <v>126</v>
      </c>
      <c r="F491" s="295">
        <f>'Пр.4 ведом.22'!G1240</f>
        <v>2258.7000000000003</v>
      </c>
      <c r="G491" s="344"/>
      <c r="H491" s="344"/>
      <c r="I491" s="344"/>
      <c r="J491" s="344"/>
      <c r="K491" s="344"/>
    </row>
    <row r="492" spans="1:11" s="293" customFormat="1" ht="31.5" hidden="1" x14ac:dyDescent="0.25">
      <c r="A492" s="24" t="s">
        <v>1054</v>
      </c>
      <c r="B492" s="299" t="s">
        <v>168</v>
      </c>
      <c r="C492" s="299" t="s">
        <v>159</v>
      </c>
      <c r="D492" s="299" t="s">
        <v>1055</v>
      </c>
      <c r="E492" s="299"/>
      <c r="F492" s="294">
        <f>F493</f>
        <v>0</v>
      </c>
      <c r="G492" s="344"/>
      <c r="H492" s="344"/>
      <c r="I492" s="344"/>
      <c r="J492" s="344"/>
      <c r="K492" s="344"/>
    </row>
    <row r="493" spans="1:11" s="293" customFormat="1" ht="31.15" hidden="1" customHeight="1" x14ac:dyDescent="0.25">
      <c r="A493" s="22" t="s">
        <v>1315</v>
      </c>
      <c r="B493" s="346" t="s">
        <v>168</v>
      </c>
      <c r="C493" s="346" t="s">
        <v>159</v>
      </c>
      <c r="D493" s="346" t="s">
        <v>1056</v>
      </c>
      <c r="E493" s="346"/>
      <c r="F493" s="295">
        <f>F494</f>
        <v>0</v>
      </c>
      <c r="G493" s="344"/>
      <c r="H493" s="344"/>
      <c r="I493" s="344"/>
      <c r="J493" s="344"/>
      <c r="K493" s="344"/>
    </row>
    <row r="494" spans="1:11" s="293" customFormat="1" ht="31.5" hidden="1" x14ac:dyDescent="0.25">
      <c r="A494" s="345" t="s">
        <v>123</v>
      </c>
      <c r="B494" s="346" t="s">
        <v>168</v>
      </c>
      <c r="C494" s="346" t="s">
        <v>159</v>
      </c>
      <c r="D494" s="346" t="s">
        <v>1056</v>
      </c>
      <c r="E494" s="346" t="s">
        <v>124</v>
      </c>
      <c r="F494" s="295">
        <f>F495</f>
        <v>0</v>
      </c>
      <c r="G494" s="344"/>
      <c r="H494" s="344"/>
      <c r="I494" s="344"/>
      <c r="J494" s="344"/>
      <c r="K494" s="344"/>
    </row>
    <row r="495" spans="1:11" s="293" customFormat="1" ht="47.25" hidden="1" x14ac:dyDescent="0.25">
      <c r="A495" s="345" t="s">
        <v>125</v>
      </c>
      <c r="B495" s="346" t="s">
        <v>168</v>
      </c>
      <c r="C495" s="346" t="s">
        <v>159</v>
      </c>
      <c r="D495" s="346" t="s">
        <v>1056</v>
      </c>
      <c r="E495" s="346" t="s">
        <v>126</v>
      </c>
      <c r="F495" s="295">
        <f>'Пр.4 ведом.22'!G1244</f>
        <v>0</v>
      </c>
      <c r="G495" s="344"/>
      <c r="H495" s="344"/>
      <c r="I495" s="344"/>
      <c r="J495" s="344"/>
      <c r="K495" s="344"/>
    </row>
    <row r="496" spans="1:11" s="293" customFormat="1" ht="47.25" x14ac:dyDescent="0.25">
      <c r="A496" s="24" t="s">
        <v>1080</v>
      </c>
      <c r="B496" s="299" t="s">
        <v>168</v>
      </c>
      <c r="C496" s="299" t="s">
        <v>159</v>
      </c>
      <c r="D496" s="299" t="s">
        <v>1079</v>
      </c>
      <c r="E496" s="299"/>
      <c r="F496" s="294">
        <f>F497</f>
        <v>4881.0199999999995</v>
      </c>
      <c r="G496" s="344"/>
      <c r="H496" s="344"/>
      <c r="I496" s="344"/>
      <c r="J496" s="344"/>
      <c r="K496" s="344"/>
    </row>
    <row r="497" spans="1:11" s="293" customFormat="1" ht="31.5" x14ac:dyDescent="0.25">
      <c r="A497" s="22" t="s">
        <v>1146</v>
      </c>
      <c r="B497" s="346" t="s">
        <v>168</v>
      </c>
      <c r="C497" s="346" t="s">
        <v>159</v>
      </c>
      <c r="D497" s="346" t="s">
        <v>1088</v>
      </c>
      <c r="E497" s="346"/>
      <c r="F497" s="295">
        <f>F498</f>
        <v>4881.0199999999995</v>
      </c>
      <c r="G497" s="344"/>
      <c r="H497" s="344"/>
      <c r="I497" s="344"/>
      <c r="J497" s="344"/>
      <c r="K497" s="344"/>
    </row>
    <row r="498" spans="1:11" s="293" customFormat="1" ht="31.5" x14ac:dyDescent="0.25">
      <c r="A498" s="345" t="s">
        <v>123</v>
      </c>
      <c r="B498" s="346" t="s">
        <v>168</v>
      </c>
      <c r="C498" s="346" t="s">
        <v>159</v>
      </c>
      <c r="D498" s="346" t="s">
        <v>1088</v>
      </c>
      <c r="E498" s="346" t="s">
        <v>124</v>
      </c>
      <c r="F498" s="295">
        <f>F499</f>
        <v>4881.0199999999995</v>
      </c>
      <c r="G498" s="344"/>
      <c r="H498" s="344"/>
      <c r="I498" s="344"/>
      <c r="J498" s="344"/>
      <c r="K498" s="344"/>
    </row>
    <row r="499" spans="1:11" s="293" customFormat="1" ht="33.75" customHeight="1" x14ac:dyDescent="0.25">
      <c r="A499" s="345" t="s">
        <v>125</v>
      </c>
      <c r="B499" s="346" t="s">
        <v>168</v>
      </c>
      <c r="C499" s="346" t="s">
        <v>159</v>
      </c>
      <c r="D499" s="346" t="s">
        <v>1088</v>
      </c>
      <c r="E499" s="346" t="s">
        <v>126</v>
      </c>
      <c r="F499" s="295">
        <f>'Пр.4 ведом.22'!G1248</f>
        <v>4881.0199999999995</v>
      </c>
      <c r="G499" s="344"/>
      <c r="H499" s="344"/>
      <c r="I499" s="344"/>
      <c r="J499" s="344"/>
      <c r="K499" s="344"/>
    </row>
    <row r="500" spans="1:11" s="343" customFormat="1" ht="33.75" customHeight="1" x14ac:dyDescent="0.25">
      <c r="A500" s="298" t="s">
        <v>1279</v>
      </c>
      <c r="B500" s="299" t="s">
        <v>168</v>
      </c>
      <c r="C500" s="299" t="s">
        <v>159</v>
      </c>
      <c r="D500" s="299" t="s">
        <v>1281</v>
      </c>
      <c r="E500" s="299"/>
      <c r="F500" s="294">
        <f>F501</f>
        <v>7059</v>
      </c>
      <c r="G500" s="344"/>
      <c r="H500" s="344"/>
      <c r="I500" s="344"/>
      <c r="J500" s="344"/>
      <c r="K500" s="344"/>
    </row>
    <row r="501" spans="1:11" s="343" customFormat="1" ht="67.900000000000006" customHeight="1" x14ac:dyDescent="0.25">
      <c r="A501" s="345" t="s">
        <v>1280</v>
      </c>
      <c r="B501" s="346" t="s">
        <v>168</v>
      </c>
      <c r="C501" s="346" t="s">
        <v>159</v>
      </c>
      <c r="D501" s="346" t="s">
        <v>1282</v>
      </c>
      <c r="E501" s="346"/>
      <c r="F501" s="295">
        <f>F502</f>
        <v>7059</v>
      </c>
      <c r="G501" s="344"/>
      <c r="H501" s="344"/>
      <c r="I501" s="344"/>
      <c r="J501" s="344"/>
      <c r="K501" s="344"/>
    </row>
    <row r="502" spans="1:11" s="343" customFormat="1" ht="33.75" customHeight="1" x14ac:dyDescent="0.25">
      <c r="A502" s="345" t="s">
        <v>123</v>
      </c>
      <c r="B502" s="346" t="s">
        <v>168</v>
      </c>
      <c r="C502" s="346" t="s">
        <v>159</v>
      </c>
      <c r="D502" s="346" t="s">
        <v>1282</v>
      </c>
      <c r="E502" s="346" t="s">
        <v>124</v>
      </c>
      <c r="F502" s="295">
        <f>F503</f>
        <v>7059</v>
      </c>
      <c r="G502" s="344"/>
      <c r="H502" s="344"/>
      <c r="I502" s="344"/>
      <c r="J502" s="344"/>
      <c r="K502" s="344"/>
    </row>
    <row r="503" spans="1:11" s="343" customFormat="1" ht="33.75" customHeight="1" x14ac:dyDescent="0.25">
      <c r="A503" s="345" t="s">
        <v>125</v>
      </c>
      <c r="B503" s="346" t="s">
        <v>168</v>
      </c>
      <c r="C503" s="346" t="s">
        <v>159</v>
      </c>
      <c r="D503" s="346" t="s">
        <v>1282</v>
      </c>
      <c r="E503" s="346" t="s">
        <v>126</v>
      </c>
      <c r="F503" s="295">
        <f>'Пр.4 ведом.22'!G1252</f>
        <v>7059</v>
      </c>
      <c r="G503" s="344"/>
      <c r="H503" s="344"/>
      <c r="I503" s="344"/>
      <c r="J503" s="344"/>
      <c r="K503" s="344"/>
    </row>
    <row r="504" spans="1:11" s="343" customFormat="1" ht="33.75" customHeight="1" x14ac:dyDescent="0.25">
      <c r="A504" s="298" t="s">
        <v>1300</v>
      </c>
      <c r="B504" s="299" t="s">
        <v>168</v>
      </c>
      <c r="C504" s="299" t="s">
        <v>159</v>
      </c>
      <c r="D504" s="299" t="s">
        <v>1301</v>
      </c>
      <c r="E504" s="299"/>
      <c r="F504" s="294">
        <f>F505</f>
        <v>2857.2</v>
      </c>
      <c r="G504" s="344"/>
      <c r="H504" s="344"/>
      <c r="I504" s="344"/>
      <c r="J504" s="344"/>
      <c r="K504" s="344"/>
    </row>
    <row r="505" spans="1:11" s="343" customFormat="1" ht="33.75" customHeight="1" x14ac:dyDescent="0.25">
      <c r="A505" s="345" t="s">
        <v>1302</v>
      </c>
      <c r="B505" s="346" t="s">
        <v>168</v>
      </c>
      <c r="C505" s="346" t="s">
        <v>159</v>
      </c>
      <c r="D505" s="346" t="s">
        <v>1303</v>
      </c>
      <c r="E505" s="346"/>
      <c r="F505" s="295">
        <f>F506</f>
        <v>2857.2</v>
      </c>
      <c r="G505" s="344"/>
      <c r="H505" s="344"/>
      <c r="I505" s="344"/>
      <c r="J505" s="344"/>
      <c r="K505" s="344"/>
    </row>
    <row r="506" spans="1:11" s="343" customFormat="1" ht="33.75" customHeight="1" x14ac:dyDescent="0.25">
      <c r="A506" s="345" t="s">
        <v>123</v>
      </c>
      <c r="B506" s="346" t="s">
        <v>168</v>
      </c>
      <c r="C506" s="346" t="s">
        <v>159</v>
      </c>
      <c r="D506" s="346" t="s">
        <v>1303</v>
      </c>
      <c r="E506" s="346" t="s">
        <v>124</v>
      </c>
      <c r="F506" s="295">
        <f>F507</f>
        <v>2857.2</v>
      </c>
      <c r="G506" s="344"/>
      <c r="H506" s="344"/>
      <c r="I506" s="344"/>
      <c r="J506" s="344"/>
      <c r="K506" s="344"/>
    </row>
    <row r="507" spans="1:11" s="343" customFormat="1" ht="33.75" customHeight="1" x14ac:dyDescent="0.25">
      <c r="A507" s="345" t="s">
        <v>125</v>
      </c>
      <c r="B507" s="346" t="s">
        <v>168</v>
      </c>
      <c r="C507" s="346" t="s">
        <v>159</v>
      </c>
      <c r="D507" s="346" t="s">
        <v>1303</v>
      </c>
      <c r="E507" s="346" t="s">
        <v>126</v>
      </c>
      <c r="F507" s="295">
        <f>'Пр.4 ведом.22'!G1256</f>
        <v>2857.2</v>
      </c>
      <c r="G507" s="344"/>
      <c r="H507" s="344"/>
      <c r="I507" s="344"/>
      <c r="J507" s="344"/>
      <c r="K507" s="344"/>
    </row>
    <row r="508" spans="1:11" ht="63" x14ac:dyDescent="0.25">
      <c r="A508" s="298" t="s">
        <v>986</v>
      </c>
      <c r="B508" s="299" t="s">
        <v>168</v>
      </c>
      <c r="C508" s="299" t="s">
        <v>159</v>
      </c>
      <c r="D508" s="299" t="s">
        <v>341</v>
      </c>
      <c r="E508" s="299"/>
      <c r="F508" s="294">
        <f>F509+F513</f>
        <v>27440.58596</v>
      </c>
    </row>
    <row r="509" spans="1:11" s="128" customFormat="1" ht="31.5" x14ac:dyDescent="0.25">
      <c r="A509" s="298" t="s">
        <v>621</v>
      </c>
      <c r="B509" s="299" t="s">
        <v>168</v>
      </c>
      <c r="C509" s="299" t="s">
        <v>159</v>
      </c>
      <c r="D509" s="299" t="s">
        <v>410</v>
      </c>
      <c r="E509" s="346"/>
      <c r="F509" s="294">
        <f>F510</f>
        <v>26088.123599999999</v>
      </c>
      <c r="G509" s="344"/>
      <c r="H509" s="344"/>
      <c r="I509" s="344"/>
      <c r="J509" s="344"/>
      <c r="K509" s="344"/>
    </row>
    <row r="510" spans="1:11" ht="31.5" x14ac:dyDescent="0.25">
      <c r="A510" s="167" t="s">
        <v>340</v>
      </c>
      <c r="B510" s="346" t="s">
        <v>168</v>
      </c>
      <c r="C510" s="346" t="s">
        <v>159</v>
      </c>
      <c r="D510" s="346" t="s">
        <v>410</v>
      </c>
      <c r="E510" s="346"/>
      <c r="F510" s="295">
        <f t="shared" ref="F510:F511" si="53">F511</f>
        <v>26088.123599999999</v>
      </c>
    </row>
    <row r="511" spans="1:11" ht="31.5" x14ac:dyDescent="0.25">
      <c r="A511" s="345" t="s">
        <v>123</v>
      </c>
      <c r="B511" s="346" t="s">
        <v>168</v>
      </c>
      <c r="C511" s="346" t="s">
        <v>159</v>
      </c>
      <c r="D511" s="346" t="s">
        <v>410</v>
      </c>
      <c r="E511" s="346" t="s">
        <v>124</v>
      </c>
      <c r="F511" s="295">
        <f t="shared" si="53"/>
        <v>26088.123599999999</v>
      </c>
    </row>
    <row r="512" spans="1:11" ht="47.25" x14ac:dyDescent="0.25">
      <c r="A512" s="345" t="s">
        <v>125</v>
      </c>
      <c r="B512" s="346" t="s">
        <v>168</v>
      </c>
      <c r="C512" s="346" t="s">
        <v>159</v>
      </c>
      <c r="D512" s="346" t="s">
        <v>410</v>
      </c>
      <c r="E512" s="346" t="s">
        <v>126</v>
      </c>
      <c r="F512" s="295">
        <f>'Пр.4 ведом.22'!G1261</f>
        <v>26088.123599999999</v>
      </c>
    </row>
    <row r="513" spans="1:11" s="111" customFormat="1" ht="110.25" x14ac:dyDescent="0.25">
      <c r="A513" s="298" t="s">
        <v>1083</v>
      </c>
      <c r="B513" s="299" t="s">
        <v>168</v>
      </c>
      <c r="C513" s="299" t="s">
        <v>159</v>
      </c>
      <c r="D513" s="299" t="s">
        <v>1084</v>
      </c>
      <c r="E513" s="299"/>
      <c r="F513" s="294">
        <f>F514+F517</f>
        <v>1352.46236</v>
      </c>
      <c r="G513" s="132"/>
      <c r="H513" s="132"/>
      <c r="I513" s="132"/>
      <c r="J513" s="132"/>
      <c r="K513" s="132"/>
    </row>
    <row r="514" spans="1:11" s="74" customFormat="1" ht="94.5" hidden="1" x14ac:dyDescent="0.25">
      <c r="A514" s="49" t="s">
        <v>1106</v>
      </c>
      <c r="B514" s="346" t="s">
        <v>168</v>
      </c>
      <c r="C514" s="346" t="s">
        <v>159</v>
      </c>
      <c r="D514" s="346" t="s">
        <v>1085</v>
      </c>
      <c r="E514" s="346"/>
      <c r="F514" s="295">
        <f>F515</f>
        <v>0</v>
      </c>
      <c r="G514" s="131"/>
      <c r="H514" s="131"/>
      <c r="I514" s="131"/>
      <c r="J514" s="131"/>
      <c r="K514" s="131"/>
    </row>
    <row r="515" spans="1:11" s="293" customFormat="1" ht="31.5" hidden="1" x14ac:dyDescent="0.25">
      <c r="A515" s="345" t="s">
        <v>123</v>
      </c>
      <c r="B515" s="346" t="s">
        <v>168</v>
      </c>
      <c r="C515" s="346" t="s">
        <v>159</v>
      </c>
      <c r="D515" s="346" t="s">
        <v>1085</v>
      </c>
      <c r="E515" s="346" t="s">
        <v>124</v>
      </c>
      <c r="F515" s="295">
        <f>F516</f>
        <v>0</v>
      </c>
      <c r="G515" s="344"/>
      <c r="H515" s="344"/>
      <c r="I515" s="344"/>
      <c r="J515" s="344"/>
      <c r="K515" s="344"/>
    </row>
    <row r="516" spans="1:11" s="293" customFormat="1" ht="47.25" hidden="1" x14ac:dyDescent="0.25">
      <c r="A516" s="345" t="s">
        <v>125</v>
      </c>
      <c r="B516" s="346" t="s">
        <v>168</v>
      </c>
      <c r="C516" s="346" t="s">
        <v>159</v>
      </c>
      <c r="D516" s="346" t="s">
        <v>1085</v>
      </c>
      <c r="E516" s="346" t="s">
        <v>126</v>
      </c>
      <c r="F516" s="295">
        <f>'Пр.4 ведом.22'!G1265</f>
        <v>0</v>
      </c>
      <c r="G516" s="344"/>
      <c r="H516" s="344"/>
      <c r="I516" s="344"/>
      <c r="J516" s="344"/>
      <c r="K516" s="344"/>
    </row>
    <row r="517" spans="1:11" s="343" customFormat="1" ht="15.75" x14ac:dyDescent="0.25">
      <c r="A517" s="345" t="s">
        <v>1309</v>
      </c>
      <c r="B517" s="346" t="s">
        <v>168</v>
      </c>
      <c r="C517" s="346" t="s">
        <v>159</v>
      </c>
      <c r="D517" s="346" t="s">
        <v>1310</v>
      </c>
      <c r="E517" s="346"/>
      <c r="F517" s="295">
        <f>F518</f>
        <v>1352.46236</v>
      </c>
      <c r="G517" s="344"/>
      <c r="H517" s="344"/>
      <c r="I517" s="344"/>
      <c r="J517" s="344"/>
      <c r="K517" s="344"/>
    </row>
    <row r="518" spans="1:11" s="343" customFormat="1" ht="31.5" x14ac:dyDescent="0.25">
      <c r="A518" s="345" t="s">
        <v>123</v>
      </c>
      <c r="B518" s="346" t="s">
        <v>168</v>
      </c>
      <c r="C518" s="346" t="s">
        <v>159</v>
      </c>
      <c r="D518" s="346" t="s">
        <v>1310</v>
      </c>
      <c r="E518" s="346" t="s">
        <v>124</v>
      </c>
      <c r="F518" s="295">
        <f>F519</f>
        <v>1352.46236</v>
      </c>
      <c r="G518" s="344"/>
      <c r="H518" s="344"/>
      <c r="I518" s="344"/>
      <c r="J518" s="344"/>
      <c r="K518" s="344"/>
    </row>
    <row r="519" spans="1:11" s="343" customFormat="1" ht="47.25" x14ac:dyDescent="0.25">
      <c r="A519" s="345" t="s">
        <v>125</v>
      </c>
      <c r="B519" s="346" t="s">
        <v>168</v>
      </c>
      <c r="C519" s="346" t="s">
        <v>159</v>
      </c>
      <c r="D519" s="346" t="s">
        <v>1310</v>
      </c>
      <c r="E519" s="346" t="s">
        <v>126</v>
      </c>
      <c r="F519" s="295">
        <f>'Пр.4 ведом.22'!G1268</f>
        <v>1352.46236</v>
      </c>
      <c r="G519" s="344"/>
      <c r="H519" s="344"/>
      <c r="I519" s="344"/>
      <c r="J519" s="344"/>
      <c r="K519" s="344"/>
    </row>
    <row r="520" spans="1:11" ht="31.5" x14ac:dyDescent="0.25">
      <c r="A520" s="340" t="s">
        <v>281</v>
      </c>
      <c r="B520" s="6" t="s">
        <v>168</v>
      </c>
      <c r="C520" s="6" t="s">
        <v>168</v>
      </c>
      <c r="D520" s="6"/>
      <c r="E520" s="6"/>
      <c r="F520" s="294">
        <f>F521+F542+F567</f>
        <v>32993.101000000002</v>
      </c>
      <c r="H520" s="71"/>
    </row>
    <row r="521" spans="1:11" ht="31.5" x14ac:dyDescent="0.25">
      <c r="A521" s="298" t="s">
        <v>486</v>
      </c>
      <c r="B521" s="299" t="s">
        <v>168</v>
      </c>
      <c r="C521" s="299" t="s">
        <v>168</v>
      </c>
      <c r="D521" s="299" t="s">
        <v>432</v>
      </c>
      <c r="E521" s="299"/>
      <c r="F521" s="294">
        <f>F522+F536</f>
        <v>16696.27</v>
      </c>
    </row>
    <row r="522" spans="1:11" ht="15.75" x14ac:dyDescent="0.25">
      <c r="A522" s="298" t="s">
        <v>487</v>
      </c>
      <c r="B522" s="299" t="s">
        <v>168</v>
      </c>
      <c r="C522" s="299" t="s">
        <v>168</v>
      </c>
      <c r="D522" s="299" t="s">
        <v>433</v>
      </c>
      <c r="E522" s="299"/>
      <c r="F522" s="294">
        <f>F523+F533+F530</f>
        <v>16696.27</v>
      </c>
    </row>
    <row r="523" spans="1:11" ht="31.5" x14ac:dyDescent="0.25">
      <c r="A523" s="345" t="s">
        <v>466</v>
      </c>
      <c r="B523" s="346" t="s">
        <v>168</v>
      </c>
      <c r="C523" s="346" t="s">
        <v>168</v>
      </c>
      <c r="D523" s="346" t="s">
        <v>434</v>
      </c>
      <c r="E523" s="346"/>
      <c r="F523" s="295">
        <f t="shared" ref="F523" si="54">F524+F526+F528</f>
        <v>14762.020000000002</v>
      </c>
    </row>
    <row r="524" spans="1:11" ht="81.75" customHeight="1" x14ac:dyDescent="0.25">
      <c r="A524" s="345" t="s">
        <v>119</v>
      </c>
      <c r="B524" s="346" t="s">
        <v>168</v>
      </c>
      <c r="C524" s="346" t="s">
        <v>168</v>
      </c>
      <c r="D524" s="346" t="s">
        <v>434</v>
      </c>
      <c r="E524" s="346" t="s">
        <v>120</v>
      </c>
      <c r="F524" s="246">
        <f t="shared" ref="F524" si="55">F525</f>
        <v>14602.670000000002</v>
      </c>
    </row>
    <row r="525" spans="1:11" ht="31.5" x14ac:dyDescent="0.25">
      <c r="A525" s="345" t="s">
        <v>121</v>
      </c>
      <c r="B525" s="346" t="s">
        <v>168</v>
      </c>
      <c r="C525" s="346" t="s">
        <v>168</v>
      </c>
      <c r="D525" s="346" t="s">
        <v>434</v>
      </c>
      <c r="E525" s="346" t="s">
        <v>122</v>
      </c>
      <c r="F525" s="246">
        <f>'Пр.4 ведом.22'!G1274</f>
        <v>14602.670000000002</v>
      </c>
    </row>
    <row r="526" spans="1:11" ht="31.5" x14ac:dyDescent="0.25">
      <c r="A526" s="345" t="s">
        <v>123</v>
      </c>
      <c r="B526" s="346" t="s">
        <v>168</v>
      </c>
      <c r="C526" s="346" t="s">
        <v>168</v>
      </c>
      <c r="D526" s="346" t="s">
        <v>434</v>
      </c>
      <c r="E526" s="346" t="s">
        <v>124</v>
      </c>
      <c r="F526" s="246">
        <f t="shared" ref="F526" si="56">F527</f>
        <v>139.19999999999999</v>
      </c>
    </row>
    <row r="527" spans="1:11" ht="47.25" x14ac:dyDescent="0.25">
      <c r="A527" s="345" t="s">
        <v>125</v>
      </c>
      <c r="B527" s="346" t="s">
        <v>168</v>
      </c>
      <c r="C527" s="346" t="s">
        <v>168</v>
      </c>
      <c r="D527" s="346" t="s">
        <v>434</v>
      </c>
      <c r="E527" s="346" t="s">
        <v>126</v>
      </c>
      <c r="F527" s="246">
        <f>'Пр.4 ведом.22'!G1276</f>
        <v>139.19999999999999</v>
      </c>
    </row>
    <row r="528" spans="1:11" ht="15.75" x14ac:dyDescent="0.25">
      <c r="A528" s="345" t="s">
        <v>127</v>
      </c>
      <c r="B528" s="346" t="s">
        <v>168</v>
      </c>
      <c r="C528" s="346" t="s">
        <v>168</v>
      </c>
      <c r="D528" s="346" t="s">
        <v>434</v>
      </c>
      <c r="E528" s="346" t="s">
        <v>134</v>
      </c>
      <c r="F528" s="246">
        <f t="shared" ref="F528" si="57">F529</f>
        <v>20.150000000000002</v>
      </c>
    </row>
    <row r="529" spans="1:11" ht="15.75" x14ac:dyDescent="0.25">
      <c r="A529" s="345" t="s">
        <v>280</v>
      </c>
      <c r="B529" s="346" t="s">
        <v>168</v>
      </c>
      <c r="C529" s="346" t="s">
        <v>168</v>
      </c>
      <c r="D529" s="346" t="s">
        <v>434</v>
      </c>
      <c r="E529" s="346" t="s">
        <v>130</v>
      </c>
      <c r="F529" s="246">
        <f>'Пр.4 ведом.22'!G1278</f>
        <v>20.150000000000002</v>
      </c>
    </row>
    <row r="530" spans="1:11" s="343" customFormat="1" ht="31.5" x14ac:dyDescent="0.25">
      <c r="A530" s="345" t="s">
        <v>415</v>
      </c>
      <c r="B530" s="346" t="s">
        <v>168</v>
      </c>
      <c r="C530" s="346" t="s">
        <v>168</v>
      </c>
      <c r="D530" s="346" t="s">
        <v>435</v>
      </c>
      <c r="E530" s="346"/>
      <c r="F530" s="246">
        <f>F531</f>
        <v>1477.2</v>
      </c>
      <c r="G530" s="344"/>
      <c r="H530" s="344"/>
      <c r="I530" s="344"/>
      <c r="J530" s="344"/>
      <c r="K530" s="344"/>
    </row>
    <row r="531" spans="1:11" s="343" customFormat="1" ht="78.75" x14ac:dyDescent="0.25">
      <c r="A531" s="345" t="s">
        <v>119</v>
      </c>
      <c r="B531" s="346" t="s">
        <v>168</v>
      </c>
      <c r="C531" s="346" t="s">
        <v>168</v>
      </c>
      <c r="D531" s="346" t="s">
        <v>435</v>
      </c>
      <c r="E531" s="346" t="s">
        <v>120</v>
      </c>
      <c r="F531" s="246">
        <f>F532</f>
        <v>1477.2</v>
      </c>
      <c r="G531" s="344"/>
      <c r="H531" s="344"/>
      <c r="I531" s="344"/>
      <c r="J531" s="344"/>
      <c r="K531" s="344"/>
    </row>
    <row r="532" spans="1:11" s="343" customFormat="1" ht="31.5" x14ac:dyDescent="0.25">
      <c r="A532" s="345" t="s">
        <v>121</v>
      </c>
      <c r="B532" s="346" t="s">
        <v>168</v>
      </c>
      <c r="C532" s="346" t="s">
        <v>168</v>
      </c>
      <c r="D532" s="346" t="s">
        <v>435</v>
      </c>
      <c r="E532" s="346" t="s">
        <v>122</v>
      </c>
      <c r="F532" s="246">
        <f>'Пр.4 ведом.22'!G1281</f>
        <v>1477.2</v>
      </c>
      <c r="G532" s="344"/>
      <c r="H532" s="344"/>
      <c r="I532" s="344"/>
      <c r="J532" s="344"/>
      <c r="K532" s="344"/>
    </row>
    <row r="533" spans="1:11" s="128" customFormat="1" ht="47.25" x14ac:dyDescent="0.25">
      <c r="A533" s="345" t="s">
        <v>414</v>
      </c>
      <c r="B533" s="346" t="s">
        <v>168</v>
      </c>
      <c r="C533" s="346" t="s">
        <v>168</v>
      </c>
      <c r="D533" s="346" t="s">
        <v>436</v>
      </c>
      <c r="E533" s="346"/>
      <c r="F533" s="246">
        <f>F534</f>
        <v>457.04999999999995</v>
      </c>
      <c r="G533" s="344"/>
      <c r="H533" s="344"/>
      <c r="I533" s="344"/>
      <c r="J533" s="344"/>
      <c r="K533" s="344"/>
    </row>
    <row r="534" spans="1:11" s="128" customFormat="1" ht="78.75" x14ac:dyDescent="0.25">
      <c r="A534" s="345" t="s">
        <v>119</v>
      </c>
      <c r="B534" s="346" t="s">
        <v>168</v>
      </c>
      <c r="C534" s="346" t="s">
        <v>168</v>
      </c>
      <c r="D534" s="346" t="s">
        <v>436</v>
      </c>
      <c r="E534" s="346" t="s">
        <v>120</v>
      </c>
      <c r="F534" s="246">
        <f>F535</f>
        <v>457.04999999999995</v>
      </c>
      <c r="G534" s="344"/>
      <c r="H534" s="344"/>
      <c r="I534" s="344"/>
      <c r="J534" s="344"/>
      <c r="K534" s="344"/>
    </row>
    <row r="535" spans="1:11" s="128" customFormat="1" ht="31.5" x14ac:dyDescent="0.25">
      <c r="A535" s="345" t="s">
        <v>121</v>
      </c>
      <c r="B535" s="346" t="s">
        <v>168</v>
      </c>
      <c r="C535" s="346" t="s">
        <v>168</v>
      </c>
      <c r="D535" s="346" t="s">
        <v>436</v>
      </c>
      <c r="E535" s="346" t="s">
        <v>122</v>
      </c>
      <c r="F535" s="246">
        <f>'Пр.4 ведом.22'!G1284</f>
        <v>457.04999999999995</v>
      </c>
      <c r="G535" s="344"/>
      <c r="H535" s="344"/>
      <c r="I535" s="344"/>
      <c r="J535" s="344"/>
      <c r="K535" s="344"/>
    </row>
    <row r="536" spans="1:11" s="343" customFormat="1" ht="31.5" hidden="1" x14ac:dyDescent="0.25">
      <c r="A536" s="298" t="s">
        <v>458</v>
      </c>
      <c r="B536" s="299" t="s">
        <v>168</v>
      </c>
      <c r="C536" s="299" t="s">
        <v>168</v>
      </c>
      <c r="D536" s="299" t="s">
        <v>437</v>
      </c>
      <c r="E536" s="299"/>
      <c r="F536" s="248">
        <f>F537</f>
        <v>0</v>
      </c>
      <c r="G536" s="344"/>
      <c r="H536" s="344"/>
      <c r="I536" s="344"/>
      <c r="J536" s="344"/>
      <c r="K536" s="344"/>
    </row>
    <row r="537" spans="1:11" s="343" customFormat="1" ht="94.5" hidden="1" x14ac:dyDescent="0.25">
      <c r="A537" s="22" t="s">
        <v>717</v>
      </c>
      <c r="B537" s="346" t="s">
        <v>168</v>
      </c>
      <c r="C537" s="346" t="s">
        <v>168</v>
      </c>
      <c r="D537" s="346" t="s">
        <v>716</v>
      </c>
      <c r="E537" s="346"/>
      <c r="F537" s="246">
        <f>F540</f>
        <v>0</v>
      </c>
      <c r="G537" s="344"/>
      <c r="H537" s="344"/>
      <c r="I537" s="344"/>
      <c r="J537" s="344"/>
      <c r="K537" s="344"/>
    </row>
    <row r="538" spans="1:11" s="343" customFormat="1" ht="78.75" hidden="1" x14ac:dyDescent="0.25">
      <c r="A538" s="345" t="s">
        <v>119</v>
      </c>
      <c r="B538" s="346" t="s">
        <v>168</v>
      </c>
      <c r="C538" s="346" t="s">
        <v>168</v>
      </c>
      <c r="D538" s="346" t="s">
        <v>716</v>
      </c>
      <c r="E538" s="346" t="s">
        <v>120</v>
      </c>
      <c r="F538" s="246"/>
      <c r="G538" s="344"/>
      <c r="H538" s="344"/>
      <c r="I538" s="344"/>
      <c r="J538" s="344"/>
      <c r="K538" s="344"/>
    </row>
    <row r="539" spans="1:11" s="343" customFormat="1" ht="31.5" hidden="1" x14ac:dyDescent="0.25">
      <c r="A539" s="345" t="s">
        <v>121</v>
      </c>
      <c r="B539" s="346" t="s">
        <v>168</v>
      </c>
      <c r="C539" s="346" t="s">
        <v>168</v>
      </c>
      <c r="D539" s="346" t="s">
        <v>716</v>
      </c>
      <c r="E539" s="346" t="s">
        <v>122</v>
      </c>
      <c r="F539" s="246"/>
      <c r="G539" s="344"/>
      <c r="H539" s="344"/>
      <c r="I539" s="344"/>
      <c r="J539" s="344"/>
      <c r="K539" s="344"/>
    </row>
    <row r="540" spans="1:11" s="343" customFormat="1" ht="31.5" hidden="1" x14ac:dyDescent="0.25">
      <c r="A540" s="345" t="s">
        <v>123</v>
      </c>
      <c r="B540" s="346" t="s">
        <v>168</v>
      </c>
      <c r="C540" s="346" t="s">
        <v>168</v>
      </c>
      <c r="D540" s="346" t="s">
        <v>716</v>
      </c>
      <c r="E540" s="346" t="s">
        <v>124</v>
      </c>
      <c r="F540" s="246">
        <f>F541</f>
        <v>0</v>
      </c>
      <c r="G540" s="344"/>
      <c r="H540" s="344"/>
      <c r="I540" s="344"/>
      <c r="J540" s="344"/>
      <c r="K540" s="344"/>
    </row>
    <row r="541" spans="1:11" s="343" customFormat="1" ht="47.25" hidden="1" x14ac:dyDescent="0.25">
      <c r="A541" s="345" t="s">
        <v>125</v>
      </c>
      <c r="B541" s="346" t="s">
        <v>168</v>
      </c>
      <c r="C541" s="346" t="s">
        <v>168</v>
      </c>
      <c r="D541" s="346" t="s">
        <v>716</v>
      </c>
      <c r="E541" s="346" t="s">
        <v>126</v>
      </c>
      <c r="F541" s="246">
        <f>'Пр.4 ведом.22'!G1290</f>
        <v>0</v>
      </c>
      <c r="G541" s="344"/>
      <c r="H541" s="344"/>
      <c r="I541" s="344"/>
      <c r="J541" s="344"/>
      <c r="K541" s="344"/>
    </row>
    <row r="542" spans="1:11" ht="15.75" x14ac:dyDescent="0.25">
      <c r="A542" s="298" t="s">
        <v>133</v>
      </c>
      <c r="B542" s="299" t="s">
        <v>168</v>
      </c>
      <c r="C542" s="299" t="s">
        <v>168</v>
      </c>
      <c r="D542" s="299" t="s">
        <v>440</v>
      </c>
      <c r="E542" s="299"/>
      <c r="F542" s="294">
        <f>F543+F554</f>
        <v>16296.831</v>
      </c>
    </row>
    <row r="543" spans="1:11" s="343" customFormat="1" ht="15.75" x14ac:dyDescent="0.25">
      <c r="A543" s="298" t="s">
        <v>517</v>
      </c>
      <c r="B543" s="299" t="s">
        <v>168</v>
      </c>
      <c r="C543" s="299" t="s">
        <v>168</v>
      </c>
      <c r="D543" s="299" t="s">
        <v>516</v>
      </c>
      <c r="E543" s="299"/>
      <c r="F543" s="294">
        <f>F544+F547</f>
        <v>14513.2</v>
      </c>
      <c r="G543" s="344"/>
      <c r="H543" s="344"/>
      <c r="I543" s="344"/>
      <c r="J543" s="344"/>
      <c r="K543" s="344"/>
    </row>
    <row r="544" spans="1:11" s="343" customFormat="1" ht="47.25" x14ac:dyDescent="0.25">
      <c r="A544" s="345" t="s">
        <v>414</v>
      </c>
      <c r="B544" s="346" t="s">
        <v>168</v>
      </c>
      <c r="C544" s="346" t="s">
        <v>168</v>
      </c>
      <c r="D544" s="346" t="s">
        <v>519</v>
      </c>
      <c r="E544" s="346"/>
      <c r="F544" s="295">
        <f>F545</f>
        <v>275.20000000000005</v>
      </c>
      <c r="G544" s="344"/>
      <c r="H544" s="344"/>
      <c r="I544" s="344"/>
      <c r="J544" s="344"/>
      <c r="K544" s="344"/>
    </row>
    <row r="545" spans="1:11" s="343" customFormat="1" ht="78.75" x14ac:dyDescent="0.25">
      <c r="A545" s="345" t="s">
        <v>119</v>
      </c>
      <c r="B545" s="346" t="s">
        <v>168</v>
      </c>
      <c r="C545" s="346" t="s">
        <v>168</v>
      </c>
      <c r="D545" s="346" t="s">
        <v>519</v>
      </c>
      <c r="E545" s="346" t="s">
        <v>120</v>
      </c>
      <c r="F545" s="295">
        <f>F546</f>
        <v>275.20000000000005</v>
      </c>
      <c r="G545" s="344"/>
      <c r="H545" s="344"/>
      <c r="I545" s="344"/>
      <c r="J545" s="344"/>
      <c r="K545" s="344"/>
    </row>
    <row r="546" spans="1:11" s="343" customFormat="1" ht="31.5" x14ac:dyDescent="0.25">
      <c r="A546" s="345" t="s">
        <v>212</v>
      </c>
      <c r="B546" s="346" t="s">
        <v>168</v>
      </c>
      <c r="C546" s="346" t="s">
        <v>168</v>
      </c>
      <c r="D546" s="346" t="s">
        <v>519</v>
      </c>
      <c r="E546" s="346" t="s">
        <v>156</v>
      </c>
      <c r="F546" s="295">
        <f>'Пр.4 ведом.22'!G1295</f>
        <v>275.20000000000005</v>
      </c>
      <c r="G546" s="344"/>
      <c r="H546" s="344"/>
      <c r="I546" s="344"/>
      <c r="J546" s="344"/>
      <c r="K546" s="344"/>
    </row>
    <row r="547" spans="1:11" s="343" customFormat="1" ht="15.75" x14ac:dyDescent="0.25">
      <c r="A547" s="345" t="s">
        <v>377</v>
      </c>
      <c r="B547" s="346" t="s">
        <v>168</v>
      </c>
      <c r="C547" s="346" t="s">
        <v>168</v>
      </c>
      <c r="D547" s="346" t="s">
        <v>518</v>
      </c>
      <c r="E547" s="346"/>
      <c r="F547" s="295">
        <f>F548+F551+F553</f>
        <v>14238</v>
      </c>
      <c r="G547" s="344"/>
      <c r="H547" s="344"/>
      <c r="I547" s="344"/>
      <c r="J547" s="344"/>
      <c r="K547" s="344"/>
    </row>
    <row r="548" spans="1:11" s="343" customFormat="1" ht="78.75" x14ac:dyDescent="0.25">
      <c r="A548" s="345" t="s">
        <v>119</v>
      </c>
      <c r="B548" s="346" t="s">
        <v>168</v>
      </c>
      <c r="C548" s="346" t="s">
        <v>168</v>
      </c>
      <c r="D548" s="346" t="s">
        <v>518</v>
      </c>
      <c r="E548" s="346" t="s">
        <v>120</v>
      </c>
      <c r="F548" s="295">
        <f>F549</f>
        <v>11336.5</v>
      </c>
      <c r="G548" s="344"/>
      <c r="H548" s="344"/>
      <c r="I548" s="344"/>
      <c r="J548" s="344"/>
      <c r="K548" s="344"/>
    </row>
    <row r="549" spans="1:11" s="343" customFormat="1" ht="31.5" x14ac:dyDescent="0.25">
      <c r="A549" s="345" t="s">
        <v>212</v>
      </c>
      <c r="B549" s="346" t="s">
        <v>168</v>
      </c>
      <c r="C549" s="346" t="s">
        <v>168</v>
      </c>
      <c r="D549" s="346" t="s">
        <v>518</v>
      </c>
      <c r="E549" s="346" t="s">
        <v>156</v>
      </c>
      <c r="F549" s="295">
        <f>'Пр.4 ведом.22'!G1298</f>
        <v>11336.5</v>
      </c>
      <c r="G549" s="344"/>
      <c r="H549" s="344"/>
      <c r="I549" s="344"/>
      <c r="J549" s="344"/>
      <c r="K549" s="344"/>
    </row>
    <row r="550" spans="1:11" s="343" customFormat="1" ht="31.5" x14ac:dyDescent="0.25">
      <c r="A550" s="345" t="s">
        <v>123</v>
      </c>
      <c r="B550" s="346" t="s">
        <v>168</v>
      </c>
      <c r="C550" s="346" t="s">
        <v>168</v>
      </c>
      <c r="D550" s="346" t="s">
        <v>518</v>
      </c>
      <c r="E550" s="346" t="s">
        <v>124</v>
      </c>
      <c r="F550" s="295">
        <f>F551</f>
        <v>2875.7</v>
      </c>
      <c r="G550" s="344"/>
      <c r="H550" s="344"/>
      <c r="I550" s="344"/>
      <c r="J550" s="344"/>
      <c r="K550" s="344"/>
    </row>
    <row r="551" spans="1:11" s="343" customFormat="1" ht="47.25" x14ac:dyDescent="0.25">
      <c r="A551" s="345" t="s">
        <v>125</v>
      </c>
      <c r="B551" s="346" t="s">
        <v>168</v>
      </c>
      <c r="C551" s="346" t="s">
        <v>168</v>
      </c>
      <c r="D551" s="346" t="s">
        <v>518</v>
      </c>
      <c r="E551" s="346" t="s">
        <v>126</v>
      </c>
      <c r="F551" s="295">
        <f>'Пр.4 ведом.22'!G1300</f>
        <v>2875.7</v>
      </c>
      <c r="G551" s="344"/>
      <c r="H551" s="344"/>
      <c r="I551" s="344"/>
      <c r="J551" s="344"/>
      <c r="K551" s="344"/>
    </row>
    <row r="552" spans="1:11" s="343" customFormat="1" ht="15.75" x14ac:dyDescent="0.25">
      <c r="A552" s="345" t="s">
        <v>127</v>
      </c>
      <c r="B552" s="346" t="s">
        <v>168</v>
      </c>
      <c r="C552" s="346" t="s">
        <v>168</v>
      </c>
      <c r="D552" s="346" t="s">
        <v>518</v>
      </c>
      <c r="E552" s="346" t="s">
        <v>134</v>
      </c>
      <c r="F552" s="295">
        <f>F553</f>
        <v>25.799999999999997</v>
      </c>
      <c r="G552" s="344"/>
      <c r="H552" s="344"/>
      <c r="I552" s="344"/>
      <c r="J552" s="344"/>
      <c r="K552" s="344"/>
    </row>
    <row r="553" spans="1:11" s="343" customFormat="1" ht="15.75" x14ac:dyDescent="0.25">
      <c r="A553" s="345" t="s">
        <v>280</v>
      </c>
      <c r="B553" s="346" t="s">
        <v>168</v>
      </c>
      <c r="C553" s="346" t="s">
        <v>168</v>
      </c>
      <c r="D553" s="346" t="s">
        <v>518</v>
      </c>
      <c r="E553" s="346" t="s">
        <v>130</v>
      </c>
      <c r="F553" s="295">
        <f>'Пр.4 ведом.22'!G1302</f>
        <v>25.799999999999997</v>
      </c>
      <c r="G553" s="344"/>
      <c r="H553" s="344"/>
      <c r="I553" s="344"/>
      <c r="J553" s="344"/>
      <c r="K553" s="344"/>
    </row>
    <row r="554" spans="1:11" ht="31.5" x14ac:dyDescent="0.25">
      <c r="A554" s="298" t="s">
        <v>444</v>
      </c>
      <c r="B554" s="299" t="s">
        <v>168</v>
      </c>
      <c r="C554" s="299" t="s">
        <v>168</v>
      </c>
      <c r="D554" s="299" t="s">
        <v>439</v>
      </c>
      <c r="E554" s="299"/>
      <c r="F554" s="248">
        <f>F555+F562</f>
        <v>1783.6309999999999</v>
      </c>
    </row>
    <row r="555" spans="1:11" ht="31.5" x14ac:dyDescent="0.25">
      <c r="A555" s="345" t="s">
        <v>282</v>
      </c>
      <c r="B555" s="346" t="s">
        <v>168</v>
      </c>
      <c r="C555" s="346" t="s">
        <v>168</v>
      </c>
      <c r="D555" s="346" t="s">
        <v>547</v>
      </c>
      <c r="E555" s="346"/>
      <c r="F555" s="246">
        <f>F558+F556</f>
        <v>1783.6309999999999</v>
      </c>
    </row>
    <row r="556" spans="1:11" s="128" customFormat="1" ht="19.5" hidden="1" customHeight="1" x14ac:dyDescent="0.25">
      <c r="A556" s="22" t="s">
        <v>177</v>
      </c>
      <c r="B556" s="346" t="s">
        <v>168</v>
      </c>
      <c r="C556" s="346" t="s">
        <v>168</v>
      </c>
      <c r="D556" s="346" t="s">
        <v>547</v>
      </c>
      <c r="E556" s="346" t="s">
        <v>178</v>
      </c>
      <c r="F556" s="246">
        <f>F557</f>
        <v>0</v>
      </c>
      <c r="G556" s="344"/>
      <c r="H556" s="344"/>
      <c r="I556" s="344"/>
      <c r="J556" s="344"/>
      <c r="K556" s="344"/>
    </row>
    <row r="557" spans="1:11" s="128" customFormat="1" ht="15.75" hidden="1" x14ac:dyDescent="0.25">
      <c r="A557" s="345" t="s">
        <v>989</v>
      </c>
      <c r="B557" s="346" t="s">
        <v>168</v>
      </c>
      <c r="C557" s="346" t="s">
        <v>168</v>
      </c>
      <c r="D557" s="346" t="s">
        <v>547</v>
      </c>
      <c r="E557" s="346" t="s">
        <v>991</v>
      </c>
      <c r="F557" s="246">
        <f>'Пр.4 ведом.22'!G1306</f>
        <v>0</v>
      </c>
      <c r="G557" s="344"/>
      <c r="H557" s="344"/>
      <c r="I557" s="344"/>
      <c r="J557" s="344"/>
      <c r="K557" s="344"/>
    </row>
    <row r="558" spans="1:11" ht="15.75" x14ac:dyDescent="0.25">
      <c r="A558" s="345" t="s">
        <v>127</v>
      </c>
      <c r="B558" s="346" t="s">
        <v>168</v>
      </c>
      <c r="C558" s="346" t="s">
        <v>168</v>
      </c>
      <c r="D558" s="346" t="s">
        <v>547</v>
      </c>
      <c r="E558" s="346" t="s">
        <v>134</v>
      </c>
      <c r="F558" s="246">
        <f>F559+F560+F561</f>
        <v>1783.6309999999999</v>
      </c>
    </row>
    <row r="559" spans="1:11" ht="47.25" x14ac:dyDescent="0.25">
      <c r="A559" s="345" t="s">
        <v>148</v>
      </c>
      <c r="B559" s="346" t="s">
        <v>168</v>
      </c>
      <c r="C559" s="346" t="s">
        <v>168</v>
      </c>
      <c r="D559" s="346" t="s">
        <v>547</v>
      </c>
      <c r="E559" s="346" t="s">
        <v>142</v>
      </c>
      <c r="F559" s="295">
        <f>'Пр.4 ведом.22'!G1308</f>
        <v>1783.6309999999999</v>
      </c>
    </row>
    <row r="560" spans="1:11" s="293" customFormat="1" ht="15.75" hidden="1" x14ac:dyDescent="0.25">
      <c r="A560" s="345" t="s">
        <v>338</v>
      </c>
      <c r="B560" s="346" t="s">
        <v>168</v>
      </c>
      <c r="C560" s="346" t="s">
        <v>168</v>
      </c>
      <c r="D560" s="346" t="s">
        <v>547</v>
      </c>
      <c r="E560" s="346" t="s">
        <v>130</v>
      </c>
      <c r="F560" s="295">
        <f>'Пр.4 ведом.22'!G1309</f>
        <v>0</v>
      </c>
      <c r="G560" s="344"/>
      <c r="H560" s="344"/>
      <c r="I560" s="344"/>
      <c r="J560" s="344"/>
      <c r="K560" s="344"/>
    </row>
    <row r="561" spans="1:11" s="293" customFormat="1" ht="15.75" hidden="1" x14ac:dyDescent="0.25">
      <c r="A561" s="345" t="s">
        <v>1060</v>
      </c>
      <c r="B561" s="346" t="s">
        <v>168</v>
      </c>
      <c r="C561" s="346" t="s">
        <v>168</v>
      </c>
      <c r="D561" s="346" t="s">
        <v>547</v>
      </c>
      <c r="E561" s="346" t="s">
        <v>1061</v>
      </c>
      <c r="F561" s="295">
        <f>'Пр.4 ведом.22'!G1310</f>
        <v>0</v>
      </c>
      <c r="G561" s="344"/>
      <c r="H561" s="344"/>
      <c r="I561" s="344"/>
      <c r="J561" s="344"/>
      <c r="K561" s="344"/>
    </row>
    <row r="562" spans="1:11" ht="31.5" hidden="1" x14ac:dyDescent="0.25">
      <c r="A562" s="345" t="s">
        <v>1073</v>
      </c>
      <c r="B562" s="346" t="s">
        <v>168</v>
      </c>
      <c r="C562" s="346" t="s">
        <v>168</v>
      </c>
      <c r="D562" s="346" t="s">
        <v>1074</v>
      </c>
      <c r="E562" s="346"/>
      <c r="F562" s="246">
        <f>F563+F565</f>
        <v>0</v>
      </c>
    </row>
    <row r="563" spans="1:11" ht="15.75" hidden="1" x14ac:dyDescent="0.25">
      <c r="A563" s="345" t="s">
        <v>1076</v>
      </c>
      <c r="B563" s="346" t="s">
        <v>168</v>
      </c>
      <c r="C563" s="346" t="s">
        <v>168</v>
      </c>
      <c r="D563" s="346" t="s">
        <v>1074</v>
      </c>
      <c r="E563" s="346" t="s">
        <v>412</v>
      </c>
      <c r="F563" s="246">
        <f>F564</f>
        <v>0</v>
      </c>
    </row>
    <row r="564" spans="1:11" ht="31.5" hidden="1" x14ac:dyDescent="0.25">
      <c r="A564" s="345" t="s">
        <v>413</v>
      </c>
      <c r="B564" s="346" t="s">
        <v>168</v>
      </c>
      <c r="C564" s="346" t="s">
        <v>168</v>
      </c>
      <c r="D564" s="346" t="s">
        <v>1074</v>
      </c>
      <c r="E564" s="346" t="s">
        <v>1077</v>
      </c>
      <c r="F564" s="246">
        <f>'Пр.4 ведом.22'!G1313</f>
        <v>0</v>
      </c>
    </row>
    <row r="565" spans="1:11" s="293" customFormat="1" ht="15.75" hidden="1" x14ac:dyDescent="0.25">
      <c r="A565" s="345" t="s">
        <v>127</v>
      </c>
      <c r="B565" s="346" t="s">
        <v>168</v>
      </c>
      <c r="C565" s="346" t="s">
        <v>168</v>
      </c>
      <c r="D565" s="346" t="s">
        <v>1074</v>
      </c>
      <c r="E565" s="346" t="s">
        <v>134</v>
      </c>
      <c r="F565" s="246">
        <f>F566</f>
        <v>0</v>
      </c>
      <c r="G565" s="344"/>
      <c r="H565" s="344"/>
      <c r="I565" s="344"/>
      <c r="J565" s="344"/>
      <c r="K565" s="344"/>
    </row>
    <row r="566" spans="1:11" s="293" customFormat="1" ht="47.25" hidden="1" x14ac:dyDescent="0.25">
      <c r="A566" s="345" t="s">
        <v>148</v>
      </c>
      <c r="B566" s="346" t="s">
        <v>168</v>
      </c>
      <c r="C566" s="346" t="s">
        <v>168</v>
      </c>
      <c r="D566" s="346" t="s">
        <v>1074</v>
      </c>
      <c r="E566" s="346" t="s">
        <v>142</v>
      </c>
      <c r="F566" s="246">
        <f>'Пр.4 ведом.22'!G1315</f>
        <v>0</v>
      </c>
      <c r="G566" s="344"/>
      <c r="H566" s="344"/>
      <c r="I566" s="344"/>
      <c r="J566" s="344"/>
      <c r="K566" s="344"/>
    </row>
    <row r="567" spans="1:11" s="128" customFormat="1" ht="47.25" hidden="1" x14ac:dyDescent="0.25">
      <c r="A567" s="24" t="s">
        <v>876</v>
      </c>
      <c r="B567" s="299" t="s">
        <v>168</v>
      </c>
      <c r="C567" s="299" t="s">
        <v>168</v>
      </c>
      <c r="D567" s="299" t="s">
        <v>206</v>
      </c>
      <c r="E567" s="299"/>
      <c r="F567" s="297">
        <f>F568</f>
        <v>0</v>
      </c>
      <c r="G567" s="344"/>
      <c r="H567" s="344"/>
      <c r="I567" s="344"/>
      <c r="J567" s="344"/>
      <c r="K567" s="344"/>
    </row>
    <row r="568" spans="1:11" s="128" customFormat="1" ht="63" hidden="1" x14ac:dyDescent="0.25">
      <c r="A568" s="24" t="s">
        <v>570</v>
      </c>
      <c r="B568" s="299" t="s">
        <v>168</v>
      </c>
      <c r="C568" s="299" t="s">
        <v>168</v>
      </c>
      <c r="D568" s="299" t="s">
        <v>502</v>
      </c>
      <c r="E568" s="299"/>
      <c r="F568" s="297">
        <f>F569</f>
        <v>0</v>
      </c>
      <c r="G568" s="344"/>
      <c r="H568" s="344"/>
      <c r="I568" s="344"/>
      <c r="J568" s="344"/>
      <c r="K568" s="344"/>
    </row>
    <row r="569" spans="1:11" s="128" customFormat="1" ht="47.25" hidden="1" x14ac:dyDescent="0.25">
      <c r="A569" s="22" t="s">
        <v>632</v>
      </c>
      <c r="B569" s="346" t="s">
        <v>168</v>
      </c>
      <c r="C569" s="346" t="s">
        <v>168</v>
      </c>
      <c r="D569" s="346" t="s">
        <v>587</v>
      </c>
      <c r="E569" s="346"/>
      <c r="F569" s="300">
        <f>F570</f>
        <v>0</v>
      </c>
      <c r="G569" s="344"/>
      <c r="H569" s="344"/>
      <c r="I569" s="344"/>
      <c r="J569" s="344"/>
      <c r="K569" s="344"/>
    </row>
    <row r="570" spans="1:11" s="128" customFormat="1" ht="31.5" hidden="1" x14ac:dyDescent="0.25">
      <c r="A570" s="345" t="s">
        <v>123</v>
      </c>
      <c r="B570" s="346" t="s">
        <v>168</v>
      </c>
      <c r="C570" s="346" t="s">
        <v>168</v>
      </c>
      <c r="D570" s="346" t="s">
        <v>587</v>
      </c>
      <c r="E570" s="346" t="s">
        <v>124</v>
      </c>
      <c r="F570" s="300">
        <f>F571</f>
        <v>0</v>
      </c>
      <c r="G570" s="344"/>
      <c r="H570" s="344"/>
      <c r="I570" s="344"/>
      <c r="J570" s="344"/>
      <c r="K570" s="344"/>
    </row>
    <row r="571" spans="1:11" s="128" customFormat="1" ht="47.25" hidden="1" x14ac:dyDescent="0.25">
      <c r="A571" s="345" t="s">
        <v>125</v>
      </c>
      <c r="B571" s="346" t="s">
        <v>168</v>
      </c>
      <c r="C571" s="346" t="s">
        <v>168</v>
      </c>
      <c r="D571" s="346" t="s">
        <v>587</v>
      </c>
      <c r="E571" s="346" t="s">
        <v>126</v>
      </c>
      <c r="F571" s="300">
        <f>'Пр.4 ведом.22'!G1320</f>
        <v>0</v>
      </c>
      <c r="G571" s="344"/>
      <c r="H571" s="344"/>
      <c r="I571" s="344"/>
      <c r="J571" s="344"/>
      <c r="K571" s="344"/>
    </row>
    <row r="572" spans="1:11" s="343" customFormat="1" ht="15.75" x14ac:dyDescent="0.25">
      <c r="A572" s="409" t="s">
        <v>1341</v>
      </c>
      <c r="B572" s="406" t="s">
        <v>118</v>
      </c>
      <c r="C572" s="406"/>
      <c r="D572" s="406"/>
      <c r="E572" s="406"/>
      <c r="F572" s="438">
        <f t="shared" ref="F572:F577" si="58">F573</f>
        <v>6626.1484</v>
      </c>
      <c r="G572" s="344"/>
      <c r="H572" s="344"/>
      <c r="I572" s="344"/>
      <c r="J572" s="344"/>
      <c r="K572" s="344"/>
    </row>
    <row r="573" spans="1:11" s="343" customFormat="1" ht="32.450000000000003" customHeight="1" x14ac:dyDescent="0.25">
      <c r="A573" s="409" t="s">
        <v>1342</v>
      </c>
      <c r="B573" s="406" t="s">
        <v>118</v>
      </c>
      <c r="C573" s="406" t="s">
        <v>168</v>
      </c>
      <c r="D573" s="406"/>
      <c r="E573" s="406"/>
      <c r="F573" s="438">
        <f t="shared" si="58"/>
        <v>6626.1484</v>
      </c>
      <c r="G573" s="344"/>
      <c r="H573" s="344"/>
      <c r="I573" s="344"/>
      <c r="J573" s="344"/>
      <c r="K573" s="344"/>
    </row>
    <row r="574" spans="1:11" s="343" customFormat="1" ht="63" x14ac:dyDescent="0.25">
      <c r="A574" s="409" t="s">
        <v>1348</v>
      </c>
      <c r="B574" s="406" t="s">
        <v>118</v>
      </c>
      <c r="C574" s="406" t="s">
        <v>168</v>
      </c>
      <c r="D574" s="406" t="s">
        <v>1350</v>
      </c>
      <c r="E574" s="406"/>
      <c r="F574" s="438">
        <f t="shared" si="58"/>
        <v>6626.1484</v>
      </c>
      <c r="G574" s="344"/>
      <c r="H574" s="344"/>
      <c r="I574" s="344"/>
      <c r="J574" s="344"/>
      <c r="K574" s="344"/>
    </row>
    <row r="575" spans="1:11" s="343" customFormat="1" ht="47.25" x14ac:dyDescent="0.25">
      <c r="A575" s="405" t="s">
        <v>1349</v>
      </c>
      <c r="B575" s="406" t="s">
        <v>118</v>
      </c>
      <c r="C575" s="406" t="s">
        <v>168</v>
      </c>
      <c r="D575" s="406" t="s">
        <v>1351</v>
      </c>
      <c r="E575" s="406"/>
      <c r="F575" s="438">
        <f t="shared" si="58"/>
        <v>6626.1484</v>
      </c>
      <c r="G575" s="344"/>
      <c r="H575" s="344"/>
      <c r="I575" s="344"/>
      <c r="J575" s="344"/>
      <c r="K575" s="344"/>
    </row>
    <row r="576" spans="1:11" s="343" customFormat="1" ht="31.5" x14ac:dyDescent="0.25">
      <c r="A576" s="393" t="s">
        <v>1315</v>
      </c>
      <c r="B576" s="394" t="s">
        <v>118</v>
      </c>
      <c r="C576" s="394" t="s">
        <v>168</v>
      </c>
      <c r="D576" s="394" t="s">
        <v>1352</v>
      </c>
      <c r="E576" s="394"/>
      <c r="F576" s="435">
        <f t="shared" si="58"/>
        <v>6626.1484</v>
      </c>
      <c r="G576" s="344"/>
      <c r="H576" s="344"/>
      <c r="I576" s="344"/>
      <c r="J576" s="344"/>
      <c r="K576" s="344"/>
    </row>
    <row r="577" spans="1:12" s="343" customFormat="1" ht="31.5" x14ac:dyDescent="0.25">
      <c r="A577" s="391" t="s">
        <v>123</v>
      </c>
      <c r="B577" s="394" t="s">
        <v>118</v>
      </c>
      <c r="C577" s="394" t="s">
        <v>168</v>
      </c>
      <c r="D577" s="394" t="s">
        <v>1352</v>
      </c>
      <c r="E577" s="394" t="s">
        <v>124</v>
      </c>
      <c r="F577" s="435">
        <f t="shared" si="58"/>
        <v>6626.1484</v>
      </c>
      <c r="G577" s="344"/>
      <c r="H577" s="344"/>
      <c r="I577" s="344"/>
      <c r="J577" s="344"/>
      <c r="K577" s="344"/>
    </row>
    <row r="578" spans="1:12" s="343" customFormat="1" ht="47.25" x14ac:dyDescent="0.25">
      <c r="A578" s="391" t="s">
        <v>125</v>
      </c>
      <c r="B578" s="394" t="s">
        <v>118</v>
      </c>
      <c r="C578" s="394" t="s">
        <v>168</v>
      </c>
      <c r="D578" s="394" t="s">
        <v>1352</v>
      </c>
      <c r="E578" s="394" t="s">
        <v>126</v>
      </c>
      <c r="F578" s="435">
        <f>'Пр.4 ведом.22'!G1327</f>
        <v>6626.1484</v>
      </c>
      <c r="G578" s="344"/>
      <c r="H578" s="344"/>
      <c r="I578" s="344"/>
      <c r="J578" s="344"/>
      <c r="K578" s="344"/>
    </row>
    <row r="579" spans="1:12" ht="15.75" x14ac:dyDescent="0.25">
      <c r="A579" s="340" t="s">
        <v>186</v>
      </c>
      <c r="B579" s="6" t="s">
        <v>187</v>
      </c>
      <c r="C579" s="341"/>
      <c r="D579" s="341"/>
      <c r="E579" s="341"/>
      <c r="F579" s="294">
        <f>F580+F642+F843+F734+F807</f>
        <v>396081.28310000006</v>
      </c>
      <c r="G579" s="344">
        <v>405118.01</v>
      </c>
      <c r="H579" s="71">
        <f>G579-F579</f>
        <v>9036.7268999999505</v>
      </c>
      <c r="K579" s="149">
        <v>384273.2</v>
      </c>
      <c r="L579" s="151">
        <f>F579-K579</f>
        <v>11808.083100000047</v>
      </c>
    </row>
    <row r="580" spans="1:12" ht="15.75" x14ac:dyDescent="0.25">
      <c r="A580" s="340" t="s">
        <v>236</v>
      </c>
      <c r="B580" s="6" t="s">
        <v>187</v>
      </c>
      <c r="C580" s="6" t="s">
        <v>116</v>
      </c>
      <c r="D580" s="6"/>
      <c r="E580" s="6"/>
      <c r="F580" s="294">
        <f>F581+F632+F637</f>
        <v>99155.607000000004</v>
      </c>
      <c r="H580" s="71"/>
    </row>
    <row r="581" spans="1:12" ht="40.700000000000003" customHeight="1" x14ac:dyDescent="0.25">
      <c r="A581" s="298" t="s">
        <v>877</v>
      </c>
      <c r="B581" s="299" t="s">
        <v>187</v>
      </c>
      <c r="C581" s="299" t="s">
        <v>116</v>
      </c>
      <c r="D581" s="299" t="s">
        <v>237</v>
      </c>
      <c r="E581" s="299"/>
      <c r="F581" s="294">
        <f>F582+F586+F593+F603+F616+F620+F624+F628</f>
        <v>98454.607000000004</v>
      </c>
    </row>
    <row r="582" spans="1:12" s="128" customFormat="1" ht="31.5" x14ac:dyDescent="0.25">
      <c r="A582" s="298" t="s">
        <v>505</v>
      </c>
      <c r="B582" s="299" t="s">
        <v>187</v>
      </c>
      <c r="C582" s="299" t="s">
        <v>116</v>
      </c>
      <c r="D582" s="299" t="s">
        <v>764</v>
      </c>
      <c r="E582" s="299"/>
      <c r="F582" s="294">
        <f>F583</f>
        <v>17453.150000000001</v>
      </c>
      <c r="G582" s="344"/>
      <c r="H582" s="344"/>
      <c r="I582" s="344"/>
      <c r="J582" s="344"/>
      <c r="K582" s="344"/>
    </row>
    <row r="583" spans="1:12" ht="42.75" customHeight="1" x14ac:dyDescent="0.25">
      <c r="A583" s="345" t="s">
        <v>763</v>
      </c>
      <c r="B583" s="346" t="s">
        <v>187</v>
      </c>
      <c r="C583" s="346" t="s">
        <v>116</v>
      </c>
      <c r="D583" s="346" t="s">
        <v>765</v>
      </c>
      <c r="E583" s="346"/>
      <c r="F583" s="295">
        <f>F584</f>
        <v>17453.150000000001</v>
      </c>
    </row>
    <row r="584" spans="1:12" ht="40.700000000000003" customHeight="1" x14ac:dyDescent="0.25">
      <c r="A584" s="345" t="s">
        <v>191</v>
      </c>
      <c r="B584" s="346" t="s">
        <v>187</v>
      </c>
      <c r="C584" s="346" t="s">
        <v>116</v>
      </c>
      <c r="D584" s="346" t="s">
        <v>765</v>
      </c>
      <c r="E584" s="346" t="s">
        <v>192</v>
      </c>
      <c r="F584" s="295">
        <f>F585</f>
        <v>17453.150000000001</v>
      </c>
    </row>
    <row r="585" spans="1:12" ht="15.75" x14ac:dyDescent="0.25">
      <c r="A585" s="345" t="s">
        <v>193</v>
      </c>
      <c r="B585" s="346" t="s">
        <v>187</v>
      </c>
      <c r="C585" s="346" t="s">
        <v>116</v>
      </c>
      <c r="D585" s="346" t="s">
        <v>765</v>
      </c>
      <c r="E585" s="346" t="s">
        <v>194</v>
      </c>
      <c r="F585" s="246">
        <f>'Пр.4 ведом.22'!G693</f>
        <v>17453.150000000001</v>
      </c>
      <c r="H585" s="71"/>
    </row>
    <row r="586" spans="1:12" ht="47.25" x14ac:dyDescent="0.25">
      <c r="A586" s="298" t="s">
        <v>469</v>
      </c>
      <c r="B586" s="299" t="s">
        <v>187</v>
      </c>
      <c r="C586" s="299" t="s">
        <v>116</v>
      </c>
      <c r="D586" s="299" t="s">
        <v>766</v>
      </c>
      <c r="E586" s="299"/>
      <c r="F586" s="294">
        <f>F587+F590</f>
        <v>71195.937000000005</v>
      </c>
    </row>
    <row r="587" spans="1:12" s="128" customFormat="1" ht="94.5" x14ac:dyDescent="0.25">
      <c r="A587" s="22" t="s">
        <v>200</v>
      </c>
      <c r="B587" s="346" t="s">
        <v>187</v>
      </c>
      <c r="C587" s="346" t="s">
        <v>116</v>
      </c>
      <c r="D587" s="346" t="s">
        <v>885</v>
      </c>
      <c r="E587" s="346"/>
      <c r="F587" s="295">
        <f t="shared" ref="F587:F588" si="59">F588</f>
        <v>2629</v>
      </c>
      <c r="G587" s="344"/>
      <c r="H587" s="344"/>
      <c r="I587" s="344"/>
      <c r="J587" s="344"/>
      <c r="K587" s="344"/>
    </row>
    <row r="588" spans="1:12" s="128" customFormat="1" ht="31.5" x14ac:dyDescent="0.25">
      <c r="A588" s="345" t="s">
        <v>191</v>
      </c>
      <c r="B588" s="346" t="s">
        <v>187</v>
      </c>
      <c r="C588" s="346" t="s">
        <v>116</v>
      </c>
      <c r="D588" s="346" t="s">
        <v>885</v>
      </c>
      <c r="E588" s="346" t="s">
        <v>192</v>
      </c>
      <c r="F588" s="295">
        <f t="shared" si="59"/>
        <v>2629</v>
      </c>
      <c r="G588" s="344"/>
      <c r="H588" s="344"/>
      <c r="I588" s="344"/>
      <c r="J588" s="344"/>
      <c r="K588" s="344"/>
    </row>
    <row r="589" spans="1:12" s="128" customFormat="1" ht="15.75" x14ac:dyDescent="0.25">
      <c r="A589" s="345" t="s">
        <v>193</v>
      </c>
      <c r="B589" s="346" t="s">
        <v>187</v>
      </c>
      <c r="C589" s="346" t="s">
        <v>116</v>
      </c>
      <c r="D589" s="346" t="s">
        <v>885</v>
      </c>
      <c r="E589" s="346" t="s">
        <v>194</v>
      </c>
      <c r="F589" s="295">
        <f>'Пр.4 ведом.22'!G697</f>
        <v>2629</v>
      </c>
      <c r="G589" s="344"/>
      <c r="H589" s="344"/>
      <c r="I589" s="344"/>
      <c r="J589" s="344"/>
      <c r="K589" s="344"/>
    </row>
    <row r="590" spans="1:12" ht="47.25" customHeight="1" x14ac:dyDescent="0.25">
      <c r="A590" s="22" t="s">
        <v>1165</v>
      </c>
      <c r="B590" s="346" t="s">
        <v>187</v>
      </c>
      <c r="C590" s="346" t="s">
        <v>116</v>
      </c>
      <c r="D590" s="346" t="s">
        <v>1166</v>
      </c>
      <c r="E590" s="346"/>
      <c r="F590" s="295">
        <f t="shared" ref="F590:F591" si="60">F591</f>
        <v>68566.937000000005</v>
      </c>
    </row>
    <row r="591" spans="1:12" ht="39.75" customHeight="1" x14ac:dyDescent="0.25">
      <c r="A591" s="345" t="s">
        <v>191</v>
      </c>
      <c r="B591" s="346" t="s">
        <v>187</v>
      </c>
      <c r="C591" s="346" t="s">
        <v>116</v>
      </c>
      <c r="D591" s="346" t="s">
        <v>1166</v>
      </c>
      <c r="E591" s="346" t="s">
        <v>192</v>
      </c>
      <c r="F591" s="295">
        <f t="shared" si="60"/>
        <v>68566.937000000005</v>
      </c>
    </row>
    <row r="592" spans="1:12" ht="15.75" customHeight="1" x14ac:dyDescent="0.25">
      <c r="A592" s="345" t="s">
        <v>193</v>
      </c>
      <c r="B592" s="346" t="s">
        <v>187</v>
      </c>
      <c r="C592" s="346" t="s">
        <v>116</v>
      </c>
      <c r="D592" s="346" t="s">
        <v>1166</v>
      </c>
      <c r="E592" s="346" t="s">
        <v>194</v>
      </c>
      <c r="F592" s="295">
        <f>'Пр.4 ведом.22'!G700</f>
        <v>68566.937000000005</v>
      </c>
    </row>
    <row r="593" spans="1:11" ht="36" customHeight="1" x14ac:dyDescent="0.25">
      <c r="A593" s="298" t="s">
        <v>810</v>
      </c>
      <c r="B593" s="299" t="s">
        <v>187</v>
      </c>
      <c r="C593" s="299" t="s">
        <v>116</v>
      </c>
      <c r="D593" s="299" t="s">
        <v>768</v>
      </c>
      <c r="E593" s="299"/>
      <c r="F593" s="294">
        <f>F594+F597+F600</f>
        <v>5053.4000000000005</v>
      </c>
    </row>
    <row r="594" spans="1:11" ht="40.700000000000003" hidden="1" customHeight="1" x14ac:dyDescent="0.25">
      <c r="A594" s="345" t="s">
        <v>195</v>
      </c>
      <c r="B594" s="346" t="s">
        <v>187</v>
      </c>
      <c r="C594" s="346" t="s">
        <v>116</v>
      </c>
      <c r="D594" s="346" t="s">
        <v>827</v>
      </c>
      <c r="E594" s="346"/>
      <c r="F594" s="295">
        <f>F595</f>
        <v>0</v>
      </c>
    </row>
    <row r="595" spans="1:11" ht="42" hidden="1" customHeight="1" x14ac:dyDescent="0.25">
      <c r="A595" s="345" t="s">
        <v>191</v>
      </c>
      <c r="B595" s="346" t="s">
        <v>187</v>
      </c>
      <c r="C595" s="346" t="s">
        <v>116</v>
      </c>
      <c r="D595" s="346" t="s">
        <v>827</v>
      </c>
      <c r="E595" s="346" t="s">
        <v>192</v>
      </c>
      <c r="F595" s="295">
        <f t="shared" ref="F595" si="61">F596</f>
        <v>0</v>
      </c>
    </row>
    <row r="596" spans="1:11" ht="20.25" hidden="1" customHeight="1" x14ac:dyDescent="0.25">
      <c r="A596" s="345" t="s">
        <v>193</v>
      </c>
      <c r="B596" s="346" t="s">
        <v>187</v>
      </c>
      <c r="C596" s="346" t="s">
        <v>116</v>
      </c>
      <c r="D596" s="346" t="s">
        <v>827</v>
      </c>
      <c r="E596" s="346" t="s">
        <v>194</v>
      </c>
      <c r="F596" s="295">
        <f>'Пр.4 ведом.22'!G704</f>
        <v>0</v>
      </c>
    </row>
    <row r="597" spans="1:11" ht="39.200000000000003" hidden="1" customHeight="1" x14ac:dyDescent="0.25">
      <c r="A597" s="345" t="s">
        <v>196</v>
      </c>
      <c r="B597" s="346" t="s">
        <v>187</v>
      </c>
      <c r="C597" s="346" t="s">
        <v>116</v>
      </c>
      <c r="D597" s="346" t="s">
        <v>828</v>
      </c>
      <c r="E597" s="346"/>
      <c r="F597" s="295">
        <f>F598</f>
        <v>0</v>
      </c>
    </row>
    <row r="598" spans="1:11" ht="35.450000000000003" hidden="1" customHeight="1" x14ac:dyDescent="0.25">
      <c r="A598" s="345" t="s">
        <v>191</v>
      </c>
      <c r="B598" s="346" t="s">
        <v>187</v>
      </c>
      <c r="C598" s="346" t="s">
        <v>116</v>
      </c>
      <c r="D598" s="346" t="s">
        <v>828</v>
      </c>
      <c r="E598" s="346" t="s">
        <v>192</v>
      </c>
      <c r="F598" s="295">
        <f t="shared" ref="F598" si="62">F599</f>
        <v>0</v>
      </c>
    </row>
    <row r="599" spans="1:11" ht="17.45" hidden="1" customHeight="1" x14ac:dyDescent="0.25">
      <c r="A599" s="345" t="s">
        <v>193</v>
      </c>
      <c r="B599" s="346" t="s">
        <v>187</v>
      </c>
      <c r="C599" s="346" t="s">
        <v>116</v>
      </c>
      <c r="D599" s="346" t="s">
        <v>828</v>
      </c>
      <c r="E599" s="346" t="s">
        <v>194</v>
      </c>
      <c r="F599" s="295">
        <f>'Пр.4 ведом.22'!G707</f>
        <v>0</v>
      </c>
    </row>
    <row r="600" spans="1:11" ht="38.25" customHeight="1" x14ac:dyDescent="0.25">
      <c r="A600" s="20" t="s">
        <v>238</v>
      </c>
      <c r="B600" s="346" t="s">
        <v>187</v>
      </c>
      <c r="C600" s="346" t="s">
        <v>116</v>
      </c>
      <c r="D600" s="346" t="s">
        <v>769</v>
      </c>
      <c r="E600" s="346"/>
      <c r="F600" s="295">
        <f>F601</f>
        <v>5053.4000000000005</v>
      </c>
    </row>
    <row r="601" spans="1:11" ht="34.5" customHeight="1" x14ac:dyDescent="0.25">
      <c r="A601" s="345" t="s">
        <v>191</v>
      </c>
      <c r="B601" s="346" t="s">
        <v>187</v>
      </c>
      <c r="C601" s="346" t="s">
        <v>116</v>
      </c>
      <c r="D601" s="346" t="s">
        <v>769</v>
      </c>
      <c r="E601" s="346" t="s">
        <v>192</v>
      </c>
      <c r="F601" s="295">
        <f>F602</f>
        <v>5053.4000000000005</v>
      </c>
    </row>
    <row r="602" spans="1:11" ht="15.75" x14ac:dyDescent="0.25">
      <c r="A602" s="345" t="s">
        <v>193</v>
      </c>
      <c r="B602" s="346" t="s">
        <v>187</v>
      </c>
      <c r="C602" s="346" t="s">
        <v>116</v>
      </c>
      <c r="D602" s="346" t="s">
        <v>769</v>
      </c>
      <c r="E602" s="346" t="s">
        <v>194</v>
      </c>
      <c r="F602" s="295">
        <f>'Пр.4 ведом.22'!G710</f>
        <v>5053.4000000000005</v>
      </c>
    </row>
    <row r="603" spans="1:11" ht="31.5" x14ac:dyDescent="0.25">
      <c r="A603" s="140" t="s">
        <v>513</v>
      </c>
      <c r="B603" s="299" t="s">
        <v>187</v>
      </c>
      <c r="C603" s="299" t="s">
        <v>116</v>
      </c>
      <c r="D603" s="299" t="s">
        <v>771</v>
      </c>
      <c r="E603" s="299"/>
      <c r="F603" s="294">
        <f>F604+F610+F613+F607</f>
        <v>3062.2080000000005</v>
      </c>
    </row>
    <row r="604" spans="1:11" ht="31.5" hidden="1" x14ac:dyDescent="0.25">
      <c r="A604" s="345" t="s">
        <v>198</v>
      </c>
      <c r="B604" s="346" t="s">
        <v>187</v>
      </c>
      <c r="C604" s="346" t="s">
        <v>116</v>
      </c>
      <c r="D604" s="346" t="s">
        <v>784</v>
      </c>
      <c r="E604" s="346"/>
      <c r="F604" s="295">
        <f>F605</f>
        <v>0</v>
      </c>
    </row>
    <row r="605" spans="1:11" ht="31.5" hidden="1" x14ac:dyDescent="0.25">
      <c r="A605" s="345" t="s">
        <v>191</v>
      </c>
      <c r="B605" s="346" t="s">
        <v>187</v>
      </c>
      <c r="C605" s="346" t="s">
        <v>116</v>
      </c>
      <c r="D605" s="346" t="s">
        <v>784</v>
      </c>
      <c r="E605" s="346" t="s">
        <v>192</v>
      </c>
      <c r="F605" s="295">
        <f>F606</f>
        <v>0</v>
      </c>
    </row>
    <row r="606" spans="1:11" ht="15.75" hidden="1" x14ac:dyDescent="0.25">
      <c r="A606" s="345" t="s">
        <v>193</v>
      </c>
      <c r="B606" s="346" t="s">
        <v>187</v>
      </c>
      <c r="C606" s="346" t="s">
        <v>116</v>
      </c>
      <c r="D606" s="346" t="s">
        <v>784</v>
      </c>
      <c r="E606" s="346" t="s">
        <v>194</v>
      </c>
      <c r="F606" s="295">
        <f>'Пр.4 ведом.22'!G714</f>
        <v>0</v>
      </c>
    </row>
    <row r="607" spans="1:11" s="343" customFormat="1" ht="45.75" customHeight="1" x14ac:dyDescent="0.25">
      <c r="A607" s="624" t="s">
        <v>367</v>
      </c>
      <c r="B607" s="346" t="s">
        <v>187</v>
      </c>
      <c r="C607" s="346" t="s">
        <v>116</v>
      </c>
      <c r="D607" s="346" t="s">
        <v>784</v>
      </c>
      <c r="E607" s="346"/>
      <c r="F607" s="295">
        <f>'Пр.4 ведом.22'!G715</f>
        <v>28.84</v>
      </c>
      <c r="G607" s="344"/>
      <c r="H607" s="344"/>
      <c r="I607" s="344"/>
      <c r="J607" s="344"/>
      <c r="K607" s="344"/>
    </row>
    <row r="608" spans="1:11" s="343" customFormat="1" ht="31.5" x14ac:dyDescent="0.25">
      <c r="A608" s="20" t="s">
        <v>191</v>
      </c>
      <c r="B608" s="346" t="s">
        <v>187</v>
      </c>
      <c r="C608" s="346" t="s">
        <v>116</v>
      </c>
      <c r="D608" s="346" t="s">
        <v>784</v>
      </c>
      <c r="E608" s="346" t="s">
        <v>192</v>
      </c>
      <c r="F608" s="295">
        <f>'Пр.4 ведом.22'!G716</f>
        <v>28.84</v>
      </c>
      <c r="G608" s="344"/>
      <c r="H608" s="344"/>
      <c r="I608" s="344"/>
      <c r="J608" s="344"/>
      <c r="K608" s="344"/>
    </row>
    <row r="609" spans="1:11" s="343" customFormat="1" ht="15.75" x14ac:dyDescent="0.25">
      <c r="A609" s="108" t="s">
        <v>193</v>
      </c>
      <c r="B609" s="346" t="s">
        <v>187</v>
      </c>
      <c r="C609" s="346" t="s">
        <v>116</v>
      </c>
      <c r="D609" s="346" t="s">
        <v>784</v>
      </c>
      <c r="E609" s="346" t="s">
        <v>194</v>
      </c>
      <c r="F609" s="295">
        <f>'Пр.4 ведом.22'!G717</f>
        <v>28.84</v>
      </c>
      <c r="G609" s="344"/>
      <c r="H609" s="344"/>
      <c r="I609" s="344"/>
      <c r="J609" s="344"/>
      <c r="K609" s="344"/>
    </row>
    <row r="610" spans="1:11" ht="31.5" x14ac:dyDescent="0.25">
      <c r="A610" s="36" t="s">
        <v>342</v>
      </c>
      <c r="B610" s="346" t="s">
        <v>187</v>
      </c>
      <c r="C610" s="346" t="s">
        <v>116</v>
      </c>
      <c r="D610" s="346" t="s">
        <v>772</v>
      </c>
      <c r="E610" s="346"/>
      <c r="F610" s="295">
        <f>F611</f>
        <v>2066.7600000000002</v>
      </c>
    </row>
    <row r="611" spans="1:11" ht="31.5" x14ac:dyDescent="0.25">
      <c r="A611" s="20" t="s">
        <v>191</v>
      </c>
      <c r="B611" s="346" t="s">
        <v>187</v>
      </c>
      <c r="C611" s="346" t="s">
        <v>116</v>
      </c>
      <c r="D611" s="346" t="s">
        <v>772</v>
      </c>
      <c r="E611" s="346" t="s">
        <v>192</v>
      </c>
      <c r="F611" s="295">
        <f>F612</f>
        <v>2066.7600000000002</v>
      </c>
    </row>
    <row r="612" spans="1:11" ht="15.75" x14ac:dyDescent="0.25">
      <c r="A612" s="108" t="s">
        <v>193</v>
      </c>
      <c r="B612" s="346" t="s">
        <v>187</v>
      </c>
      <c r="C612" s="346" t="s">
        <v>116</v>
      </c>
      <c r="D612" s="346" t="s">
        <v>772</v>
      </c>
      <c r="E612" s="346" t="s">
        <v>194</v>
      </c>
      <c r="F612" s="295">
        <f>'Пр.4 ведом.22'!G720</f>
        <v>2066.7600000000002</v>
      </c>
    </row>
    <row r="613" spans="1:11" ht="47.25" x14ac:dyDescent="0.25">
      <c r="A613" s="36" t="s">
        <v>343</v>
      </c>
      <c r="B613" s="346" t="s">
        <v>187</v>
      </c>
      <c r="C613" s="346" t="s">
        <v>116</v>
      </c>
      <c r="D613" s="346" t="s">
        <v>773</v>
      </c>
      <c r="E613" s="346"/>
      <c r="F613" s="295">
        <f>F614</f>
        <v>966.60800000000006</v>
      </c>
    </row>
    <row r="614" spans="1:11" ht="31.5" x14ac:dyDescent="0.25">
      <c r="A614" s="20" t="s">
        <v>191</v>
      </c>
      <c r="B614" s="346" t="s">
        <v>187</v>
      </c>
      <c r="C614" s="346" t="s">
        <v>116</v>
      </c>
      <c r="D614" s="346" t="s">
        <v>773</v>
      </c>
      <c r="E614" s="346" t="s">
        <v>192</v>
      </c>
      <c r="F614" s="295">
        <f>F615</f>
        <v>966.60800000000006</v>
      </c>
    </row>
    <row r="615" spans="1:11" ht="15.75" x14ac:dyDescent="0.25">
      <c r="A615" s="108" t="s">
        <v>193</v>
      </c>
      <c r="B615" s="346" t="s">
        <v>187</v>
      </c>
      <c r="C615" s="346" t="s">
        <v>116</v>
      </c>
      <c r="D615" s="346" t="s">
        <v>773</v>
      </c>
      <c r="E615" s="346" t="s">
        <v>194</v>
      </c>
      <c r="F615" s="295">
        <f>'Пр.4 ведом.22'!G723</f>
        <v>966.60800000000006</v>
      </c>
    </row>
    <row r="616" spans="1:11" ht="31.5" x14ac:dyDescent="0.25">
      <c r="A616" s="298" t="s">
        <v>1117</v>
      </c>
      <c r="B616" s="299" t="s">
        <v>187</v>
      </c>
      <c r="C616" s="299" t="s">
        <v>116</v>
      </c>
      <c r="D616" s="299" t="s">
        <v>774</v>
      </c>
      <c r="E616" s="299"/>
      <c r="F616" s="294">
        <f>F617</f>
        <v>202.59999999999997</v>
      </c>
      <c r="H616" s="71"/>
    </row>
    <row r="617" spans="1:11" ht="31.5" x14ac:dyDescent="0.25">
      <c r="A617" s="345" t="s">
        <v>1118</v>
      </c>
      <c r="B617" s="346" t="s">
        <v>187</v>
      </c>
      <c r="C617" s="346" t="s">
        <v>116</v>
      </c>
      <c r="D617" s="346" t="s">
        <v>1119</v>
      </c>
      <c r="E617" s="346"/>
      <c r="F617" s="295">
        <f>F618</f>
        <v>202.59999999999997</v>
      </c>
      <c r="H617" s="71"/>
    </row>
    <row r="618" spans="1:11" ht="31.5" x14ac:dyDescent="0.25">
      <c r="A618" s="20" t="s">
        <v>191</v>
      </c>
      <c r="B618" s="346" t="s">
        <v>187</v>
      </c>
      <c r="C618" s="346" t="s">
        <v>116</v>
      </c>
      <c r="D618" s="346" t="s">
        <v>1119</v>
      </c>
      <c r="E618" s="346" t="s">
        <v>192</v>
      </c>
      <c r="F618" s="295">
        <f>F619</f>
        <v>202.59999999999997</v>
      </c>
      <c r="H618" s="71"/>
    </row>
    <row r="619" spans="1:11" ht="15.75" x14ac:dyDescent="0.25">
      <c r="A619" s="108" t="s">
        <v>193</v>
      </c>
      <c r="B619" s="346" t="s">
        <v>187</v>
      </c>
      <c r="C619" s="346" t="s">
        <v>116</v>
      </c>
      <c r="D619" s="346" t="s">
        <v>1119</v>
      </c>
      <c r="E619" s="346" t="s">
        <v>194</v>
      </c>
      <c r="F619" s="295">
        <f>'Пр.4 ведом.22'!G727</f>
        <v>202.59999999999997</v>
      </c>
      <c r="H619" s="71"/>
    </row>
    <row r="620" spans="1:11" s="128" customFormat="1" ht="94.5" x14ac:dyDescent="0.25">
      <c r="A620" s="298" t="s">
        <v>715</v>
      </c>
      <c r="B620" s="299" t="s">
        <v>187</v>
      </c>
      <c r="C620" s="299" t="s">
        <v>116</v>
      </c>
      <c r="D620" s="299" t="s">
        <v>775</v>
      </c>
      <c r="E620" s="299"/>
      <c r="F620" s="297">
        <f>F621</f>
        <v>1487.3119999999999</v>
      </c>
      <c r="G620" s="344"/>
      <c r="H620" s="344"/>
      <c r="I620" s="344"/>
      <c r="J620" s="344"/>
      <c r="K620" s="344"/>
    </row>
    <row r="621" spans="1:11" s="128" customFormat="1" ht="94.5" x14ac:dyDescent="0.25">
      <c r="A621" s="96" t="s">
        <v>969</v>
      </c>
      <c r="B621" s="346" t="s">
        <v>187</v>
      </c>
      <c r="C621" s="346" t="s">
        <v>116</v>
      </c>
      <c r="D621" s="346" t="s">
        <v>776</v>
      </c>
      <c r="E621" s="346"/>
      <c r="F621" s="300">
        <f>F622</f>
        <v>1487.3119999999999</v>
      </c>
      <c r="G621" s="344"/>
      <c r="H621" s="344"/>
      <c r="I621" s="344"/>
      <c r="J621" s="344"/>
      <c r="K621" s="344"/>
    </row>
    <row r="622" spans="1:11" s="128" customFormat="1" ht="31.5" x14ac:dyDescent="0.25">
      <c r="A622" s="345" t="s">
        <v>191</v>
      </c>
      <c r="B622" s="346" t="s">
        <v>187</v>
      </c>
      <c r="C622" s="346" t="s">
        <v>116</v>
      </c>
      <c r="D622" s="346" t="s">
        <v>776</v>
      </c>
      <c r="E622" s="346" t="s">
        <v>192</v>
      </c>
      <c r="F622" s="300">
        <f>F623</f>
        <v>1487.3119999999999</v>
      </c>
      <c r="G622" s="344"/>
      <c r="H622" s="344"/>
      <c r="I622" s="344"/>
      <c r="J622" s="344"/>
      <c r="K622" s="344"/>
    </row>
    <row r="623" spans="1:11" s="128" customFormat="1" ht="15.75" x14ac:dyDescent="0.25">
      <c r="A623" s="345" t="s">
        <v>193</v>
      </c>
      <c r="B623" s="346" t="s">
        <v>187</v>
      </c>
      <c r="C623" s="346" t="s">
        <v>116</v>
      </c>
      <c r="D623" s="346" t="s">
        <v>776</v>
      </c>
      <c r="E623" s="346" t="s">
        <v>194</v>
      </c>
      <c r="F623" s="300">
        <f>'Пр.4 ведом.22'!G731</f>
        <v>1487.3119999999999</v>
      </c>
      <c r="G623" s="344"/>
      <c r="H623" s="344"/>
      <c r="I623" s="344"/>
      <c r="J623" s="344"/>
      <c r="K623" s="344"/>
    </row>
    <row r="624" spans="1:11" s="280" customFormat="1" ht="31.5" hidden="1" x14ac:dyDescent="0.25">
      <c r="A624" s="195" t="s">
        <v>1034</v>
      </c>
      <c r="B624" s="299" t="s">
        <v>187</v>
      </c>
      <c r="C624" s="299" t="s">
        <v>116</v>
      </c>
      <c r="D624" s="299" t="s">
        <v>1036</v>
      </c>
      <c r="E624" s="299"/>
      <c r="F624" s="297">
        <f>F625</f>
        <v>0</v>
      </c>
      <c r="G624" s="344"/>
      <c r="H624" s="344"/>
      <c r="I624" s="344"/>
      <c r="J624" s="344"/>
      <c r="K624" s="344"/>
    </row>
    <row r="625" spans="1:11" s="280" customFormat="1" ht="31.5" hidden="1" x14ac:dyDescent="0.25">
      <c r="A625" s="194" t="s">
        <v>1035</v>
      </c>
      <c r="B625" s="346" t="s">
        <v>187</v>
      </c>
      <c r="C625" s="346" t="s">
        <v>116</v>
      </c>
      <c r="D625" s="346" t="s">
        <v>1037</v>
      </c>
      <c r="E625" s="346"/>
      <c r="F625" s="300">
        <f>F626</f>
        <v>0</v>
      </c>
      <c r="G625" s="344"/>
      <c r="H625" s="344"/>
      <c r="I625" s="344"/>
      <c r="J625" s="344"/>
      <c r="K625" s="344"/>
    </row>
    <row r="626" spans="1:11" s="280" customFormat="1" ht="31.5" hidden="1" x14ac:dyDescent="0.25">
      <c r="A626" s="22" t="s">
        <v>191</v>
      </c>
      <c r="B626" s="346" t="s">
        <v>187</v>
      </c>
      <c r="C626" s="346" t="s">
        <v>116</v>
      </c>
      <c r="D626" s="346" t="s">
        <v>1037</v>
      </c>
      <c r="E626" s="346" t="s">
        <v>192</v>
      </c>
      <c r="F626" s="300">
        <f>F627</f>
        <v>0</v>
      </c>
      <c r="G626" s="344"/>
      <c r="H626" s="344"/>
      <c r="I626" s="344"/>
      <c r="J626" s="344"/>
      <c r="K626" s="344"/>
    </row>
    <row r="627" spans="1:11" s="280" customFormat="1" ht="15.75" hidden="1" x14ac:dyDescent="0.25">
      <c r="A627" s="22" t="s">
        <v>193</v>
      </c>
      <c r="B627" s="346" t="s">
        <v>187</v>
      </c>
      <c r="C627" s="346" t="s">
        <v>116</v>
      </c>
      <c r="D627" s="346" t="s">
        <v>1037</v>
      </c>
      <c r="E627" s="346" t="s">
        <v>194</v>
      </c>
      <c r="F627" s="300">
        <f>'Пр.4 ведом.22'!G738</f>
        <v>0</v>
      </c>
      <c r="G627" s="344"/>
      <c r="H627" s="344"/>
      <c r="I627" s="344"/>
      <c r="J627" s="344"/>
      <c r="K627" s="344"/>
    </row>
    <row r="628" spans="1:11" s="293" customFormat="1" ht="47.25" hidden="1" x14ac:dyDescent="0.25">
      <c r="A628" s="195" t="s">
        <v>1038</v>
      </c>
      <c r="B628" s="299" t="s">
        <v>187</v>
      </c>
      <c r="C628" s="299" t="s">
        <v>116</v>
      </c>
      <c r="D628" s="299" t="s">
        <v>1041</v>
      </c>
      <c r="E628" s="299"/>
      <c r="F628" s="297">
        <f>F629</f>
        <v>0</v>
      </c>
      <c r="G628" s="344"/>
      <c r="H628" s="344"/>
      <c r="I628" s="344"/>
      <c r="J628" s="344"/>
      <c r="K628" s="344"/>
    </row>
    <row r="629" spans="1:11" s="293" customFormat="1" ht="47.25" hidden="1" x14ac:dyDescent="0.25">
      <c r="A629" s="194" t="s">
        <v>1039</v>
      </c>
      <c r="B629" s="346" t="s">
        <v>187</v>
      </c>
      <c r="C629" s="346" t="s">
        <v>116</v>
      </c>
      <c r="D629" s="346" t="s">
        <v>1040</v>
      </c>
      <c r="E629" s="346"/>
      <c r="F629" s="300">
        <f>F630</f>
        <v>0</v>
      </c>
      <c r="G629" s="344"/>
      <c r="H629" s="344"/>
      <c r="I629" s="344"/>
      <c r="J629" s="344"/>
      <c r="K629" s="344"/>
    </row>
    <row r="630" spans="1:11" s="293" customFormat="1" ht="31.5" hidden="1" x14ac:dyDescent="0.25">
      <c r="A630" s="22" t="s">
        <v>191</v>
      </c>
      <c r="B630" s="346" t="s">
        <v>187</v>
      </c>
      <c r="C630" s="346" t="s">
        <v>116</v>
      </c>
      <c r="D630" s="346" t="s">
        <v>1040</v>
      </c>
      <c r="E630" s="346" t="s">
        <v>192</v>
      </c>
      <c r="F630" s="300">
        <f>F631</f>
        <v>0</v>
      </c>
      <c r="G630" s="344"/>
      <c r="H630" s="344"/>
      <c r="I630" s="344"/>
      <c r="J630" s="344"/>
      <c r="K630" s="344"/>
    </row>
    <row r="631" spans="1:11" s="293" customFormat="1" ht="15.75" hidden="1" x14ac:dyDescent="0.25">
      <c r="A631" s="22" t="s">
        <v>193</v>
      </c>
      <c r="B631" s="346" t="s">
        <v>187</v>
      </c>
      <c r="C631" s="346" t="s">
        <v>116</v>
      </c>
      <c r="D631" s="346" t="s">
        <v>1040</v>
      </c>
      <c r="E631" s="346" t="s">
        <v>194</v>
      </c>
      <c r="F631" s="300">
        <f>'Пр.4 ведом.22'!G742</f>
        <v>0</v>
      </c>
      <c r="G631" s="344"/>
      <c r="H631" s="344"/>
      <c r="I631" s="344"/>
      <c r="J631" s="344"/>
      <c r="K631" s="344"/>
    </row>
    <row r="632" spans="1:11" ht="53.65" customHeight="1" x14ac:dyDescent="0.25">
      <c r="A632" s="24" t="s">
        <v>860</v>
      </c>
      <c r="B632" s="299" t="s">
        <v>187</v>
      </c>
      <c r="C632" s="299" t="s">
        <v>116</v>
      </c>
      <c r="D632" s="299" t="s">
        <v>206</v>
      </c>
      <c r="E632" s="299"/>
      <c r="F632" s="294">
        <f>F633</f>
        <v>80</v>
      </c>
    </row>
    <row r="633" spans="1:11" ht="63" x14ac:dyDescent="0.25">
      <c r="A633" s="24" t="s">
        <v>570</v>
      </c>
      <c r="B633" s="299" t="s">
        <v>187</v>
      </c>
      <c r="C633" s="299" t="s">
        <v>116</v>
      </c>
      <c r="D633" s="299" t="s">
        <v>502</v>
      </c>
      <c r="E633" s="299"/>
      <c r="F633" s="294">
        <f>F634</f>
        <v>80</v>
      </c>
    </row>
    <row r="634" spans="1:11" ht="47.25" x14ac:dyDescent="0.25">
      <c r="A634" s="22" t="s">
        <v>569</v>
      </c>
      <c r="B634" s="346" t="s">
        <v>187</v>
      </c>
      <c r="C634" s="346" t="s">
        <v>116</v>
      </c>
      <c r="D634" s="346" t="s">
        <v>503</v>
      </c>
      <c r="E634" s="346"/>
      <c r="F634" s="295">
        <f>F635</f>
        <v>80</v>
      </c>
    </row>
    <row r="635" spans="1:11" ht="31.5" x14ac:dyDescent="0.25">
      <c r="A635" s="22" t="s">
        <v>191</v>
      </c>
      <c r="B635" s="346" t="s">
        <v>187</v>
      </c>
      <c r="C635" s="346" t="s">
        <v>116</v>
      </c>
      <c r="D635" s="346" t="s">
        <v>503</v>
      </c>
      <c r="E635" s="346" t="s">
        <v>192</v>
      </c>
      <c r="F635" s="295">
        <f t="shared" ref="F635" si="63">F636</f>
        <v>80</v>
      </c>
    </row>
    <row r="636" spans="1:11" ht="15.75" x14ac:dyDescent="0.25">
      <c r="A636" s="22" t="s">
        <v>193</v>
      </c>
      <c r="B636" s="346" t="s">
        <v>187</v>
      </c>
      <c r="C636" s="346" t="s">
        <v>116</v>
      </c>
      <c r="D636" s="346" t="s">
        <v>503</v>
      </c>
      <c r="E636" s="346" t="s">
        <v>194</v>
      </c>
      <c r="F636" s="295">
        <f>'Пр.4 ведом.22'!G747</f>
        <v>80</v>
      </c>
    </row>
    <row r="637" spans="1:11" ht="47.25" x14ac:dyDescent="0.25">
      <c r="A637" s="340" t="s">
        <v>856</v>
      </c>
      <c r="B637" s="299" t="s">
        <v>187</v>
      </c>
      <c r="C637" s="299" t="s">
        <v>116</v>
      </c>
      <c r="D637" s="299" t="s">
        <v>339</v>
      </c>
      <c r="E637" s="304"/>
      <c r="F637" s="294">
        <f>F638</f>
        <v>621</v>
      </c>
    </row>
    <row r="638" spans="1:11" ht="47.25" x14ac:dyDescent="0.25">
      <c r="A638" s="340" t="s">
        <v>461</v>
      </c>
      <c r="B638" s="299" t="s">
        <v>187</v>
      </c>
      <c r="C638" s="299" t="s">
        <v>116</v>
      </c>
      <c r="D638" s="299" t="s">
        <v>459</v>
      </c>
      <c r="E638" s="304"/>
      <c r="F638" s="294">
        <f t="shared" ref="F638:F639" si="64">F639</f>
        <v>621</v>
      </c>
    </row>
    <row r="639" spans="1:11" ht="47.25" x14ac:dyDescent="0.25">
      <c r="A639" s="67" t="s">
        <v>357</v>
      </c>
      <c r="B639" s="346" t="s">
        <v>187</v>
      </c>
      <c r="C639" s="346" t="s">
        <v>116</v>
      </c>
      <c r="D639" s="346" t="s">
        <v>504</v>
      </c>
      <c r="E639" s="301"/>
      <c r="F639" s="295">
        <f t="shared" si="64"/>
        <v>621</v>
      </c>
    </row>
    <row r="640" spans="1:11" ht="31.5" x14ac:dyDescent="0.25">
      <c r="A640" s="20" t="s">
        <v>191</v>
      </c>
      <c r="B640" s="346" t="s">
        <v>187</v>
      </c>
      <c r="C640" s="346" t="s">
        <v>116</v>
      </c>
      <c r="D640" s="346" t="s">
        <v>504</v>
      </c>
      <c r="E640" s="301" t="s">
        <v>192</v>
      </c>
      <c r="F640" s="295">
        <f>F641</f>
        <v>621</v>
      </c>
    </row>
    <row r="641" spans="1:11" ht="24.75" customHeight="1" x14ac:dyDescent="0.25">
      <c r="A641" s="108" t="s">
        <v>193</v>
      </c>
      <c r="B641" s="346" t="s">
        <v>187</v>
      </c>
      <c r="C641" s="346" t="s">
        <v>116</v>
      </c>
      <c r="D641" s="346" t="s">
        <v>504</v>
      </c>
      <c r="E641" s="301" t="s">
        <v>194</v>
      </c>
      <c r="F641" s="295">
        <f>'Пр.4 ведом.22'!G752</f>
        <v>621</v>
      </c>
    </row>
    <row r="642" spans="1:11" ht="15.75" x14ac:dyDescent="0.25">
      <c r="A642" s="340" t="s">
        <v>239</v>
      </c>
      <c r="B642" s="6" t="s">
        <v>187</v>
      </c>
      <c r="C642" s="6" t="s">
        <v>158</v>
      </c>
      <c r="D642" s="6"/>
      <c r="E642" s="6"/>
      <c r="F642" s="294">
        <f>F643+F724+F729</f>
        <v>198494.01600000003</v>
      </c>
      <c r="H642" s="71"/>
    </row>
    <row r="643" spans="1:11" ht="34.700000000000003" customHeight="1" x14ac:dyDescent="0.25">
      <c r="A643" s="298" t="s">
        <v>861</v>
      </c>
      <c r="B643" s="299" t="s">
        <v>187</v>
      </c>
      <c r="C643" s="299" t="s">
        <v>158</v>
      </c>
      <c r="D643" s="299" t="s">
        <v>237</v>
      </c>
      <c r="E643" s="299"/>
      <c r="F643" s="294">
        <f>F644+F648+F661+F677+F684+F688+F692+F696+F700+F716+F712+F704+F708+F720</f>
        <v>197504.10000000003</v>
      </c>
    </row>
    <row r="644" spans="1:11" ht="31.5" x14ac:dyDescent="0.25">
      <c r="A644" s="298" t="s">
        <v>505</v>
      </c>
      <c r="B644" s="299" t="s">
        <v>187</v>
      </c>
      <c r="C644" s="299" t="s">
        <v>158</v>
      </c>
      <c r="D644" s="299" t="s">
        <v>764</v>
      </c>
      <c r="E644" s="299"/>
      <c r="F644" s="294">
        <f>F645</f>
        <v>32181.86</v>
      </c>
    </row>
    <row r="645" spans="1:11" ht="47.25" x14ac:dyDescent="0.25">
      <c r="A645" s="345" t="s">
        <v>767</v>
      </c>
      <c r="B645" s="346" t="s">
        <v>187</v>
      </c>
      <c r="C645" s="346" t="s">
        <v>158</v>
      </c>
      <c r="D645" s="346" t="s">
        <v>778</v>
      </c>
      <c r="E645" s="346"/>
      <c r="F645" s="246">
        <f t="shared" ref="F645" si="65">F646</f>
        <v>32181.86</v>
      </c>
    </row>
    <row r="646" spans="1:11" ht="39.75" customHeight="1" x14ac:dyDescent="0.25">
      <c r="A646" s="345" t="s">
        <v>191</v>
      </c>
      <c r="B646" s="346" t="s">
        <v>187</v>
      </c>
      <c r="C646" s="346" t="s">
        <v>158</v>
      </c>
      <c r="D646" s="346" t="s">
        <v>778</v>
      </c>
      <c r="E646" s="346" t="s">
        <v>192</v>
      </c>
      <c r="F646" s="246">
        <f>'Пр.4 ведом.22'!G758</f>
        <v>32181.86</v>
      </c>
    </row>
    <row r="647" spans="1:11" ht="15.75" x14ac:dyDescent="0.25">
      <c r="A647" s="345" t="s">
        <v>193</v>
      </c>
      <c r="B647" s="346" t="s">
        <v>187</v>
      </c>
      <c r="C647" s="346" t="s">
        <v>158</v>
      </c>
      <c r="D647" s="346" t="s">
        <v>778</v>
      </c>
      <c r="E647" s="346" t="s">
        <v>194</v>
      </c>
      <c r="F647" s="295">
        <f>'Пр.4 ведом.22'!G758</f>
        <v>32181.86</v>
      </c>
    </row>
    <row r="648" spans="1:11" ht="48.95" customHeight="1" x14ac:dyDescent="0.25">
      <c r="A648" s="298" t="s">
        <v>469</v>
      </c>
      <c r="B648" s="299" t="s">
        <v>187</v>
      </c>
      <c r="C648" s="299" t="s">
        <v>158</v>
      </c>
      <c r="D648" s="299" t="s">
        <v>766</v>
      </c>
      <c r="E648" s="299"/>
      <c r="F648" s="294">
        <f>F649+F652+F655+F658</f>
        <v>149207.22600000002</v>
      </c>
    </row>
    <row r="649" spans="1:11" s="128" customFormat="1" ht="67.7" customHeight="1" x14ac:dyDescent="0.25">
      <c r="A649" s="345" t="s">
        <v>887</v>
      </c>
      <c r="B649" s="346" t="s">
        <v>187</v>
      </c>
      <c r="C649" s="346" t="s">
        <v>158</v>
      </c>
      <c r="D649" s="346" t="s">
        <v>888</v>
      </c>
      <c r="E649" s="346"/>
      <c r="F649" s="18">
        <f>F650</f>
        <v>7062.0999999999995</v>
      </c>
      <c r="G649" s="344"/>
      <c r="H649" s="344"/>
      <c r="I649" s="344"/>
      <c r="J649" s="344"/>
      <c r="K649" s="344"/>
    </row>
    <row r="650" spans="1:11" s="128" customFormat="1" ht="36.75" customHeight="1" x14ac:dyDescent="0.25">
      <c r="A650" s="345" t="s">
        <v>191</v>
      </c>
      <c r="B650" s="346" t="s">
        <v>187</v>
      </c>
      <c r="C650" s="346" t="s">
        <v>158</v>
      </c>
      <c r="D650" s="346" t="s">
        <v>888</v>
      </c>
      <c r="E650" s="346" t="s">
        <v>192</v>
      </c>
      <c r="F650" s="18">
        <f>F651</f>
        <v>7062.0999999999995</v>
      </c>
      <c r="G650" s="344"/>
      <c r="H650" s="344"/>
      <c r="I650" s="344"/>
      <c r="J650" s="344"/>
      <c r="K650" s="344"/>
    </row>
    <row r="651" spans="1:11" s="128" customFormat="1" ht="17.649999999999999" customHeight="1" x14ac:dyDescent="0.25">
      <c r="A651" s="345" t="s">
        <v>193</v>
      </c>
      <c r="B651" s="346" t="s">
        <v>187</v>
      </c>
      <c r="C651" s="346" t="s">
        <v>158</v>
      </c>
      <c r="D651" s="346" t="s">
        <v>888</v>
      </c>
      <c r="E651" s="346" t="s">
        <v>194</v>
      </c>
      <c r="F651" s="18">
        <f>'Пр.4 ведом.22'!G762</f>
        <v>7062.0999999999995</v>
      </c>
      <c r="G651" s="344"/>
      <c r="H651" s="344"/>
      <c r="I651" s="344"/>
      <c r="J651" s="344"/>
      <c r="K651" s="344"/>
    </row>
    <row r="652" spans="1:11" s="128" customFormat="1" ht="95.1" customHeight="1" x14ac:dyDescent="0.25">
      <c r="A652" s="22" t="s">
        <v>245</v>
      </c>
      <c r="B652" s="346" t="s">
        <v>187</v>
      </c>
      <c r="C652" s="346" t="s">
        <v>158</v>
      </c>
      <c r="D652" s="346" t="s">
        <v>885</v>
      </c>
      <c r="E652" s="346"/>
      <c r="F652" s="295">
        <f>F653</f>
        <v>4631</v>
      </c>
      <c r="G652" s="344"/>
      <c r="H652" s="344"/>
      <c r="I652" s="344"/>
      <c r="J652" s="344"/>
      <c r="K652" s="344"/>
    </row>
    <row r="653" spans="1:11" s="128" customFormat="1" ht="40.15" customHeight="1" x14ac:dyDescent="0.25">
      <c r="A653" s="345" t="s">
        <v>191</v>
      </c>
      <c r="B653" s="346" t="s">
        <v>187</v>
      </c>
      <c r="C653" s="346" t="s">
        <v>158</v>
      </c>
      <c r="D653" s="346" t="s">
        <v>885</v>
      </c>
      <c r="E653" s="346" t="s">
        <v>192</v>
      </c>
      <c r="F653" s="295">
        <f>F654</f>
        <v>4631</v>
      </c>
      <c r="G653" s="344"/>
      <c r="H653" s="344"/>
      <c r="I653" s="344"/>
      <c r="J653" s="344"/>
      <c r="K653" s="344"/>
    </row>
    <row r="654" spans="1:11" s="128" customFormat="1" ht="17.100000000000001" customHeight="1" x14ac:dyDescent="0.25">
      <c r="A654" s="345" t="s">
        <v>193</v>
      </c>
      <c r="B654" s="346" t="s">
        <v>187</v>
      </c>
      <c r="C654" s="346" t="s">
        <v>158</v>
      </c>
      <c r="D654" s="346" t="s">
        <v>885</v>
      </c>
      <c r="E654" s="346" t="s">
        <v>194</v>
      </c>
      <c r="F654" s="295">
        <f>'Пр.4 ведом.22'!G765</f>
        <v>4631</v>
      </c>
      <c r="G654" s="344"/>
      <c r="H654" s="344"/>
      <c r="I654" s="344"/>
      <c r="J654" s="344"/>
      <c r="K654" s="344"/>
    </row>
    <row r="655" spans="1:11" ht="47.25" x14ac:dyDescent="0.25">
      <c r="A655" s="22" t="s">
        <v>244</v>
      </c>
      <c r="B655" s="346" t="s">
        <v>187</v>
      </c>
      <c r="C655" s="346" t="s">
        <v>158</v>
      </c>
      <c r="D655" s="346" t="s">
        <v>779</v>
      </c>
      <c r="E655" s="346"/>
      <c r="F655" s="295">
        <f>F656</f>
        <v>721.09999999999991</v>
      </c>
    </row>
    <row r="656" spans="1:11" ht="36" customHeight="1" x14ac:dyDescent="0.25">
      <c r="A656" s="345" t="s">
        <v>191</v>
      </c>
      <c r="B656" s="346" t="s">
        <v>187</v>
      </c>
      <c r="C656" s="346" t="s">
        <v>158</v>
      </c>
      <c r="D656" s="346" t="s">
        <v>779</v>
      </c>
      <c r="E656" s="346" t="s">
        <v>192</v>
      </c>
      <c r="F656" s="295">
        <f t="shared" ref="F656" si="66">F657</f>
        <v>721.09999999999991</v>
      </c>
    </row>
    <row r="657" spans="1:11" ht="15.75" x14ac:dyDescent="0.25">
      <c r="A657" s="345" t="s">
        <v>193</v>
      </c>
      <c r="B657" s="346" t="s">
        <v>187</v>
      </c>
      <c r="C657" s="346" t="s">
        <v>158</v>
      </c>
      <c r="D657" s="346" t="s">
        <v>779</v>
      </c>
      <c r="E657" s="346" t="s">
        <v>194</v>
      </c>
      <c r="F657" s="295">
        <f>'Пр.4 ведом.22'!G768</f>
        <v>721.09999999999991</v>
      </c>
    </row>
    <row r="658" spans="1:11" s="343" customFormat="1" ht="47.25" x14ac:dyDescent="0.25">
      <c r="A658" s="345" t="s">
        <v>1165</v>
      </c>
      <c r="B658" s="346" t="s">
        <v>187</v>
      </c>
      <c r="C658" s="346" t="s">
        <v>158</v>
      </c>
      <c r="D658" s="346" t="s">
        <v>1166</v>
      </c>
      <c r="E658" s="346"/>
      <c r="F658" s="295">
        <f>F659</f>
        <v>136793.02600000001</v>
      </c>
      <c r="G658" s="344"/>
      <c r="H658" s="344"/>
      <c r="I658" s="344"/>
      <c r="J658" s="344"/>
      <c r="K658" s="344"/>
    </row>
    <row r="659" spans="1:11" s="343" customFormat="1" ht="31.5" x14ac:dyDescent="0.25">
      <c r="A659" s="345" t="s">
        <v>191</v>
      </c>
      <c r="B659" s="346" t="s">
        <v>187</v>
      </c>
      <c r="C659" s="346" t="s">
        <v>158</v>
      </c>
      <c r="D659" s="346" t="s">
        <v>1166</v>
      </c>
      <c r="E659" s="346" t="s">
        <v>192</v>
      </c>
      <c r="F659" s="295">
        <f>F660</f>
        <v>136793.02600000001</v>
      </c>
      <c r="G659" s="344"/>
      <c r="H659" s="344"/>
      <c r="I659" s="344"/>
      <c r="J659" s="344"/>
      <c r="K659" s="344"/>
    </row>
    <row r="660" spans="1:11" s="343" customFormat="1" ht="15.75" x14ac:dyDescent="0.25">
      <c r="A660" s="345" t="s">
        <v>193</v>
      </c>
      <c r="B660" s="346" t="s">
        <v>187</v>
      </c>
      <c r="C660" s="346" t="s">
        <v>158</v>
      </c>
      <c r="D660" s="346" t="s">
        <v>1166</v>
      </c>
      <c r="E660" s="346" t="s">
        <v>194</v>
      </c>
      <c r="F660" s="295">
        <f>'Пр.4 ведом.22'!G771</f>
        <v>136793.02600000001</v>
      </c>
      <c r="G660" s="344"/>
      <c r="H660" s="344"/>
      <c r="I660" s="344"/>
      <c r="J660" s="344"/>
      <c r="K660" s="344"/>
    </row>
    <row r="661" spans="1:11" ht="31.5" x14ac:dyDescent="0.25">
      <c r="A661" s="298" t="s">
        <v>819</v>
      </c>
      <c r="B661" s="299" t="s">
        <v>187</v>
      </c>
      <c r="C661" s="299" t="s">
        <v>158</v>
      </c>
      <c r="D661" s="299" t="s">
        <v>768</v>
      </c>
      <c r="E661" s="299"/>
      <c r="F661" s="294">
        <f>'Пр.4 ведом.22'!G772</f>
        <v>1200.5999999999999</v>
      </c>
    </row>
    <row r="662" spans="1:11" ht="36" hidden="1" customHeight="1" x14ac:dyDescent="0.25">
      <c r="A662" s="345" t="s">
        <v>242</v>
      </c>
      <c r="B662" s="346" t="s">
        <v>187</v>
      </c>
      <c r="C662" s="346" t="s">
        <v>158</v>
      </c>
      <c r="D662" s="346" t="s">
        <v>826</v>
      </c>
      <c r="E662" s="346"/>
      <c r="F662" s="295">
        <f t="shared" ref="F662" si="67">F663</f>
        <v>0</v>
      </c>
    </row>
    <row r="663" spans="1:11" ht="35.450000000000003" hidden="1" customHeight="1" x14ac:dyDescent="0.25">
      <c r="A663" s="345" t="s">
        <v>191</v>
      </c>
      <c r="B663" s="346" t="s">
        <v>187</v>
      </c>
      <c r="C663" s="346" t="s">
        <v>158</v>
      </c>
      <c r="D663" s="346" t="s">
        <v>826</v>
      </c>
      <c r="E663" s="346" t="s">
        <v>192</v>
      </c>
      <c r="F663" s="295">
        <f>F664</f>
        <v>0</v>
      </c>
    </row>
    <row r="664" spans="1:11" ht="15.75" hidden="1" x14ac:dyDescent="0.25">
      <c r="A664" s="345" t="s">
        <v>193</v>
      </c>
      <c r="B664" s="346" t="s">
        <v>187</v>
      </c>
      <c r="C664" s="346" t="s">
        <v>158</v>
      </c>
      <c r="D664" s="346" t="s">
        <v>826</v>
      </c>
      <c r="E664" s="346" t="s">
        <v>194</v>
      </c>
      <c r="F664" s="295">
        <f>'Пр.4 ведом.22'!G775</f>
        <v>0</v>
      </c>
    </row>
    <row r="665" spans="1:11" ht="31.5" x14ac:dyDescent="0.25">
      <c r="A665" s="345" t="s">
        <v>195</v>
      </c>
      <c r="B665" s="346" t="s">
        <v>187</v>
      </c>
      <c r="C665" s="346" t="s">
        <v>158</v>
      </c>
      <c r="D665" s="346" t="s">
        <v>827</v>
      </c>
      <c r="E665" s="346"/>
      <c r="F665" s="295">
        <f t="shared" ref="F665" si="68">F666</f>
        <v>900</v>
      </c>
    </row>
    <row r="666" spans="1:11" ht="37.5" customHeight="1" x14ac:dyDescent="0.25">
      <c r="A666" s="345" t="s">
        <v>191</v>
      </c>
      <c r="B666" s="346" t="s">
        <v>187</v>
      </c>
      <c r="C666" s="346" t="s">
        <v>158</v>
      </c>
      <c r="D666" s="346" t="s">
        <v>827</v>
      </c>
      <c r="E666" s="346" t="s">
        <v>192</v>
      </c>
      <c r="F666" s="295">
        <f>F667</f>
        <v>900</v>
      </c>
    </row>
    <row r="667" spans="1:11" ht="15.75" x14ac:dyDescent="0.25">
      <c r="A667" s="345" t="s">
        <v>193</v>
      </c>
      <c r="B667" s="346" t="s">
        <v>187</v>
      </c>
      <c r="C667" s="346" t="s">
        <v>158</v>
      </c>
      <c r="D667" s="346" t="s">
        <v>827</v>
      </c>
      <c r="E667" s="346" t="s">
        <v>194</v>
      </c>
      <c r="F667" s="295">
        <f>'Пр.4 ведом.22'!G778</f>
        <v>900</v>
      </c>
    </row>
    <row r="668" spans="1:11" ht="31.5" hidden="1" x14ac:dyDescent="0.25">
      <c r="A668" s="345" t="s">
        <v>196</v>
      </c>
      <c r="B668" s="346" t="s">
        <v>187</v>
      </c>
      <c r="C668" s="346" t="s">
        <v>158</v>
      </c>
      <c r="D668" s="346" t="s">
        <v>828</v>
      </c>
      <c r="E668" s="346"/>
      <c r="F668" s="295">
        <f t="shared" ref="F668" si="69">F669</f>
        <v>0</v>
      </c>
    </row>
    <row r="669" spans="1:11" ht="31.7" hidden="1" customHeight="1" x14ac:dyDescent="0.25">
      <c r="A669" s="345" t="s">
        <v>191</v>
      </c>
      <c r="B669" s="346" t="s">
        <v>187</v>
      </c>
      <c r="C669" s="346" t="s">
        <v>158</v>
      </c>
      <c r="D669" s="346" t="s">
        <v>828</v>
      </c>
      <c r="E669" s="346" t="s">
        <v>192</v>
      </c>
      <c r="F669" s="295">
        <f>F670</f>
        <v>0</v>
      </c>
    </row>
    <row r="670" spans="1:11" ht="15.75" hidden="1" x14ac:dyDescent="0.25">
      <c r="A670" s="345" t="s">
        <v>193</v>
      </c>
      <c r="B670" s="346" t="s">
        <v>187</v>
      </c>
      <c r="C670" s="346" t="s">
        <v>158</v>
      </c>
      <c r="D670" s="346" t="s">
        <v>828</v>
      </c>
      <c r="E670" s="346" t="s">
        <v>194</v>
      </c>
      <c r="F670" s="295">
        <f>'Пр.4 ведом.22'!G781</f>
        <v>0</v>
      </c>
    </row>
    <row r="671" spans="1:11" ht="31.5" x14ac:dyDescent="0.25">
      <c r="A671" s="345" t="s">
        <v>197</v>
      </c>
      <c r="B671" s="346" t="s">
        <v>187</v>
      </c>
      <c r="C671" s="346" t="s">
        <v>158</v>
      </c>
      <c r="D671" s="346" t="s">
        <v>781</v>
      </c>
      <c r="E671" s="346"/>
      <c r="F671" s="295">
        <f t="shared" ref="F671" si="70">F672</f>
        <v>208.6</v>
      </c>
    </row>
    <row r="672" spans="1:11" ht="36" customHeight="1" x14ac:dyDescent="0.25">
      <c r="A672" s="345" t="s">
        <v>191</v>
      </c>
      <c r="B672" s="346" t="s">
        <v>187</v>
      </c>
      <c r="C672" s="346" t="s">
        <v>158</v>
      </c>
      <c r="D672" s="346" t="s">
        <v>781</v>
      </c>
      <c r="E672" s="346" t="s">
        <v>192</v>
      </c>
      <c r="F672" s="295">
        <f>F673</f>
        <v>208.6</v>
      </c>
    </row>
    <row r="673" spans="1:11" ht="15" customHeight="1" x14ac:dyDescent="0.25">
      <c r="A673" s="345" t="s">
        <v>193</v>
      </c>
      <c r="B673" s="346" t="s">
        <v>187</v>
      </c>
      <c r="C673" s="346" t="s">
        <v>158</v>
      </c>
      <c r="D673" s="346" t="s">
        <v>781</v>
      </c>
      <c r="E673" s="346" t="s">
        <v>194</v>
      </c>
      <c r="F673" s="295">
        <f>'Пр.4 ведом.22'!G784</f>
        <v>208.6</v>
      </c>
    </row>
    <row r="674" spans="1:11" s="343" customFormat="1" ht="27" customHeight="1" x14ac:dyDescent="0.25">
      <c r="A674" s="345" t="s">
        <v>1357</v>
      </c>
      <c r="B674" s="346" t="s">
        <v>187</v>
      </c>
      <c r="C674" s="346" t="s">
        <v>158</v>
      </c>
      <c r="D674" s="346" t="s">
        <v>1356</v>
      </c>
      <c r="E674" s="346"/>
      <c r="F674" s="295">
        <f>F675</f>
        <v>92</v>
      </c>
      <c r="G674" s="344"/>
      <c r="H674" s="344"/>
      <c r="I674" s="344"/>
      <c r="J674" s="344"/>
      <c r="K674" s="344"/>
    </row>
    <row r="675" spans="1:11" s="343" customFormat="1" ht="25.9" customHeight="1" x14ac:dyDescent="0.25">
      <c r="A675" s="643" t="s">
        <v>191</v>
      </c>
      <c r="B675" s="346" t="s">
        <v>187</v>
      </c>
      <c r="C675" s="346" t="s">
        <v>158</v>
      </c>
      <c r="D675" s="346" t="s">
        <v>1356</v>
      </c>
      <c r="E675" s="346" t="s">
        <v>192</v>
      </c>
      <c r="F675" s="295">
        <f>F676</f>
        <v>92</v>
      </c>
      <c r="G675" s="344"/>
      <c r="H675" s="344"/>
      <c r="I675" s="344"/>
      <c r="J675" s="344"/>
      <c r="K675" s="344"/>
    </row>
    <row r="676" spans="1:11" s="343" customFormat="1" ht="15" customHeight="1" x14ac:dyDescent="0.25">
      <c r="A676" s="643" t="s">
        <v>193</v>
      </c>
      <c r="B676" s="346" t="s">
        <v>187</v>
      </c>
      <c r="C676" s="346" t="s">
        <v>158</v>
      </c>
      <c r="D676" s="346" t="s">
        <v>1356</v>
      </c>
      <c r="E676" s="346" t="s">
        <v>194</v>
      </c>
      <c r="F676" s="295">
        <f>'Пр.4 ведом.22'!G787</f>
        <v>92</v>
      </c>
      <c r="G676" s="344"/>
      <c r="H676" s="344"/>
      <c r="I676" s="344"/>
      <c r="J676" s="344"/>
      <c r="K676" s="344"/>
    </row>
    <row r="677" spans="1:11" s="128" customFormat="1" ht="36.75" customHeight="1" x14ac:dyDescent="0.25">
      <c r="A677" s="140" t="s">
        <v>513</v>
      </c>
      <c r="B677" s="299" t="s">
        <v>187</v>
      </c>
      <c r="C677" s="299" t="s">
        <v>158</v>
      </c>
      <c r="D677" s="299" t="s">
        <v>771</v>
      </c>
      <c r="E677" s="299"/>
      <c r="F677" s="294">
        <f>F678+F681</f>
        <v>2875</v>
      </c>
      <c r="G677" s="344"/>
      <c r="H677" s="344"/>
      <c r="I677" s="344"/>
      <c r="J677" s="344"/>
      <c r="K677" s="344"/>
    </row>
    <row r="678" spans="1:11" s="128" customFormat="1" ht="34.5" hidden="1" customHeight="1" x14ac:dyDescent="0.25">
      <c r="A678" s="345" t="s">
        <v>198</v>
      </c>
      <c r="B678" s="346" t="s">
        <v>187</v>
      </c>
      <c r="C678" s="346" t="s">
        <v>158</v>
      </c>
      <c r="D678" s="346" t="s">
        <v>784</v>
      </c>
      <c r="E678" s="346"/>
      <c r="F678" s="295">
        <f>F679</f>
        <v>0</v>
      </c>
      <c r="G678" s="344"/>
      <c r="H678" s="344"/>
      <c r="I678" s="344"/>
      <c r="J678" s="344"/>
      <c r="K678" s="344"/>
    </row>
    <row r="679" spans="1:11" s="128" customFormat="1" ht="41.25" hidden="1" customHeight="1" x14ac:dyDescent="0.25">
      <c r="A679" s="345" t="s">
        <v>191</v>
      </c>
      <c r="B679" s="346" t="s">
        <v>187</v>
      </c>
      <c r="C679" s="346" t="s">
        <v>158</v>
      </c>
      <c r="D679" s="346" t="s">
        <v>784</v>
      </c>
      <c r="E679" s="346" t="s">
        <v>192</v>
      </c>
      <c r="F679" s="295">
        <f>F680</f>
        <v>0</v>
      </c>
      <c r="G679" s="344"/>
      <c r="H679" s="344"/>
      <c r="I679" s="344"/>
      <c r="J679" s="344"/>
      <c r="K679" s="344"/>
    </row>
    <row r="680" spans="1:11" s="128" customFormat="1" ht="15" hidden="1" customHeight="1" x14ac:dyDescent="0.25">
      <c r="A680" s="345" t="s">
        <v>193</v>
      </c>
      <c r="B680" s="346" t="s">
        <v>187</v>
      </c>
      <c r="C680" s="346" t="s">
        <v>158</v>
      </c>
      <c r="D680" s="346" t="s">
        <v>784</v>
      </c>
      <c r="E680" s="346" t="s">
        <v>194</v>
      </c>
      <c r="F680" s="295">
        <f>'Пр.4 ведом.22'!G791</f>
        <v>0</v>
      </c>
      <c r="G680" s="344"/>
      <c r="H680" s="344"/>
      <c r="I680" s="344"/>
      <c r="J680" s="344"/>
      <c r="K680" s="344"/>
    </row>
    <row r="681" spans="1:11" s="128" customFormat="1" ht="36.75" customHeight="1" x14ac:dyDescent="0.25">
      <c r="A681" s="36" t="s">
        <v>342</v>
      </c>
      <c r="B681" s="346" t="s">
        <v>187</v>
      </c>
      <c r="C681" s="346" t="s">
        <v>158</v>
      </c>
      <c r="D681" s="346" t="s">
        <v>772</v>
      </c>
      <c r="E681" s="346"/>
      <c r="F681" s="295">
        <f>F682</f>
        <v>2875</v>
      </c>
      <c r="G681" s="344"/>
      <c r="H681" s="344"/>
      <c r="I681" s="344"/>
      <c r="J681" s="344"/>
      <c r="K681" s="344"/>
    </row>
    <row r="682" spans="1:11" s="128" customFormat="1" ht="45.75" customHeight="1" x14ac:dyDescent="0.25">
      <c r="A682" s="20" t="s">
        <v>191</v>
      </c>
      <c r="B682" s="346" t="s">
        <v>187</v>
      </c>
      <c r="C682" s="346" t="s">
        <v>158</v>
      </c>
      <c r="D682" s="346" t="s">
        <v>772</v>
      </c>
      <c r="E682" s="346" t="s">
        <v>192</v>
      </c>
      <c r="F682" s="295">
        <f>F683</f>
        <v>2875</v>
      </c>
      <c r="G682" s="344"/>
      <c r="H682" s="344"/>
      <c r="I682" s="344"/>
      <c r="J682" s="344"/>
      <c r="K682" s="344"/>
    </row>
    <row r="683" spans="1:11" s="128" customFormat="1" ht="15" customHeight="1" x14ac:dyDescent="0.25">
      <c r="A683" s="108" t="s">
        <v>193</v>
      </c>
      <c r="B683" s="346" t="s">
        <v>187</v>
      </c>
      <c r="C683" s="346" t="s">
        <v>158</v>
      </c>
      <c r="D683" s="346" t="s">
        <v>772</v>
      </c>
      <c r="E683" s="346" t="s">
        <v>194</v>
      </c>
      <c r="F683" s="295">
        <f>'Пр.4 ведом.22'!G794</f>
        <v>2875</v>
      </c>
      <c r="G683" s="344"/>
      <c r="H683" s="344"/>
      <c r="I683" s="344"/>
      <c r="J683" s="344"/>
      <c r="K683" s="344"/>
    </row>
    <row r="684" spans="1:11" ht="35.450000000000003" customHeight="1" x14ac:dyDescent="0.25">
      <c r="A684" s="298" t="s">
        <v>1117</v>
      </c>
      <c r="B684" s="299" t="s">
        <v>187</v>
      </c>
      <c r="C684" s="299" t="s">
        <v>158</v>
      </c>
      <c r="D684" s="299" t="s">
        <v>774</v>
      </c>
      <c r="E684" s="299"/>
      <c r="F684" s="294">
        <f>F685</f>
        <v>4650.8139999999994</v>
      </c>
    </row>
    <row r="685" spans="1:11" s="128" customFormat="1" ht="31.5" x14ac:dyDescent="0.25">
      <c r="A685" s="345" t="s">
        <v>1118</v>
      </c>
      <c r="B685" s="346" t="s">
        <v>187</v>
      </c>
      <c r="C685" s="346" t="s">
        <v>158</v>
      </c>
      <c r="D685" s="346" t="s">
        <v>1119</v>
      </c>
      <c r="E685" s="346"/>
      <c r="F685" s="295">
        <f>F686</f>
        <v>4650.8139999999994</v>
      </c>
      <c r="G685" s="344"/>
      <c r="H685" s="344"/>
      <c r="I685" s="344"/>
      <c r="J685" s="344"/>
      <c r="K685" s="344"/>
    </row>
    <row r="686" spans="1:11" s="128" customFormat="1" ht="38.25" customHeight="1" x14ac:dyDescent="0.25">
      <c r="A686" s="345" t="s">
        <v>191</v>
      </c>
      <c r="B686" s="346" t="s">
        <v>187</v>
      </c>
      <c r="C686" s="346" t="s">
        <v>158</v>
      </c>
      <c r="D686" s="346" t="s">
        <v>1119</v>
      </c>
      <c r="E686" s="346" t="s">
        <v>192</v>
      </c>
      <c r="F686" s="295">
        <f>F687</f>
        <v>4650.8139999999994</v>
      </c>
      <c r="G686" s="344"/>
      <c r="H686" s="344"/>
      <c r="I686" s="344"/>
      <c r="J686" s="344"/>
      <c r="K686" s="344"/>
    </row>
    <row r="687" spans="1:11" s="128" customFormat="1" ht="14.25" customHeight="1" x14ac:dyDescent="0.25">
      <c r="A687" s="345" t="s">
        <v>193</v>
      </c>
      <c r="B687" s="346" t="s">
        <v>187</v>
      </c>
      <c r="C687" s="346" t="s">
        <v>158</v>
      </c>
      <c r="D687" s="346" t="s">
        <v>1119</v>
      </c>
      <c r="E687" s="346" t="s">
        <v>194</v>
      </c>
      <c r="F687" s="295">
        <f>'Пр.4 ведом.22'!G798</f>
        <v>4650.8139999999994</v>
      </c>
      <c r="G687" s="344"/>
      <c r="H687" s="344"/>
      <c r="I687" s="344"/>
      <c r="J687" s="344"/>
      <c r="K687" s="344"/>
    </row>
    <row r="688" spans="1:11" ht="32.25" hidden="1" customHeight="1" x14ac:dyDescent="0.25">
      <c r="A688" s="298" t="s">
        <v>506</v>
      </c>
      <c r="B688" s="299" t="s">
        <v>187</v>
      </c>
      <c r="C688" s="299" t="s">
        <v>158</v>
      </c>
      <c r="D688" s="299" t="s">
        <v>782</v>
      </c>
      <c r="E688" s="299"/>
      <c r="F688" s="294">
        <f>F689</f>
        <v>0</v>
      </c>
    </row>
    <row r="689" spans="1:11" ht="48.75" hidden="1" customHeight="1" x14ac:dyDescent="0.25">
      <c r="A689" s="345" t="s">
        <v>241</v>
      </c>
      <c r="B689" s="346" t="s">
        <v>187</v>
      </c>
      <c r="C689" s="346" t="s">
        <v>158</v>
      </c>
      <c r="D689" s="346" t="s">
        <v>783</v>
      </c>
      <c r="E689" s="346"/>
      <c r="F689" s="295">
        <f>F690</f>
        <v>0</v>
      </c>
    </row>
    <row r="690" spans="1:11" ht="37.5" hidden="1" customHeight="1" x14ac:dyDescent="0.25">
      <c r="A690" s="345" t="s">
        <v>191</v>
      </c>
      <c r="B690" s="346" t="s">
        <v>187</v>
      </c>
      <c r="C690" s="346" t="s">
        <v>158</v>
      </c>
      <c r="D690" s="346" t="s">
        <v>783</v>
      </c>
      <c r="E690" s="346" t="s">
        <v>192</v>
      </c>
      <c r="F690" s="295">
        <f>F691</f>
        <v>0</v>
      </c>
    </row>
    <row r="691" spans="1:11" ht="15" hidden="1" customHeight="1" x14ac:dyDescent="0.25">
      <c r="A691" s="345" t="s">
        <v>193</v>
      </c>
      <c r="B691" s="346" t="s">
        <v>187</v>
      </c>
      <c r="C691" s="346" t="s">
        <v>158</v>
      </c>
      <c r="D691" s="346" t="s">
        <v>783</v>
      </c>
      <c r="E691" s="346" t="s">
        <v>194</v>
      </c>
      <c r="F691" s="295">
        <f>'Пр.4 ведом.22'!G802</f>
        <v>0</v>
      </c>
    </row>
    <row r="692" spans="1:11" ht="31.7" hidden="1" customHeight="1" x14ac:dyDescent="0.25">
      <c r="A692" s="138" t="s">
        <v>507</v>
      </c>
      <c r="B692" s="299" t="s">
        <v>187</v>
      </c>
      <c r="C692" s="299" t="s">
        <v>158</v>
      </c>
      <c r="D692" s="299" t="s">
        <v>785</v>
      </c>
      <c r="E692" s="299"/>
      <c r="F692" s="294">
        <f>F693</f>
        <v>0</v>
      </c>
    </row>
    <row r="693" spans="1:11" ht="51" hidden="1" customHeight="1" x14ac:dyDescent="0.25">
      <c r="A693" s="108" t="s">
        <v>403</v>
      </c>
      <c r="B693" s="346" t="s">
        <v>187</v>
      </c>
      <c r="C693" s="346" t="s">
        <v>158</v>
      </c>
      <c r="D693" s="346" t="s">
        <v>916</v>
      </c>
      <c r="E693" s="346"/>
      <c r="F693" s="295">
        <f t="shared" ref="F693" si="71">F694</f>
        <v>0</v>
      </c>
    </row>
    <row r="694" spans="1:11" ht="33" hidden="1" customHeight="1" x14ac:dyDescent="0.25">
      <c r="A694" s="22" t="s">
        <v>191</v>
      </c>
      <c r="B694" s="346" t="s">
        <v>187</v>
      </c>
      <c r="C694" s="346" t="s">
        <v>158</v>
      </c>
      <c r="D694" s="346" t="s">
        <v>916</v>
      </c>
      <c r="E694" s="346" t="s">
        <v>192</v>
      </c>
      <c r="F694" s="295">
        <f>F695</f>
        <v>0</v>
      </c>
    </row>
    <row r="695" spans="1:11" ht="15.75" hidden="1" x14ac:dyDescent="0.25">
      <c r="A695" s="22" t="s">
        <v>193</v>
      </c>
      <c r="B695" s="346" t="s">
        <v>187</v>
      </c>
      <c r="C695" s="346" t="s">
        <v>158</v>
      </c>
      <c r="D695" s="346" t="s">
        <v>916</v>
      </c>
      <c r="E695" s="346" t="s">
        <v>194</v>
      </c>
      <c r="F695" s="295">
        <f>'Пр.4 ведом.22'!G806</f>
        <v>0</v>
      </c>
    </row>
    <row r="696" spans="1:11" s="128" customFormat="1" ht="31.5" x14ac:dyDescent="0.25">
      <c r="A696" s="195" t="s">
        <v>900</v>
      </c>
      <c r="B696" s="299" t="s">
        <v>187</v>
      </c>
      <c r="C696" s="299" t="s">
        <v>158</v>
      </c>
      <c r="D696" s="299" t="s">
        <v>899</v>
      </c>
      <c r="E696" s="299"/>
      <c r="F696" s="297">
        <f>F697</f>
        <v>5584.6</v>
      </c>
      <c r="G696" s="344"/>
      <c r="H696" s="344"/>
      <c r="I696" s="344"/>
      <c r="J696" s="344"/>
      <c r="K696" s="344"/>
    </row>
    <row r="697" spans="1:11" ht="63" x14ac:dyDescent="0.25">
      <c r="A697" s="194" t="s">
        <v>886</v>
      </c>
      <c r="B697" s="346" t="s">
        <v>187</v>
      </c>
      <c r="C697" s="346" t="s">
        <v>158</v>
      </c>
      <c r="D697" s="346" t="s">
        <v>938</v>
      </c>
      <c r="E697" s="346"/>
      <c r="F697" s="300">
        <f>F698</f>
        <v>5584.6</v>
      </c>
    </row>
    <row r="698" spans="1:11" ht="31.5" x14ac:dyDescent="0.25">
      <c r="A698" s="22" t="s">
        <v>191</v>
      </c>
      <c r="B698" s="346" t="s">
        <v>187</v>
      </c>
      <c r="C698" s="346" t="s">
        <v>158</v>
      </c>
      <c r="D698" s="346" t="s">
        <v>938</v>
      </c>
      <c r="E698" s="346" t="s">
        <v>192</v>
      </c>
      <c r="F698" s="300">
        <f>F699</f>
        <v>5584.6</v>
      </c>
    </row>
    <row r="699" spans="1:11" ht="15.75" x14ac:dyDescent="0.25">
      <c r="A699" s="22" t="s">
        <v>193</v>
      </c>
      <c r="B699" s="346" t="s">
        <v>187</v>
      </c>
      <c r="C699" s="346" t="s">
        <v>158</v>
      </c>
      <c r="D699" s="346" t="s">
        <v>938</v>
      </c>
      <c r="E699" s="346" t="s">
        <v>194</v>
      </c>
      <c r="F699" s="300">
        <f>'Пр.4 ведом.22'!G810</f>
        <v>5584.6</v>
      </c>
    </row>
    <row r="700" spans="1:11" s="128" customFormat="1" ht="31.5" hidden="1" x14ac:dyDescent="0.25">
      <c r="A700" s="195" t="s">
        <v>918</v>
      </c>
      <c r="B700" s="299" t="s">
        <v>187</v>
      </c>
      <c r="C700" s="299" t="s">
        <v>158</v>
      </c>
      <c r="D700" s="299" t="s">
        <v>906</v>
      </c>
      <c r="E700" s="299"/>
      <c r="F700" s="297">
        <f>F701</f>
        <v>0</v>
      </c>
      <c r="G700" s="344"/>
      <c r="H700" s="344"/>
      <c r="I700" s="344"/>
      <c r="J700" s="344"/>
      <c r="K700" s="344"/>
    </row>
    <row r="701" spans="1:11" s="128" customFormat="1" ht="31.5" hidden="1" x14ac:dyDescent="0.25">
      <c r="A701" s="194" t="s">
        <v>907</v>
      </c>
      <c r="B701" s="346" t="s">
        <v>187</v>
      </c>
      <c r="C701" s="346" t="s">
        <v>158</v>
      </c>
      <c r="D701" s="346" t="s">
        <v>909</v>
      </c>
      <c r="E701" s="346"/>
      <c r="F701" s="300">
        <f>F702</f>
        <v>0</v>
      </c>
      <c r="G701" s="344"/>
      <c r="H701" s="344"/>
      <c r="I701" s="344"/>
      <c r="J701" s="344"/>
      <c r="K701" s="344"/>
    </row>
    <row r="702" spans="1:11" s="128" customFormat="1" ht="31.5" hidden="1" x14ac:dyDescent="0.25">
      <c r="A702" s="22" t="s">
        <v>191</v>
      </c>
      <c r="B702" s="346" t="s">
        <v>187</v>
      </c>
      <c r="C702" s="346" t="s">
        <v>158</v>
      </c>
      <c r="D702" s="346" t="s">
        <v>909</v>
      </c>
      <c r="E702" s="346" t="s">
        <v>192</v>
      </c>
      <c r="F702" s="300">
        <f>F703</f>
        <v>0</v>
      </c>
      <c r="G702" s="344"/>
      <c r="H702" s="344"/>
      <c r="I702" s="344"/>
      <c r="J702" s="344"/>
      <c r="K702" s="344"/>
    </row>
    <row r="703" spans="1:11" s="128" customFormat="1" ht="15.75" hidden="1" x14ac:dyDescent="0.25">
      <c r="A703" s="22" t="s">
        <v>193</v>
      </c>
      <c r="B703" s="346" t="s">
        <v>187</v>
      </c>
      <c r="C703" s="346" t="s">
        <v>158</v>
      </c>
      <c r="D703" s="346" t="s">
        <v>909</v>
      </c>
      <c r="E703" s="346" t="s">
        <v>194</v>
      </c>
      <c r="F703" s="300">
        <f>'Пр.4 ведом.22'!G814</f>
        <v>0</v>
      </c>
      <c r="G703" s="344"/>
      <c r="H703" s="344"/>
      <c r="I703" s="344"/>
      <c r="J703" s="344"/>
      <c r="K703" s="344"/>
    </row>
    <row r="704" spans="1:11" s="280" customFormat="1" ht="47.25" hidden="1" x14ac:dyDescent="0.25">
      <c r="A704" s="195" t="s">
        <v>1022</v>
      </c>
      <c r="B704" s="299" t="s">
        <v>187</v>
      </c>
      <c r="C704" s="299" t="s">
        <v>158</v>
      </c>
      <c r="D704" s="299" t="s">
        <v>1024</v>
      </c>
      <c r="E704" s="299"/>
      <c r="F704" s="297">
        <f>F705</f>
        <v>0</v>
      </c>
      <c r="G704" s="344"/>
      <c r="H704" s="344"/>
      <c r="I704" s="344"/>
      <c r="J704" s="344"/>
      <c r="K704" s="344"/>
    </row>
    <row r="705" spans="1:11" s="280" customFormat="1" ht="47.25" hidden="1" x14ac:dyDescent="0.25">
      <c r="A705" s="194" t="s">
        <v>243</v>
      </c>
      <c r="B705" s="346" t="s">
        <v>187</v>
      </c>
      <c r="C705" s="346" t="s">
        <v>158</v>
      </c>
      <c r="D705" s="346" t="s">
        <v>1024</v>
      </c>
      <c r="E705" s="346"/>
      <c r="F705" s="300">
        <f>F706</f>
        <v>0</v>
      </c>
      <c r="G705" s="344"/>
      <c r="H705" s="344"/>
      <c r="I705" s="344"/>
      <c r="J705" s="344"/>
      <c r="K705" s="344"/>
    </row>
    <row r="706" spans="1:11" s="280" customFormat="1" ht="31.5" hidden="1" x14ac:dyDescent="0.25">
      <c r="A706" s="22" t="s">
        <v>191</v>
      </c>
      <c r="B706" s="346" t="s">
        <v>187</v>
      </c>
      <c r="C706" s="346" t="s">
        <v>158</v>
      </c>
      <c r="D706" s="346" t="s">
        <v>1024</v>
      </c>
      <c r="E706" s="346" t="s">
        <v>192</v>
      </c>
      <c r="F706" s="300">
        <f>F707</f>
        <v>0</v>
      </c>
      <c r="G706" s="344"/>
      <c r="H706" s="344"/>
      <c r="I706" s="344"/>
      <c r="J706" s="344"/>
      <c r="K706" s="344"/>
    </row>
    <row r="707" spans="1:11" s="280" customFormat="1" ht="15.75" hidden="1" x14ac:dyDescent="0.25">
      <c r="A707" s="22" t="s">
        <v>193</v>
      </c>
      <c r="B707" s="346" t="s">
        <v>187</v>
      </c>
      <c r="C707" s="346" t="s">
        <v>158</v>
      </c>
      <c r="D707" s="346" t="s">
        <v>1024</v>
      </c>
      <c r="E707" s="346" t="s">
        <v>194</v>
      </c>
      <c r="F707" s="300">
        <f>'Пр.4 ведом.22'!G818</f>
        <v>0</v>
      </c>
      <c r="G707" s="344"/>
      <c r="H707" s="344"/>
      <c r="I707" s="344"/>
      <c r="J707" s="344"/>
      <c r="K707" s="344"/>
    </row>
    <row r="708" spans="1:11" s="280" customFormat="1" ht="31.5" hidden="1" x14ac:dyDescent="0.25">
      <c r="A708" s="195" t="s">
        <v>1034</v>
      </c>
      <c r="B708" s="299" t="s">
        <v>187</v>
      </c>
      <c r="C708" s="299" t="s">
        <v>158</v>
      </c>
      <c r="D708" s="299" t="s">
        <v>1036</v>
      </c>
      <c r="E708" s="299"/>
      <c r="F708" s="297">
        <f>F709</f>
        <v>0</v>
      </c>
      <c r="G708" s="344"/>
      <c r="H708" s="344"/>
      <c r="I708" s="344"/>
      <c r="J708" s="344"/>
      <c r="K708" s="344"/>
    </row>
    <row r="709" spans="1:11" s="280" customFormat="1" ht="31.5" hidden="1" x14ac:dyDescent="0.25">
      <c r="A709" s="194" t="s">
        <v>1035</v>
      </c>
      <c r="B709" s="346" t="s">
        <v>187</v>
      </c>
      <c r="C709" s="346" t="s">
        <v>158</v>
      </c>
      <c r="D709" s="346" t="s">
        <v>1037</v>
      </c>
      <c r="E709" s="346"/>
      <c r="F709" s="300">
        <f>F710</f>
        <v>0</v>
      </c>
      <c r="G709" s="344"/>
      <c r="H709" s="344"/>
      <c r="I709" s="344"/>
      <c r="J709" s="344"/>
      <c r="K709" s="344"/>
    </row>
    <row r="710" spans="1:11" s="280" customFormat="1" ht="31.5" hidden="1" x14ac:dyDescent="0.25">
      <c r="A710" s="22" t="s">
        <v>191</v>
      </c>
      <c r="B710" s="346" t="s">
        <v>187</v>
      </c>
      <c r="C710" s="346" t="s">
        <v>158</v>
      </c>
      <c r="D710" s="346" t="s">
        <v>1037</v>
      </c>
      <c r="E710" s="346" t="s">
        <v>192</v>
      </c>
      <c r="F710" s="300">
        <f>F711</f>
        <v>0</v>
      </c>
      <c r="G710" s="344"/>
      <c r="H710" s="344"/>
      <c r="I710" s="344"/>
      <c r="J710" s="344"/>
      <c r="K710" s="344"/>
    </row>
    <row r="711" spans="1:11" s="280" customFormat="1" ht="15.75" hidden="1" x14ac:dyDescent="0.25">
      <c r="A711" s="22" t="s">
        <v>193</v>
      </c>
      <c r="B711" s="346" t="s">
        <v>187</v>
      </c>
      <c r="C711" s="346" t="s">
        <v>158</v>
      </c>
      <c r="D711" s="346" t="s">
        <v>1037</v>
      </c>
      <c r="E711" s="346" t="s">
        <v>194</v>
      </c>
      <c r="F711" s="300">
        <f>'Пр.4 ведом.22'!G822</f>
        <v>0</v>
      </c>
      <c r="G711" s="344"/>
      <c r="H711" s="344"/>
      <c r="I711" s="344"/>
      <c r="J711" s="344"/>
      <c r="K711" s="344"/>
    </row>
    <row r="712" spans="1:11" s="128" customFormat="1" ht="47.25" hidden="1" x14ac:dyDescent="0.25">
      <c r="A712" s="138" t="s">
        <v>720</v>
      </c>
      <c r="B712" s="299" t="s">
        <v>187</v>
      </c>
      <c r="C712" s="299" t="s">
        <v>158</v>
      </c>
      <c r="D712" s="299" t="s">
        <v>829</v>
      </c>
      <c r="E712" s="299"/>
      <c r="F712" s="297">
        <f>F713</f>
        <v>0</v>
      </c>
      <c r="G712" s="344"/>
      <c r="H712" s="344"/>
      <c r="I712" s="344"/>
      <c r="J712" s="344"/>
      <c r="K712" s="344"/>
    </row>
    <row r="713" spans="1:11" s="128" customFormat="1" ht="66.599999999999994" hidden="1" customHeight="1" x14ac:dyDescent="0.25">
      <c r="A713" s="108" t="s">
        <v>979</v>
      </c>
      <c r="B713" s="346" t="s">
        <v>187</v>
      </c>
      <c r="C713" s="346" t="s">
        <v>158</v>
      </c>
      <c r="D713" s="346" t="s">
        <v>830</v>
      </c>
      <c r="E713" s="346"/>
      <c r="F713" s="300">
        <f>F714</f>
        <v>0</v>
      </c>
      <c r="G713" s="344"/>
      <c r="H713" s="344"/>
      <c r="I713" s="344"/>
      <c r="J713" s="344"/>
      <c r="K713" s="344"/>
    </row>
    <row r="714" spans="1:11" s="128" customFormat="1" ht="31.5" hidden="1" x14ac:dyDescent="0.25">
      <c r="A714" s="22" t="s">
        <v>191</v>
      </c>
      <c r="B714" s="346" t="s">
        <v>187</v>
      </c>
      <c r="C714" s="346" t="s">
        <v>158</v>
      </c>
      <c r="D714" s="346" t="s">
        <v>830</v>
      </c>
      <c r="E714" s="346" t="s">
        <v>192</v>
      </c>
      <c r="F714" s="300">
        <f>F715</f>
        <v>0</v>
      </c>
      <c r="G714" s="344"/>
      <c r="H714" s="344"/>
      <c r="I714" s="344"/>
      <c r="J714" s="344"/>
      <c r="K714" s="344"/>
    </row>
    <row r="715" spans="1:11" s="128" customFormat="1" ht="15.75" hidden="1" x14ac:dyDescent="0.25">
      <c r="A715" s="22" t="s">
        <v>193</v>
      </c>
      <c r="B715" s="346" t="s">
        <v>187</v>
      </c>
      <c r="C715" s="346" t="s">
        <v>158</v>
      </c>
      <c r="D715" s="346" t="s">
        <v>830</v>
      </c>
      <c r="E715" s="346" t="s">
        <v>194</v>
      </c>
      <c r="F715" s="300">
        <f>'Пр.4 ведом.22'!G826</f>
        <v>0</v>
      </c>
      <c r="G715" s="344"/>
      <c r="H715" s="344"/>
      <c r="I715" s="344"/>
      <c r="J715" s="344"/>
      <c r="K715" s="344"/>
    </row>
    <row r="716" spans="1:11" s="128" customFormat="1" ht="31.5" hidden="1" x14ac:dyDescent="0.25">
      <c r="A716" s="24" t="s">
        <v>952</v>
      </c>
      <c r="B716" s="299" t="s">
        <v>187</v>
      </c>
      <c r="C716" s="299" t="s">
        <v>158</v>
      </c>
      <c r="D716" s="299" t="s">
        <v>953</v>
      </c>
      <c r="E716" s="346"/>
      <c r="F716" s="297">
        <f>F717</f>
        <v>0</v>
      </c>
      <c r="G716" s="344"/>
      <c r="H716" s="344"/>
      <c r="I716" s="344"/>
      <c r="J716" s="344"/>
      <c r="K716" s="344"/>
    </row>
    <row r="717" spans="1:11" s="128" customFormat="1" ht="51" hidden="1" customHeight="1" x14ac:dyDescent="0.25">
      <c r="A717" s="22" t="s">
        <v>980</v>
      </c>
      <c r="B717" s="346" t="s">
        <v>187</v>
      </c>
      <c r="C717" s="346" t="s">
        <v>158</v>
      </c>
      <c r="D717" s="346" t="s">
        <v>954</v>
      </c>
      <c r="E717" s="346"/>
      <c r="F717" s="300">
        <f>F718</f>
        <v>0</v>
      </c>
      <c r="G717" s="344"/>
      <c r="H717" s="344"/>
      <c r="I717" s="344"/>
      <c r="J717" s="344"/>
      <c r="K717" s="344"/>
    </row>
    <row r="718" spans="1:11" s="128" customFormat="1" ht="31.5" hidden="1" x14ac:dyDescent="0.25">
      <c r="A718" s="22" t="s">
        <v>191</v>
      </c>
      <c r="B718" s="346" t="s">
        <v>187</v>
      </c>
      <c r="C718" s="346" t="s">
        <v>158</v>
      </c>
      <c r="D718" s="346" t="s">
        <v>954</v>
      </c>
      <c r="E718" s="346" t="s">
        <v>192</v>
      </c>
      <c r="F718" s="300">
        <f>F719</f>
        <v>0</v>
      </c>
      <c r="G718" s="344"/>
      <c r="H718" s="344"/>
      <c r="I718" s="344"/>
      <c r="J718" s="344"/>
      <c r="K718" s="344"/>
    </row>
    <row r="719" spans="1:11" s="128" customFormat="1" ht="15.75" hidden="1" x14ac:dyDescent="0.25">
      <c r="A719" s="22" t="s">
        <v>193</v>
      </c>
      <c r="B719" s="346" t="s">
        <v>187</v>
      </c>
      <c r="C719" s="346" t="s">
        <v>158</v>
      </c>
      <c r="D719" s="346" t="s">
        <v>954</v>
      </c>
      <c r="E719" s="346" t="s">
        <v>194</v>
      </c>
      <c r="F719" s="300">
        <f>'Пр.4 ведом.22'!G830</f>
        <v>0</v>
      </c>
      <c r="G719" s="344"/>
      <c r="H719" s="344"/>
      <c r="I719" s="344"/>
      <c r="J719" s="344"/>
      <c r="K719" s="344"/>
    </row>
    <row r="720" spans="1:11" s="343" customFormat="1" ht="31.5" x14ac:dyDescent="0.25">
      <c r="A720" s="24" t="s">
        <v>959</v>
      </c>
      <c r="B720" s="299" t="s">
        <v>187</v>
      </c>
      <c r="C720" s="299" t="s">
        <v>158</v>
      </c>
      <c r="D720" s="299" t="s">
        <v>957</v>
      </c>
      <c r="E720" s="299"/>
      <c r="F720" s="294">
        <f>F721</f>
        <v>1804</v>
      </c>
      <c r="G720" s="344"/>
      <c r="H720" s="344"/>
      <c r="I720" s="344"/>
      <c r="J720" s="344"/>
      <c r="K720" s="344"/>
    </row>
    <row r="721" spans="1:12" s="343" customFormat="1" ht="47.25" x14ac:dyDescent="0.25">
      <c r="A721" s="22" t="s">
        <v>1278</v>
      </c>
      <c r="B721" s="346" t="s">
        <v>187</v>
      </c>
      <c r="C721" s="346" t="s">
        <v>158</v>
      </c>
      <c r="D721" s="346" t="s">
        <v>958</v>
      </c>
      <c r="E721" s="346"/>
      <c r="F721" s="295">
        <f>F722</f>
        <v>1804</v>
      </c>
      <c r="G721" s="344"/>
      <c r="H721" s="344"/>
      <c r="I721" s="344"/>
      <c r="J721" s="344"/>
      <c r="K721" s="344"/>
    </row>
    <row r="722" spans="1:12" s="343" customFormat="1" ht="31.5" x14ac:dyDescent="0.25">
      <c r="A722" s="22" t="s">
        <v>191</v>
      </c>
      <c r="B722" s="346" t="s">
        <v>187</v>
      </c>
      <c r="C722" s="346" t="s">
        <v>158</v>
      </c>
      <c r="D722" s="346" t="s">
        <v>958</v>
      </c>
      <c r="E722" s="346" t="s">
        <v>192</v>
      </c>
      <c r="F722" s="295">
        <f>F723</f>
        <v>1804</v>
      </c>
      <c r="G722" s="344"/>
      <c r="H722" s="344"/>
      <c r="I722" s="344"/>
      <c r="J722" s="344"/>
      <c r="K722" s="344"/>
    </row>
    <row r="723" spans="1:12" s="343" customFormat="1" ht="15.75" x14ac:dyDescent="0.25">
      <c r="A723" s="22" t="s">
        <v>193</v>
      </c>
      <c r="B723" s="346" t="s">
        <v>187</v>
      </c>
      <c r="C723" s="346" t="s">
        <v>158</v>
      </c>
      <c r="D723" s="346" t="s">
        <v>958</v>
      </c>
      <c r="E723" s="346" t="s">
        <v>194</v>
      </c>
      <c r="F723" s="295">
        <f>'Пр.4 ведом.22'!G834</f>
        <v>1804</v>
      </c>
      <c r="G723" s="344"/>
      <c r="H723" s="344"/>
      <c r="I723" s="344"/>
      <c r="J723" s="344"/>
      <c r="K723" s="344"/>
    </row>
    <row r="724" spans="1:12" s="343" customFormat="1" ht="47.25" x14ac:dyDescent="0.25">
      <c r="A724" s="24" t="s">
        <v>860</v>
      </c>
      <c r="B724" s="299" t="s">
        <v>187</v>
      </c>
      <c r="C724" s="299" t="s">
        <v>158</v>
      </c>
      <c r="D724" s="299" t="s">
        <v>206</v>
      </c>
      <c r="E724" s="299"/>
      <c r="F724" s="294">
        <f>F725</f>
        <v>60</v>
      </c>
      <c r="G724" s="344"/>
      <c r="H724" s="344"/>
      <c r="I724" s="344"/>
      <c r="J724" s="344"/>
      <c r="K724" s="344"/>
    </row>
    <row r="725" spans="1:12" s="343" customFormat="1" ht="63" x14ac:dyDescent="0.25">
      <c r="A725" s="24" t="s">
        <v>585</v>
      </c>
      <c r="B725" s="299" t="s">
        <v>187</v>
      </c>
      <c r="C725" s="299" t="s">
        <v>158</v>
      </c>
      <c r="D725" s="299" t="s">
        <v>502</v>
      </c>
      <c r="E725" s="299"/>
      <c r="F725" s="294">
        <f>F726</f>
        <v>60</v>
      </c>
      <c r="G725" s="344"/>
      <c r="H725" s="344"/>
      <c r="I725" s="344"/>
      <c r="J725" s="344"/>
      <c r="K725" s="344"/>
    </row>
    <row r="726" spans="1:12" s="343" customFormat="1" ht="47.25" x14ac:dyDescent="0.25">
      <c r="A726" s="22" t="s">
        <v>633</v>
      </c>
      <c r="B726" s="346" t="s">
        <v>187</v>
      </c>
      <c r="C726" s="346" t="s">
        <v>158</v>
      </c>
      <c r="D726" s="346" t="s">
        <v>503</v>
      </c>
      <c r="E726" s="346"/>
      <c r="F726" s="295">
        <f>F727</f>
        <v>60</v>
      </c>
      <c r="G726" s="344"/>
      <c r="H726" s="344"/>
      <c r="I726" s="344"/>
      <c r="J726" s="344"/>
      <c r="K726" s="344"/>
    </row>
    <row r="727" spans="1:12" s="343" customFormat="1" ht="31.5" x14ac:dyDescent="0.25">
      <c r="A727" s="22" t="s">
        <v>191</v>
      </c>
      <c r="B727" s="346" t="s">
        <v>187</v>
      </c>
      <c r="C727" s="346" t="s">
        <v>158</v>
      </c>
      <c r="D727" s="346" t="s">
        <v>503</v>
      </c>
      <c r="E727" s="346" t="s">
        <v>192</v>
      </c>
      <c r="F727" s="295">
        <f>F728</f>
        <v>60</v>
      </c>
      <c r="G727" s="344"/>
      <c r="H727" s="344"/>
      <c r="I727" s="344"/>
      <c r="J727" s="344"/>
      <c r="K727" s="344"/>
    </row>
    <row r="728" spans="1:12" s="343" customFormat="1" ht="15.75" x14ac:dyDescent="0.25">
      <c r="A728" s="22" t="s">
        <v>193</v>
      </c>
      <c r="B728" s="346" t="s">
        <v>187</v>
      </c>
      <c r="C728" s="346" t="s">
        <v>158</v>
      </c>
      <c r="D728" s="346" t="s">
        <v>503</v>
      </c>
      <c r="E728" s="346" t="s">
        <v>194</v>
      </c>
      <c r="F728" s="295">
        <f>'Пр.4 ведом.22'!G839</f>
        <v>60</v>
      </c>
      <c r="G728" s="344"/>
      <c r="H728" s="344"/>
      <c r="I728" s="344"/>
      <c r="J728" s="344"/>
      <c r="K728" s="344"/>
    </row>
    <row r="729" spans="1:12" ht="47.25" x14ac:dyDescent="0.25">
      <c r="A729" s="340" t="s">
        <v>856</v>
      </c>
      <c r="B729" s="299" t="s">
        <v>187</v>
      </c>
      <c r="C729" s="299" t="s">
        <v>158</v>
      </c>
      <c r="D729" s="299" t="s">
        <v>339</v>
      </c>
      <c r="E729" s="304"/>
      <c r="F729" s="294">
        <f t="shared" ref="F729:F730" si="72">F730</f>
        <v>929.91600000000005</v>
      </c>
    </row>
    <row r="730" spans="1:12" ht="47.25" x14ac:dyDescent="0.25">
      <c r="A730" s="340" t="s">
        <v>461</v>
      </c>
      <c r="B730" s="299" t="s">
        <v>187</v>
      </c>
      <c r="C730" s="299" t="s">
        <v>158</v>
      </c>
      <c r="D730" s="299" t="s">
        <v>459</v>
      </c>
      <c r="E730" s="304"/>
      <c r="F730" s="294">
        <f t="shared" si="72"/>
        <v>929.91600000000005</v>
      </c>
    </row>
    <row r="731" spans="1:12" ht="47.25" x14ac:dyDescent="0.25">
      <c r="A731" s="67" t="s">
        <v>357</v>
      </c>
      <c r="B731" s="346" t="s">
        <v>187</v>
      </c>
      <c r="C731" s="346" t="s">
        <v>158</v>
      </c>
      <c r="D731" s="346" t="s">
        <v>504</v>
      </c>
      <c r="E731" s="301"/>
      <c r="F731" s="295">
        <f>F732</f>
        <v>929.91600000000005</v>
      </c>
    </row>
    <row r="732" spans="1:12" ht="36.75" customHeight="1" x14ac:dyDescent="0.25">
      <c r="A732" s="20" t="s">
        <v>191</v>
      </c>
      <c r="B732" s="346" t="s">
        <v>187</v>
      </c>
      <c r="C732" s="346" t="s">
        <v>158</v>
      </c>
      <c r="D732" s="346" t="s">
        <v>504</v>
      </c>
      <c r="E732" s="301" t="s">
        <v>192</v>
      </c>
      <c r="F732" s="295">
        <f t="shared" ref="F732" si="73">F733</f>
        <v>929.91600000000005</v>
      </c>
    </row>
    <row r="733" spans="1:12" ht="15.75" x14ac:dyDescent="0.25">
      <c r="A733" s="108" t="s">
        <v>193</v>
      </c>
      <c r="B733" s="346" t="s">
        <v>187</v>
      </c>
      <c r="C733" s="346" t="s">
        <v>158</v>
      </c>
      <c r="D733" s="346" t="s">
        <v>504</v>
      </c>
      <c r="E733" s="301" t="s">
        <v>194</v>
      </c>
      <c r="F733" s="295">
        <f>'Пр.4 ведом.22'!G844</f>
        <v>929.91600000000005</v>
      </c>
    </row>
    <row r="734" spans="1:12" ht="15.75" x14ac:dyDescent="0.25">
      <c r="A734" s="340" t="s">
        <v>188</v>
      </c>
      <c r="B734" s="6" t="s">
        <v>187</v>
      </c>
      <c r="C734" s="6" t="s">
        <v>159</v>
      </c>
      <c r="D734" s="299"/>
      <c r="E734" s="6"/>
      <c r="F734" s="294">
        <f>F735+F762+F799+F794</f>
        <v>62337.460999999996</v>
      </c>
    </row>
    <row r="735" spans="1:12" ht="39.75" customHeight="1" x14ac:dyDescent="0.25">
      <c r="A735" s="298" t="s">
        <v>861</v>
      </c>
      <c r="B735" s="299" t="s">
        <v>187</v>
      </c>
      <c r="C735" s="299" t="s">
        <v>159</v>
      </c>
      <c r="D735" s="299" t="s">
        <v>237</v>
      </c>
      <c r="E735" s="299"/>
      <c r="F735" s="294">
        <f>F736+F743+F754+F758</f>
        <v>40776.480000000003</v>
      </c>
      <c r="G735" s="71"/>
      <c r="L735" s="15"/>
    </row>
    <row r="736" spans="1:12" ht="31.5" x14ac:dyDescent="0.25">
      <c r="A736" s="298" t="s">
        <v>505</v>
      </c>
      <c r="B736" s="299" t="s">
        <v>187</v>
      </c>
      <c r="C736" s="299" t="s">
        <v>159</v>
      </c>
      <c r="D736" s="299" t="s">
        <v>764</v>
      </c>
      <c r="E736" s="299"/>
      <c r="F736" s="294">
        <f>F737+F740</f>
        <v>37028.080000000002</v>
      </c>
    </row>
    <row r="737" spans="1:11" ht="47.25" x14ac:dyDescent="0.25">
      <c r="A737" s="345" t="s">
        <v>190</v>
      </c>
      <c r="B737" s="346" t="s">
        <v>187</v>
      </c>
      <c r="C737" s="346" t="s">
        <v>159</v>
      </c>
      <c r="D737" s="346" t="s">
        <v>786</v>
      </c>
      <c r="E737" s="346"/>
      <c r="F737" s="295">
        <f t="shared" ref="F737" si="74">F738</f>
        <v>37028.080000000002</v>
      </c>
    </row>
    <row r="738" spans="1:11" ht="40.700000000000003" customHeight="1" x14ac:dyDescent="0.25">
      <c r="A738" s="345" t="s">
        <v>191</v>
      </c>
      <c r="B738" s="346" t="s">
        <v>187</v>
      </c>
      <c r="C738" s="346" t="s">
        <v>159</v>
      </c>
      <c r="D738" s="346" t="s">
        <v>786</v>
      </c>
      <c r="E738" s="346" t="s">
        <v>192</v>
      </c>
      <c r="F738" s="295">
        <f>'Пр.4 ведом.22'!G850</f>
        <v>37028.080000000002</v>
      </c>
    </row>
    <row r="739" spans="1:11" ht="15.75" x14ac:dyDescent="0.25">
      <c r="A739" s="345" t="s">
        <v>193</v>
      </c>
      <c r="B739" s="346" t="s">
        <v>187</v>
      </c>
      <c r="C739" s="346" t="s">
        <v>159</v>
      </c>
      <c r="D739" s="346" t="s">
        <v>786</v>
      </c>
      <c r="E739" s="346" t="s">
        <v>194</v>
      </c>
      <c r="F739" s="295">
        <f>'Пр.4 ведом.22'!G850</f>
        <v>37028.080000000002</v>
      </c>
    </row>
    <row r="740" spans="1:11" s="128" customFormat="1" ht="31.5" hidden="1" x14ac:dyDescent="0.25">
      <c r="A740" s="22" t="s">
        <v>974</v>
      </c>
      <c r="B740" s="346" t="s">
        <v>187</v>
      </c>
      <c r="C740" s="346" t="s">
        <v>159</v>
      </c>
      <c r="D740" s="346" t="s">
        <v>973</v>
      </c>
      <c r="E740" s="346"/>
      <c r="F740" s="295">
        <f>F741</f>
        <v>0</v>
      </c>
      <c r="G740" s="344"/>
      <c r="H740" s="344"/>
      <c r="I740" s="344"/>
      <c r="J740" s="344"/>
      <c r="K740" s="344"/>
    </row>
    <row r="741" spans="1:11" s="128" customFormat="1" ht="31.5" hidden="1" x14ac:dyDescent="0.25">
      <c r="A741" s="345" t="s">
        <v>191</v>
      </c>
      <c r="B741" s="346" t="s">
        <v>187</v>
      </c>
      <c r="C741" s="346" t="s">
        <v>159</v>
      </c>
      <c r="D741" s="346" t="s">
        <v>973</v>
      </c>
      <c r="E741" s="346" t="s">
        <v>192</v>
      </c>
      <c r="F741" s="295">
        <f>F742</f>
        <v>0</v>
      </c>
      <c r="G741" s="344"/>
      <c r="H741" s="344"/>
      <c r="I741" s="344"/>
      <c r="J741" s="344"/>
      <c r="K741" s="344"/>
    </row>
    <row r="742" spans="1:11" s="128" customFormat="1" ht="15.75" hidden="1" x14ac:dyDescent="0.25">
      <c r="A742" s="22" t="s">
        <v>193</v>
      </c>
      <c r="B742" s="346" t="s">
        <v>187</v>
      </c>
      <c r="C742" s="346" t="s">
        <v>159</v>
      </c>
      <c r="D742" s="346" t="s">
        <v>973</v>
      </c>
      <c r="E742" s="346" t="s">
        <v>192</v>
      </c>
      <c r="F742" s="295">
        <f>'Пр.4 ведом.22'!G853</f>
        <v>0</v>
      </c>
      <c r="G742" s="344"/>
      <c r="H742" s="344"/>
      <c r="I742" s="344"/>
      <c r="J742" s="344"/>
      <c r="K742" s="344"/>
    </row>
    <row r="743" spans="1:11" ht="47.25" x14ac:dyDescent="0.25">
      <c r="A743" s="298" t="s">
        <v>469</v>
      </c>
      <c r="B743" s="299" t="s">
        <v>187</v>
      </c>
      <c r="C743" s="299" t="s">
        <v>159</v>
      </c>
      <c r="D743" s="299" t="s">
        <v>766</v>
      </c>
      <c r="E743" s="299"/>
      <c r="F743" s="294">
        <f>F744+F747</f>
        <v>1543.5</v>
      </c>
    </row>
    <row r="744" spans="1:11" s="128" customFormat="1" ht="94.5" x14ac:dyDescent="0.25">
      <c r="A744" s="22" t="s">
        <v>200</v>
      </c>
      <c r="B744" s="346" t="s">
        <v>187</v>
      </c>
      <c r="C744" s="346" t="s">
        <v>159</v>
      </c>
      <c r="D744" s="346" t="s">
        <v>885</v>
      </c>
      <c r="E744" s="346"/>
      <c r="F744" s="295">
        <f>F745</f>
        <v>1030</v>
      </c>
      <c r="G744" s="344"/>
      <c r="H744" s="344"/>
      <c r="I744" s="344"/>
      <c r="J744" s="344"/>
      <c r="K744" s="344"/>
    </row>
    <row r="745" spans="1:11" s="128" customFormat="1" ht="31.5" x14ac:dyDescent="0.25">
      <c r="A745" s="345" t="s">
        <v>191</v>
      </c>
      <c r="B745" s="346" t="s">
        <v>187</v>
      </c>
      <c r="C745" s="346" t="s">
        <v>159</v>
      </c>
      <c r="D745" s="346" t="s">
        <v>885</v>
      </c>
      <c r="E745" s="346" t="s">
        <v>192</v>
      </c>
      <c r="F745" s="295">
        <f t="shared" ref="F745" si="75">F746</f>
        <v>1030</v>
      </c>
      <c r="G745" s="344"/>
      <c r="H745" s="344"/>
      <c r="I745" s="344"/>
      <c r="J745" s="344"/>
      <c r="K745" s="344"/>
    </row>
    <row r="746" spans="1:11" s="128" customFormat="1" ht="15.75" x14ac:dyDescent="0.25">
      <c r="A746" s="345" t="s">
        <v>193</v>
      </c>
      <c r="B746" s="346" t="s">
        <v>187</v>
      </c>
      <c r="C746" s="346" t="s">
        <v>159</v>
      </c>
      <c r="D746" s="346" t="s">
        <v>885</v>
      </c>
      <c r="E746" s="346" t="s">
        <v>194</v>
      </c>
      <c r="F746" s="295">
        <f>'Пр.4 ведом.22'!G857</f>
        <v>1030</v>
      </c>
      <c r="G746" s="344"/>
      <c r="H746" s="344"/>
      <c r="I746" s="344"/>
      <c r="J746" s="344"/>
      <c r="K746" s="344"/>
    </row>
    <row r="747" spans="1:11" ht="47.25" x14ac:dyDescent="0.25">
      <c r="A747" s="345" t="s">
        <v>1165</v>
      </c>
      <c r="B747" s="346" t="s">
        <v>187</v>
      </c>
      <c r="C747" s="346" t="s">
        <v>159</v>
      </c>
      <c r="D747" s="346" t="s">
        <v>1166</v>
      </c>
      <c r="E747" s="346"/>
      <c r="F747" s="295">
        <f t="shared" ref="F747" si="76">F748</f>
        <v>513.49999999999989</v>
      </c>
    </row>
    <row r="748" spans="1:11" ht="31.5" x14ac:dyDescent="0.25">
      <c r="A748" s="345" t="s">
        <v>191</v>
      </c>
      <c r="B748" s="346" t="s">
        <v>187</v>
      </c>
      <c r="C748" s="346" t="s">
        <v>159</v>
      </c>
      <c r="D748" s="346" t="s">
        <v>1166</v>
      </c>
      <c r="E748" s="346" t="s">
        <v>192</v>
      </c>
      <c r="F748" s="295">
        <f>F749</f>
        <v>513.49999999999989</v>
      </c>
    </row>
    <row r="749" spans="1:11" ht="15.75" x14ac:dyDescent="0.25">
      <c r="A749" s="345" t="s">
        <v>193</v>
      </c>
      <c r="B749" s="346" t="s">
        <v>187</v>
      </c>
      <c r="C749" s="346" t="s">
        <v>159</v>
      </c>
      <c r="D749" s="346" t="s">
        <v>1166</v>
      </c>
      <c r="E749" s="346" t="s">
        <v>194</v>
      </c>
      <c r="F749" s="295">
        <f>'Пр.4 ведом.22'!G860</f>
        <v>513.49999999999989</v>
      </c>
    </row>
    <row r="750" spans="1:11" ht="31.7" hidden="1" customHeight="1" x14ac:dyDescent="0.25">
      <c r="A750" s="298" t="s">
        <v>780</v>
      </c>
      <c r="B750" s="299" t="s">
        <v>187</v>
      </c>
      <c r="C750" s="299" t="s">
        <v>159</v>
      </c>
      <c r="D750" s="299" t="s">
        <v>768</v>
      </c>
      <c r="E750" s="299"/>
      <c r="F750" s="294">
        <f>F751</f>
        <v>0</v>
      </c>
    </row>
    <row r="751" spans="1:11" ht="35.450000000000003" hidden="1" customHeight="1" x14ac:dyDescent="0.25">
      <c r="A751" s="29" t="s">
        <v>344</v>
      </c>
      <c r="B751" s="346" t="s">
        <v>187</v>
      </c>
      <c r="C751" s="346" t="s">
        <v>159</v>
      </c>
      <c r="D751" s="346" t="s">
        <v>836</v>
      </c>
      <c r="E751" s="346"/>
      <c r="F751" s="295">
        <f>F752</f>
        <v>0</v>
      </c>
    </row>
    <row r="752" spans="1:11" ht="39.75" hidden="1" customHeight="1" x14ac:dyDescent="0.25">
      <c r="A752" s="22" t="s">
        <v>191</v>
      </c>
      <c r="B752" s="346" t="s">
        <v>187</v>
      </c>
      <c r="C752" s="346" t="s">
        <v>159</v>
      </c>
      <c r="D752" s="346" t="s">
        <v>836</v>
      </c>
      <c r="E752" s="346" t="s">
        <v>192</v>
      </c>
      <c r="F752" s="295">
        <f>F753</f>
        <v>0</v>
      </c>
    </row>
    <row r="753" spans="1:11" ht="19.5" hidden="1" customHeight="1" x14ac:dyDescent="0.25">
      <c r="A753" s="22" t="s">
        <v>193</v>
      </c>
      <c r="B753" s="346" t="s">
        <v>187</v>
      </c>
      <c r="C753" s="346" t="s">
        <v>159</v>
      </c>
      <c r="D753" s="346" t="s">
        <v>836</v>
      </c>
      <c r="E753" s="346" t="s">
        <v>194</v>
      </c>
      <c r="F753" s="295">
        <f>'Пр.4 ведом.22'!G864</f>
        <v>0</v>
      </c>
    </row>
    <row r="754" spans="1:11" ht="33" customHeight="1" x14ac:dyDescent="0.25">
      <c r="A754" s="140" t="s">
        <v>513</v>
      </c>
      <c r="B754" s="299" t="s">
        <v>187</v>
      </c>
      <c r="C754" s="299" t="s">
        <v>159</v>
      </c>
      <c r="D754" s="299" t="s">
        <v>771</v>
      </c>
      <c r="E754" s="299"/>
      <c r="F754" s="294">
        <f>F755</f>
        <v>1204</v>
      </c>
    </row>
    <row r="755" spans="1:11" ht="38.1" customHeight="1" x14ac:dyDescent="0.25">
      <c r="A755" s="29" t="s">
        <v>342</v>
      </c>
      <c r="B755" s="346" t="s">
        <v>187</v>
      </c>
      <c r="C755" s="346" t="s">
        <v>159</v>
      </c>
      <c r="D755" s="346" t="s">
        <v>772</v>
      </c>
      <c r="E755" s="346"/>
      <c r="F755" s="295">
        <f>F756</f>
        <v>1204</v>
      </c>
    </row>
    <row r="756" spans="1:11" ht="31.5" x14ac:dyDescent="0.25">
      <c r="A756" s="345" t="s">
        <v>191</v>
      </c>
      <c r="B756" s="346" t="s">
        <v>187</v>
      </c>
      <c r="C756" s="346" t="s">
        <v>159</v>
      </c>
      <c r="D756" s="346" t="s">
        <v>772</v>
      </c>
      <c r="E756" s="346" t="s">
        <v>192</v>
      </c>
      <c r="F756" s="295">
        <f t="shared" ref="F756" si="77">F757</f>
        <v>1204</v>
      </c>
    </row>
    <row r="757" spans="1:11" ht="15.75" x14ac:dyDescent="0.25">
      <c r="A757" s="22" t="s">
        <v>193</v>
      </c>
      <c r="B757" s="346" t="s">
        <v>187</v>
      </c>
      <c r="C757" s="346" t="s">
        <v>159</v>
      </c>
      <c r="D757" s="346" t="s">
        <v>772</v>
      </c>
      <c r="E757" s="346" t="s">
        <v>194</v>
      </c>
      <c r="F757" s="295">
        <f>'Пр.4 ведом.22'!G868</f>
        <v>1204</v>
      </c>
    </row>
    <row r="758" spans="1:11" s="343" customFormat="1" ht="47.25" x14ac:dyDescent="0.25">
      <c r="A758" s="24" t="s">
        <v>1102</v>
      </c>
      <c r="B758" s="299" t="s">
        <v>187</v>
      </c>
      <c r="C758" s="299" t="s">
        <v>159</v>
      </c>
      <c r="D758" s="299" t="s">
        <v>1103</v>
      </c>
      <c r="E758" s="299"/>
      <c r="F758" s="294">
        <f>F759</f>
        <v>1000.9</v>
      </c>
      <c r="G758" s="344"/>
      <c r="H758" s="344"/>
      <c r="I758" s="344"/>
      <c r="J758" s="344"/>
      <c r="K758" s="344"/>
    </row>
    <row r="759" spans="1:11" s="343" customFormat="1" ht="47.25" x14ac:dyDescent="0.25">
      <c r="A759" s="22" t="s">
        <v>1122</v>
      </c>
      <c r="B759" s="346" t="s">
        <v>187</v>
      </c>
      <c r="C759" s="346" t="s">
        <v>159</v>
      </c>
      <c r="D759" s="346" t="s">
        <v>1217</v>
      </c>
      <c r="E759" s="346"/>
      <c r="F759" s="295">
        <f>F760</f>
        <v>1000.9</v>
      </c>
      <c r="G759" s="344"/>
      <c r="H759" s="344"/>
      <c r="I759" s="344"/>
      <c r="J759" s="344"/>
      <c r="K759" s="344"/>
    </row>
    <row r="760" spans="1:11" s="343" customFormat="1" ht="31.5" x14ac:dyDescent="0.25">
      <c r="A760" s="345" t="s">
        <v>191</v>
      </c>
      <c r="B760" s="346" t="s">
        <v>187</v>
      </c>
      <c r="C760" s="346" t="s">
        <v>159</v>
      </c>
      <c r="D760" s="346" t="s">
        <v>1217</v>
      </c>
      <c r="E760" s="346" t="s">
        <v>192</v>
      </c>
      <c r="F760" s="295">
        <f>F761</f>
        <v>1000.9</v>
      </c>
      <c r="G760" s="344"/>
      <c r="H760" s="344"/>
      <c r="I760" s="344"/>
      <c r="J760" s="344"/>
      <c r="K760" s="344"/>
    </row>
    <row r="761" spans="1:11" s="343" customFormat="1" ht="18.600000000000001" customHeight="1" x14ac:dyDescent="0.25">
      <c r="A761" s="113" t="s">
        <v>1104</v>
      </c>
      <c r="B761" s="346" t="s">
        <v>187</v>
      </c>
      <c r="C761" s="346" t="s">
        <v>159</v>
      </c>
      <c r="D761" s="346" t="s">
        <v>1217</v>
      </c>
      <c r="E761" s="346" t="s">
        <v>1105</v>
      </c>
      <c r="F761" s="295">
        <f>'Пр.4 ведом.22'!G872</f>
        <v>1000.9</v>
      </c>
      <c r="G761" s="344"/>
      <c r="H761" s="344"/>
      <c r="I761" s="344"/>
      <c r="J761" s="344"/>
      <c r="K761" s="344"/>
    </row>
    <row r="762" spans="1:11" s="128" customFormat="1" ht="34.5" customHeight="1" x14ac:dyDescent="0.25">
      <c r="A762" s="298" t="s">
        <v>869</v>
      </c>
      <c r="B762" s="299" t="s">
        <v>187</v>
      </c>
      <c r="C762" s="299" t="s">
        <v>159</v>
      </c>
      <c r="D762" s="299" t="s">
        <v>189</v>
      </c>
      <c r="E762" s="299"/>
      <c r="F762" s="294">
        <f>F763+F774+F783+F787</f>
        <v>20936.780999999995</v>
      </c>
      <c r="G762" s="344"/>
      <c r="H762" s="344"/>
      <c r="I762" s="344"/>
      <c r="J762" s="344"/>
      <c r="K762" s="344"/>
    </row>
    <row r="763" spans="1:11" s="128" customFormat="1" ht="36" customHeight="1" x14ac:dyDescent="0.25">
      <c r="A763" s="298" t="s">
        <v>815</v>
      </c>
      <c r="B763" s="299" t="s">
        <v>187</v>
      </c>
      <c r="C763" s="299" t="s">
        <v>159</v>
      </c>
      <c r="D763" s="299" t="s">
        <v>741</v>
      </c>
      <c r="E763" s="299"/>
      <c r="F763" s="294">
        <f>F764+F771</f>
        <v>19435.540999999997</v>
      </c>
      <c r="G763" s="344"/>
      <c r="H763" s="344"/>
      <c r="I763" s="344"/>
      <c r="J763" s="344"/>
      <c r="K763" s="344"/>
    </row>
    <row r="764" spans="1:11" s="128" customFormat="1" ht="15.75" x14ac:dyDescent="0.25">
      <c r="A764" s="345" t="s">
        <v>376</v>
      </c>
      <c r="B764" s="346" t="s">
        <v>187</v>
      </c>
      <c r="C764" s="346" t="s">
        <v>159</v>
      </c>
      <c r="D764" s="346" t="s">
        <v>742</v>
      </c>
      <c r="E764" s="346"/>
      <c r="F764" s="295">
        <f>F765+F767+F769</f>
        <v>19435.540999999997</v>
      </c>
      <c r="G764" s="344"/>
      <c r="H764" s="344"/>
      <c r="I764" s="344"/>
      <c r="J764" s="344"/>
      <c r="K764" s="344"/>
    </row>
    <row r="765" spans="1:11" s="128" customFormat="1" ht="78.75" x14ac:dyDescent="0.25">
      <c r="A765" s="345" t="s">
        <v>119</v>
      </c>
      <c r="B765" s="346" t="s">
        <v>187</v>
      </c>
      <c r="C765" s="346" t="s">
        <v>159</v>
      </c>
      <c r="D765" s="346" t="s">
        <v>742</v>
      </c>
      <c r="E765" s="346" t="s">
        <v>120</v>
      </c>
      <c r="F765" s="295">
        <f>F766</f>
        <v>17055.699999999997</v>
      </c>
      <c r="G765" s="344"/>
      <c r="H765" s="344"/>
      <c r="I765" s="344"/>
      <c r="J765" s="344"/>
      <c r="K765" s="344"/>
    </row>
    <row r="766" spans="1:11" s="128" customFormat="1" ht="21.2" customHeight="1" x14ac:dyDescent="0.25">
      <c r="A766" s="30" t="s">
        <v>212</v>
      </c>
      <c r="B766" s="346" t="s">
        <v>187</v>
      </c>
      <c r="C766" s="346" t="s">
        <v>159</v>
      </c>
      <c r="D766" s="346" t="s">
        <v>742</v>
      </c>
      <c r="E766" s="346" t="s">
        <v>156</v>
      </c>
      <c r="F766" s="295">
        <f>'Пр.4 ведом.22'!G338</f>
        <v>17055.699999999997</v>
      </c>
      <c r="G766" s="344"/>
      <c r="H766" s="344"/>
      <c r="I766" s="344"/>
      <c r="J766" s="344"/>
      <c r="K766" s="344"/>
    </row>
    <row r="767" spans="1:11" s="128" customFormat="1" ht="31.5" x14ac:dyDescent="0.25">
      <c r="A767" s="345" t="s">
        <v>123</v>
      </c>
      <c r="B767" s="346" t="s">
        <v>187</v>
      </c>
      <c r="C767" s="346" t="s">
        <v>159</v>
      </c>
      <c r="D767" s="346" t="s">
        <v>742</v>
      </c>
      <c r="E767" s="346" t="s">
        <v>124</v>
      </c>
      <c r="F767" s="295">
        <f>F768</f>
        <v>2336.4410000000003</v>
      </c>
      <c r="G767" s="344"/>
      <c r="H767" s="344"/>
      <c r="I767" s="344"/>
      <c r="J767" s="344"/>
      <c r="K767" s="344"/>
    </row>
    <row r="768" spans="1:11" s="128" customFormat="1" ht="47.25" x14ac:dyDescent="0.25">
      <c r="A768" s="345" t="s">
        <v>125</v>
      </c>
      <c r="B768" s="346" t="s">
        <v>187</v>
      </c>
      <c r="C768" s="346" t="s">
        <v>159</v>
      </c>
      <c r="D768" s="346" t="s">
        <v>742</v>
      </c>
      <c r="E768" s="346" t="s">
        <v>126</v>
      </c>
      <c r="F768" s="295">
        <f>'Пр.4 ведом.22'!G340</f>
        <v>2336.4410000000003</v>
      </c>
      <c r="G768" s="344"/>
      <c r="H768" s="344"/>
      <c r="I768" s="344"/>
      <c r="J768" s="344"/>
      <c r="K768" s="344"/>
    </row>
    <row r="769" spans="1:11" s="128" customFormat="1" ht="15.75" x14ac:dyDescent="0.25">
      <c r="A769" s="345" t="s">
        <v>127</v>
      </c>
      <c r="B769" s="346" t="s">
        <v>187</v>
      </c>
      <c r="C769" s="346" t="s">
        <v>159</v>
      </c>
      <c r="D769" s="346" t="s">
        <v>742</v>
      </c>
      <c r="E769" s="346" t="s">
        <v>134</v>
      </c>
      <c r="F769" s="295">
        <f>F770</f>
        <v>43.400000000000013</v>
      </c>
      <c r="G769" s="344"/>
      <c r="H769" s="344"/>
      <c r="I769" s="344"/>
      <c r="J769" s="344"/>
      <c r="K769" s="344"/>
    </row>
    <row r="770" spans="1:11" s="128" customFormat="1" ht="15.75" x14ac:dyDescent="0.25">
      <c r="A770" s="345" t="s">
        <v>338</v>
      </c>
      <c r="B770" s="346" t="s">
        <v>187</v>
      </c>
      <c r="C770" s="346" t="s">
        <v>159</v>
      </c>
      <c r="D770" s="346" t="s">
        <v>742</v>
      </c>
      <c r="E770" s="346" t="s">
        <v>130</v>
      </c>
      <c r="F770" s="295">
        <f>'Пр.4 ведом.22'!G342</f>
        <v>43.400000000000013</v>
      </c>
      <c r="G770" s="344"/>
      <c r="H770" s="344"/>
      <c r="I770" s="344"/>
      <c r="J770" s="344"/>
      <c r="K770" s="344"/>
    </row>
    <row r="771" spans="1:11" s="128" customFormat="1" ht="31.5" hidden="1" x14ac:dyDescent="0.25">
      <c r="A771" s="22" t="s">
        <v>974</v>
      </c>
      <c r="B771" s="346" t="s">
        <v>187</v>
      </c>
      <c r="C771" s="346" t="s">
        <v>159</v>
      </c>
      <c r="D771" s="346" t="s">
        <v>965</v>
      </c>
      <c r="E771" s="346"/>
      <c r="F771" s="295">
        <f>F772</f>
        <v>0</v>
      </c>
      <c r="G771" s="344"/>
      <c r="H771" s="344"/>
      <c r="I771" s="344"/>
      <c r="J771" s="344"/>
      <c r="K771" s="344"/>
    </row>
    <row r="772" spans="1:11" s="128" customFormat="1" ht="78.75" hidden="1" x14ac:dyDescent="0.25">
      <c r="A772" s="345" t="s">
        <v>119</v>
      </c>
      <c r="B772" s="346" t="s">
        <v>187</v>
      </c>
      <c r="C772" s="346" t="s">
        <v>159</v>
      </c>
      <c r="D772" s="346" t="s">
        <v>965</v>
      </c>
      <c r="E772" s="346" t="s">
        <v>120</v>
      </c>
      <c r="F772" s="295">
        <f>F773</f>
        <v>0</v>
      </c>
      <c r="G772" s="344"/>
      <c r="H772" s="344"/>
      <c r="I772" s="344"/>
      <c r="J772" s="344"/>
      <c r="K772" s="344"/>
    </row>
    <row r="773" spans="1:11" s="128" customFormat="1" ht="15.75" hidden="1" x14ac:dyDescent="0.25">
      <c r="A773" s="345" t="s">
        <v>155</v>
      </c>
      <c r="B773" s="346" t="s">
        <v>187</v>
      </c>
      <c r="C773" s="346" t="s">
        <v>159</v>
      </c>
      <c r="D773" s="346" t="s">
        <v>965</v>
      </c>
      <c r="E773" s="346" t="s">
        <v>156</v>
      </c>
      <c r="F773" s="295">
        <f>'Пр.4 ведом.22'!G345</f>
        <v>0</v>
      </c>
      <c r="G773" s="344"/>
      <c r="H773" s="344"/>
      <c r="I773" s="344"/>
      <c r="J773" s="344"/>
      <c r="K773" s="344"/>
    </row>
    <row r="774" spans="1:11" s="128" customFormat="1" ht="31.5" x14ac:dyDescent="0.25">
      <c r="A774" s="137" t="s">
        <v>818</v>
      </c>
      <c r="B774" s="299" t="s">
        <v>187</v>
      </c>
      <c r="C774" s="299" t="s">
        <v>159</v>
      </c>
      <c r="D774" s="299" t="s">
        <v>743</v>
      </c>
      <c r="E774" s="299"/>
      <c r="F774" s="294">
        <f>F775+F778</f>
        <v>384.94</v>
      </c>
      <c r="G774" s="344"/>
      <c r="H774" s="344"/>
      <c r="I774" s="344"/>
      <c r="J774" s="344"/>
      <c r="K774" s="344"/>
    </row>
    <row r="775" spans="1:11" s="128" customFormat="1" ht="31.5" x14ac:dyDescent="0.25">
      <c r="A775" s="120" t="s">
        <v>375</v>
      </c>
      <c r="B775" s="346" t="s">
        <v>187</v>
      </c>
      <c r="C775" s="346" t="s">
        <v>159</v>
      </c>
      <c r="D775" s="346" t="s">
        <v>744</v>
      </c>
      <c r="E775" s="346"/>
      <c r="F775" s="295">
        <f>F776</f>
        <v>45.3</v>
      </c>
      <c r="G775" s="344"/>
      <c r="H775" s="344"/>
      <c r="I775" s="344"/>
      <c r="J775" s="344"/>
      <c r="K775" s="344"/>
    </row>
    <row r="776" spans="1:11" s="128" customFormat="1" ht="20.25" customHeight="1" x14ac:dyDescent="0.25">
      <c r="A776" s="345" t="s">
        <v>177</v>
      </c>
      <c r="B776" s="346" t="s">
        <v>187</v>
      </c>
      <c r="C776" s="346" t="s">
        <v>159</v>
      </c>
      <c r="D776" s="346" t="s">
        <v>744</v>
      </c>
      <c r="E776" s="346" t="s">
        <v>178</v>
      </c>
      <c r="F776" s="295">
        <f>F777</f>
        <v>45.3</v>
      </c>
      <c r="G776" s="344"/>
      <c r="H776" s="344"/>
      <c r="I776" s="344"/>
      <c r="J776" s="344"/>
      <c r="K776" s="344"/>
    </row>
    <row r="777" spans="1:11" s="128" customFormat="1" ht="15.75" x14ac:dyDescent="0.25">
      <c r="A777" s="345" t="s">
        <v>396</v>
      </c>
      <c r="B777" s="346" t="s">
        <v>187</v>
      </c>
      <c r="C777" s="346" t="s">
        <v>159</v>
      </c>
      <c r="D777" s="346" t="s">
        <v>744</v>
      </c>
      <c r="E777" s="346" t="s">
        <v>395</v>
      </c>
      <c r="F777" s="295">
        <f>'Пр.4 ведом.22'!G349</f>
        <v>45.3</v>
      </c>
      <c r="G777" s="344"/>
      <c r="H777" s="344"/>
      <c r="I777" s="344"/>
      <c r="J777" s="344"/>
      <c r="K777" s="344"/>
    </row>
    <row r="778" spans="1:11" ht="31.5" x14ac:dyDescent="0.25">
      <c r="A778" s="22" t="s">
        <v>392</v>
      </c>
      <c r="B778" s="346" t="s">
        <v>187</v>
      </c>
      <c r="C778" s="346" t="s">
        <v>159</v>
      </c>
      <c r="D778" s="346" t="s">
        <v>745</v>
      </c>
      <c r="E778" s="346"/>
      <c r="F778" s="295">
        <f>F779+F781</f>
        <v>339.64</v>
      </c>
    </row>
    <row r="779" spans="1:11" ht="78.75" x14ac:dyDescent="0.25">
      <c r="A779" s="345" t="s">
        <v>119</v>
      </c>
      <c r="B779" s="346" t="s">
        <v>187</v>
      </c>
      <c r="C779" s="346" t="s">
        <v>159</v>
      </c>
      <c r="D779" s="346" t="s">
        <v>745</v>
      </c>
      <c r="E779" s="346" t="s">
        <v>120</v>
      </c>
      <c r="F779" s="295">
        <f>F780</f>
        <v>339.64</v>
      </c>
    </row>
    <row r="780" spans="1:11" s="128" customFormat="1" ht="18.75" customHeight="1" x14ac:dyDescent="0.25">
      <c r="A780" s="30" t="s">
        <v>212</v>
      </c>
      <c r="B780" s="346" t="s">
        <v>187</v>
      </c>
      <c r="C780" s="346" t="s">
        <v>159</v>
      </c>
      <c r="D780" s="346" t="s">
        <v>745</v>
      </c>
      <c r="E780" s="346" t="s">
        <v>156</v>
      </c>
      <c r="F780" s="295">
        <f>'Пр.4 ведом.22'!G352</f>
        <v>339.64</v>
      </c>
      <c r="G780" s="344"/>
      <c r="H780" s="344"/>
      <c r="I780" s="344"/>
      <c r="J780" s="344"/>
      <c r="K780" s="344"/>
    </row>
    <row r="781" spans="1:11" s="128" customFormat="1" ht="31.5" hidden="1" x14ac:dyDescent="0.25">
      <c r="A781" s="345" t="s">
        <v>123</v>
      </c>
      <c r="B781" s="346" t="s">
        <v>187</v>
      </c>
      <c r="C781" s="346" t="s">
        <v>159</v>
      </c>
      <c r="D781" s="346" t="s">
        <v>745</v>
      </c>
      <c r="E781" s="346" t="s">
        <v>124</v>
      </c>
      <c r="F781" s="295">
        <f>F782</f>
        <v>0</v>
      </c>
      <c r="G781" s="344"/>
      <c r="H781" s="344"/>
      <c r="I781" s="344"/>
      <c r="J781" s="344"/>
      <c r="K781" s="344"/>
    </row>
    <row r="782" spans="1:11" s="128" customFormat="1" ht="47.25" hidden="1" x14ac:dyDescent="0.25">
      <c r="A782" s="345" t="s">
        <v>125</v>
      </c>
      <c r="B782" s="346" t="s">
        <v>187</v>
      </c>
      <c r="C782" s="346" t="s">
        <v>159</v>
      </c>
      <c r="D782" s="346" t="s">
        <v>745</v>
      </c>
      <c r="E782" s="346" t="s">
        <v>126</v>
      </c>
      <c r="F782" s="295">
        <f>'Пр.4 ведом.22'!G354</f>
        <v>0</v>
      </c>
      <c r="G782" s="344"/>
      <c r="H782" s="344"/>
      <c r="I782" s="344"/>
      <c r="J782" s="344"/>
      <c r="K782" s="344"/>
    </row>
    <row r="783" spans="1:11" s="128" customFormat="1" ht="31.5" x14ac:dyDescent="0.25">
      <c r="A783" s="298" t="s">
        <v>512</v>
      </c>
      <c r="B783" s="299" t="s">
        <v>187</v>
      </c>
      <c r="C783" s="299" t="s">
        <v>159</v>
      </c>
      <c r="D783" s="299" t="s">
        <v>746</v>
      </c>
      <c r="E783" s="299"/>
      <c r="F783" s="294">
        <f>F784</f>
        <v>373</v>
      </c>
      <c r="G783" s="344"/>
      <c r="H783" s="344"/>
      <c r="I783" s="344"/>
      <c r="J783" s="344"/>
      <c r="K783" s="344"/>
    </row>
    <row r="784" spans="1:11" s="128" customFormat="1" ht="47.25" x14ac:dyDescent="0.25">
      <c r="A784" s="345" t="s">
        <v>414</v>
      </c>
      <c r="B784" s="346" t="s">
        <v>187</v>
      </c>
      <c r="C784" s="346" t="s">
        <v>159</v>
      </c>
      <c r="D784" s="346" t="s">
        <v>747</v>
      </c>
      <c r="E784" s="346"/>
      <c r="F784" s="295">
        <f>F785</f>
        <v>373</v>
      </c>
      <c r="G784" s="344"/>
      <c r="H784" s="344"/>
      <c r="I784" s="344"/>
      <c r="J784" s="344"/>
      <c r="K784" s="344"/>
    </row>
    <row r="785" spans="1:11" s="128" customFormat="1" ht="78.75" x14ac:dyDescent="0.25">
      <c r="A785" s="345" t="s">
        <v>119</v>
      </c>
      <c r="B785" s="346" t="s">
        <v>187</v>
      </c>
      <c r="C785" s="346" t="s">
        <v>159</v>
      </c>
      <c r="D785" s="346" t="s">
        <v>747</v>
      </c>
      <c r="E785" s="346" t="s">
        <v>120</v>
      </c>
      <c r="F785" s="295">
        <f>F786</f>
        <v>373</v>
      </c>
      <c r="G785" s="344"/>
      <c r="H785" s="344"/>
      <c r="I785" s="344"/>
      <c r="J785" s="344"/>
      <c r="K785" s="344"/>
    </row>
    <row r="786" spans="1:11" s="128" customFormat="1" ht="31.5" x14ac:dyDescent="0.25">
      <c r="A786" s="345" t="s">
        <v>121</v>
      </c>
      <c r="B786" s="346" t="s">
        <v>187</v>
      </c>
      <c r="C786" s="346" t="s">
        <v>159</v>
      </c>
      <c r="D786" s="346" t="s">
        <v>747</v>
      </c>
      <c r="E786" s="346" t="s">
        <v>156</v>
      </c>
      <c r="F786" s="295">
        <f>'Пр.4 ведом.22'!G358</f>
        <v>373</v>
      </c>
      <c r="G786" s="344"/>
      <c r="H786" s="344"/>
      <c r="I786" s="344"/>
      <c r="J786" s="344"/>
      <c r="K786" s="344"/>
    </row>
    <row r="787" spans="1:11" s="128" customFormat="1" ht="47.25" x14ac:dyDescent="0.25">
      <c r="A787" s="298" t="s">
        <v>469</v>
      </c>
      <c r="B787" s="299" t="s">
        <v>187</v>
      </c>
      <c r="C787" s="299" t="s">
        <v>159</v>
      </c>
      <c r="D787" s="299" t="s">
        <v>748</v>
      </c>
      <c r="E787" s="299"/>
      <c r="F787" s="294">
        <f>F788+F791</f>
        <v>743.3</v>
      </c>
      <c r="G787" s="344"/>
      <c r="H787" s="344"/>
      <c r="I787" s="344"/>
      <c r="J787" s="344"/>
      <c r="K787" s="344"/>
    </row>
    <row r="788" spans="1:11" s="128" customFormat="1" ht="94.5" x14ac:dyDescent="0.25">
      <c r="A788" s="22" t="s">
        <v>200</v>
      </c>
      <c r="B788" s="346" t="s">
        <v>187</v>
      </c>
      <c r="C788" s="346" t="s">
        <v>159</v>
      </c>
      <c r="D788" s="346" t="s">
        <v>898</v>
      </c>
      <c r="E788" s="346"/>
      <c r="F788" s="295">
        <f>F789</f>
        <v>471</v>
      </c>
      <c r="G788" s="344"/>
      <c r="H788" s="344"/>
      <c r="I788" s="344"/>
      <c r="J788" s="344"/>
      <c r="K788" s="344"/>
    </row>
    <row r="789" spans="1:11" s="128" customFormat="1" ht="78.75" x14ac:dyDescent="0.25">
      <c r="A789" s="345" t="s">
        <v>119</v>
      </c>
      <c r="B789" s="346" t="s">
        <v>187</v>
      </c>
      <c r="C789" s="346" t="s">
        <v>159</v>
      </c>
      <c r="D789" s="346" t="s">
        <v>898</v>
      </c>
      <c r="E789" s="346" t="s">
        <v>120</v>
      </c>
      <c r="F789" s="295">
        <f>F790</f>
        <v>471</v>
      </c>
      <c r="G789" s="344"/>
      <c r="H789" s="344"/>
      <c r="I789" s="344"/>
      <c r="J789" s="344"/>
      <c r="K789" s="344"/>
    </row>
    <row r="790" spans="1:11" s="128" customFormat="1" ht="22.7" customHeight="1" x14ac:dyDescent="0.25">
      <c r="A790" s="30" t="s">
        <v>212</v>
      </c>
      <c r="B790" s="346" t="s">
        <v>187</v>
      </c>
      <c r="C790" s="346" t="s">
        <v>159</v>
      </c>
      <c r="D790" s="346" t="s">
        <v>898</v>
      </c>
      <c r="E790" s="346" t="s">
        <v>156</v>
      </c>
      <c r="F790" s="295">
        <f>'Пр.4 ведом.22'!G362</f>
        <v>471</v>
      </c>
      <c r="G790" s="344"/>
      <c r="H790" s="344"/>
      <c r="I790" s="344"/>
      <c r="J790" s="344"/>
      <c r="K790" s="344"/>
    </row>
    <row r="791" spans="1:11" s="128" customFormat="1" ht="47.25" x14ac:dyDescent="0.25">
      <c r="A791" s="345" t="s">
        <v>1165</v>
      </c>
      <c r="B791" s="346" t="s">
        <v>187</v>
      </c>
      <c r="C791" s="346" t="s">
        <v>159</v>
      </c>
      <c r="D791" s="346" t="s">
        <v>1167</v>
      </c>
      <c r="E791" s="346"/>
      <c r="F791" s="295">
        <f>F792</f>
        <v>272.29999999999995</v>
      </c>
      <c r="G791" s="344"/>
      <c r="H791" s="344"/>
      <c r="I791" s="344"/>
      <c r="J791" s="344"/>
      <c r="K791" s="344"/>
    </row>
    <row r="792" spans="1:11" s="128" customFormat="1" ht="78.75" x14ac:dyDescent="0.25">
      <c r="A792" s="345" t="s">
        <v>119</v>
      </c>
      <c r="B792" s="346" t="s">
        <v>187</v>
      </c>
      <c r="C792" s="346" t="s">
        <v>159</v>
      </c>
      <c r="D792" s="346" t="s">
        <v>1167</v>
      </c>
      <c r="E792" s="346" t="s">
        <v>120</v>
      </c>
      <c r="F792" s="295">
        <f>F793</f>
        <v>272.29999999999995</v>
      </c>
      <c r="G792" s="344"/>
      <c r="H792" s="344"/>
      <c r="I792" s="344"/>
      <c r="J792" s="344"/>
      <c r="K792" s="344"/>
    </row>
    <row r="793" spans="1:11" s="128" customFormat="1" ht="21.2" customHeight="1" x14ac:dyDescent="0.25">
      <c r="A793" s="30" t="s">
        <v>212</v>
      </c>
      <c r="B793" s="346" t="s">
        <v>187</v>
      </c>
      <c r="C793" s="346" t="s">
        <v>159</v>
      </c>
      <c r="D793" s="346" t="s">
        <v>1167</v>
      </c>
      <c r="E793" s="346" t="s">
        <v>156</v>
      </c>
      <c r="F793" s="295">
        <f>'Пр.4 ведом.22'!G365</f>
        <v>272.29999999999995</v>
      </c>
      <c r="G793" s="344"/>
      <c r="H793" s="344"/>
      <c r="I793" s="344"/>
      <c r="J793" s="344"/>
      <c r="K793" s="344"/>
    </row>
    <row r="794" spans="1:11" s="128" customFormat="1" ht="45.75" customHeight="1" x14ac:dyDescent="0.25">
      <c r="A794" s="24" t="s">
        <v>860</v>
      </c>
      <c r="B794" s="299" t="s">
        <v>187</v>
      </c>
      <c r="C794" s="299" t="s">
        <v>159</v>
      </c>
      <c r="D794" s="299" t="s">
        <v>206</v>
      </c>
      <c r="E794" s="299"/>
      <c r="F794" s="297">
        <f>F796</f>
        <v>6</v>
      </c>
      <c r="G794" s="344"/>
      <c r="H794" s="344"/>
      <c r="I794" s="344"/>
      <c r="J794" s="344"/>
      <c r="K794" s="344"/>
    </row>
    <row r="795" spans="1:11" s="128" customFormat="1" ht="63.2" customHeight="1" x14ac:dyDescent="0.25">
      <c r="A795" s="24" t="s">
        <v>586</v>
      </c>
      <c r="B795" s="299" t="s">
        <v>187</v>
      </c>
      <c r="C795" s="299" t="s">
        <v>159</v>
      </c>
      <c r="D795" s="299" t="s">
        <v>502</v>
      </c>
      <c r="E795" s="299"/>
      <c r="F795" s="297">
        <f>F798</f>
        <v>6</v>
      </c>
      <c r="G795" s="344"/>
      <c r="H795" s="344"/>
      <c r="I795" s="344"/>
      <c r="J795" s="344"/>
      <c r="K795" s="344"/>
    </row>
    <row r="796" spans="1:11" s="128" customFormat="1" ht="51" customHeight="1" x14ac:dyDescent="0.25">
      <c r="A796" s="22" t="s">
        <v>632</v>
      </c>
      <c r="B796" s="346" t="s">
        <v>187</v>
      </c>
      <c r="C796" s="346" t="s">
        <v>159</v>
      </c>
      <c r="D796" s="346" t="s">
        <v>587</v>
      </c>
      <c r="E796" s="346"/>
      <c r="F796" s="300">
        <f>F797</f>
        <v>6</v>
      </c>
      <c r="G796" s="344"/>
      <c r="H796" s="344"/>
      <c r="I796" s="344"/>
      <c r="J796" s="344"/>
      <c r="K796" s="344"/>
    </row>
    <row r="797" spans="1:11" s="128" customFormat="1" ht="39.4" customHeight="1" x14ac:dyDescent="0.25">
      <c r="A797" s="345" t="s">
        <v>123</v>
      </c>
      <c r="B797" s="346" t="s">
        <v>187</v>
      </c>
      <c r="C797" s="346" t="s">
        <v>159</v>
      </c>
      <c r="D797" s="346" t="s">
        <v>587</v>
      </c>
      <c r="E797" s="346" t="s">
        <v>124</v>
      </c>
      <c r="F797" s="300">
        <f>F798</f>
        <v>6</v>
      </c>
      <c r="G797" s="344"/>
      <c r="H797" s="344"/>
      <c r="I797" s="344"/>
      <c r="J797" s="344"/>
      <c r="K797" s="344"/>
    </row>
    <row r="798" spans="1:11" s="128" customFormat="1" ht="35.450000000000003" customHeight="1" x14ac:dyDescent="0.25">
      <c r="A798" s="345" t="s">
        <v>125</v>
      </c>
      <c r="B798" s="346" t="s">
        <v>187</v>
      </c>
      <c r="C798" s="346" t="s">
        <v>159</v>
      </c>
      <c r="D798" s="346" t="s">
        <v>587</v>
      </c>
      <c r="E798" s="346" t="s">
        <v>126</v>
      </c>
      <c r="F798" s="300">
        <f>'Пр.4 ведом.22'!G370</f>
        <v>6</v>
      </c>
      <c r="G798" s="344"/>
      <c r="H798" s="344"/>
      <c r="I798" s="344"/>
      <c r="J798" s="344"/>
      <c r="K798" s="344"/>
    </row>
    <row r="799" spans="1:11" s="128" customFormat="1" ht="47.25" x14ac:dyDescent="0.25">
      <c r="A799" s="340" t="s">
        <v>856</v>
      </c>
      <c r="B799" s="299" t="s">
        <v>187</v>
      </c>
      <c r="C799" s="299" t="s">
        <v>159</v>
      </c>
      <c r="D799" s="299" t="s">
        <v>339</v>
      </c>
      <c r="E799" s="299"/>
      <c r="F799" s="294">
        <f>F800</f>
        <v>618.19999999999993</v>
      </c>
      <c r="G799" s="344"/>
      <c r="H799" s="344"/>
      <c r="I799" s="344"/>
      <c r="J799" s="344"/>
      <c r="K799" s="344"/>
    </row>
    <row r="800" spans="1:11" s="128" customFormat="1" ht="47.25" x14ac:dyDescent="0.25">
      <c r="A800" s="340" t="s">
        <v>461</v>
      </c>
      <c r="B800" s="299" t="s">
        <v>187</v>
      </c>
      <c r="C800" s="299" t="s">
        <v>159</v>
      </c>
      <c r="D800" s="299" t="s">
        <v>459</v>
      </c>
      <c r="E800" s="299"/>
      <c r="F800" s="294">
        <f>F801+F804</f>
        <v>618.19999999999993</v>
      </c>
      <c r="G800" s="344"/>
      <c r="H800" s="344"/>
      <c r="I800" s="344"/>
      <c r="J800" s="344"/>
      <c r="K800" s="344"/>
    </row>
    <row r="801" spans="1:11" s="128" customFormat="1" ht="35.450000000000003" customHeight="1" x14ac:dyDescent="0.25">
      <c r="A801" s="67" t="s">
        <v>565</v>
      </c>
      <c r="B801" s="346" t="s">
        <v>187</v>
      </c>
      <c r="C801" s="346" t="s">
        <v>159</v>
      </c>
      <c r="D801" s="346" t="s">
        <v>460</v>
      </c>
      <c r="E801" s="301"/>
      <c r="F801" s="295">
        <f>F802</f>
        <v>315.79999999999995</v>
      </c>
      <c r="G801" s="344"/>
      <c r="H801" s="344"/>
      <c r="I801" s="344"/>
      <c r="J801" s="344"/>
      <c r="K801" s="344"/>
    </row>
    <row r="802" spans="1:11" s="128" customFormat="1" ht="31.5" x14ac:dyDescent="0.25">
      <c r="A802" s="345" t="s">
        <v>123</v>
      </c>
      <c r="B802" s="346" t="s">
        <v>187</v>
      </c>
      <c r="C802" s="346" t="s">
        <v>159</v>
      </c>
      <c r="D802" s="346" t="s">
        <v>460</v>
      </c>
      <c r="E802" s="301" t="s">
        <v>124</v>
      </c>
      <c r="F802" s="295">
        <f>F803</f>
        <v>315.79999999999995</v>
      </c>
      <c r="G802" s="344"/>
      <c r="H802" s="344"/>
      <c r="I802" s="344"/>
      <c r="J802" s="344"/>
      <c r="K802" s="344"/>
    </row>
    <row r="803" spans="1:11" s="128" customFormat="1" ht="36.75" customHeight="1" x14ac:dyDescent="0.25">
      <c r="A803" s="345" t="s">
        <v>125</v>
      </c>
      <c r="B803" s="346" t="s">
        <v>187</v>
      </c>
      <c r="C803" s="346" t="s">
        <v>159</v>
      </c>
      <c r="D803" s="346" t="s">
        <v>460</v>
      </c>
      <c r="E803" s="301" t="s">
        <v>126</v>
      </c>
      <c r="F803" s="295">
        <f>'Пр.4 ведом.22'!G375</f>
        <v>315.79999999999995</v>
      </c>
      <c r="G803" s="344"/>
      <c r="H803" s="344"/>
      <c r="I803" s="344"/>
      <c r="J803" s="344"/>
      <c r="K803" s="344"/>
    </row>
    <row r="804" spans="1:11" s="128" customFormat="1" ht="47.25" x14ac:dyDescent="0.25">
      <c r="A804" s="67" t="s">
        <v>357</v>
      </c>
      <c r="B804" s="346" t="s">
        <v>187</v>
      </c>
      <c r="C804" s="346" t="s">
        <v>159</v>
      </c>
      <c r="D804" s="346" t="s">
        <v>504</v>
      </c>
      <c r="E804" s="301"/>
      <c r="F804" s="295">
        <f>F805</f>
        <v>302.39999999999998</v>
      </c>
      <c r="G804" s="344"/>
      <c r="H804" s="344"/>
      <c r="I804" s="344"/>
      <c r="J804" s="344"/>
      <c r="K804" s="344"/>
    </row>
    <row r="805" spans="1:11" s="128" customFormat="1" ht="31.5" x14ac:dyDescent="0.25">
      <c r="A805" s="20" t="s">
        <v>191</v>
      </c>
      <c r="B805" s="346" t="s">
        <v>187</v>
      </c>
      <c r="C805" s="346" t="s">
        <v>159</v>
      </c>
      <c r="D805" s="346" t="s">
        <v>504</v>
      </c>
      <c r="E805" s="301" t="s">
        <v>192</v>
      </c>
      <c r="F805" s="295">
        <f>F806</f>
        <v>302.39999999999998</v>
      </c>
      <c r="G805" s="344"/>
      <c r="H805" s="344"/>
      <c r="I805" s="344"/>
      <c r="J805" s="344"/>
      <c r="K805" s="344"/>
    </row>
    <row r="806" spans="1:11" s="128" customFormat="1" ht="15.75" x14ac:dyDescent="0.25">
      <c r="A806" s="108" t="s">
        <v>193</v>
      </c>
      <c r="B806" s="346" t="s">
        <v>187</v>
      </c>
      <c r="C806" s="346" t="s">
        <v>159</v>
      </c>
      <c r="D806" s="346" t="s">
        <v>504</v>
      </c>
      <c r="E806" s="301" t="s">
        <v>194</v>
      </c>
      <c r="F806" s="295">
        <f>'Пр.4 ведом.22'!G877</f>
        <v>302.39999999999998</v>
      </c>
      <c r="G806" s="344"/>
      <c r="H806" s="344"/>
      <c r="I806" s="344"/>
      <c r="J806" s="344"/>
      <c r="K806" s="344"/>
    </row>
    <row r="807" spans="1:11" s="128" customFormat="1" ht="15.75" x14ac:dyDescent="0.25">
      <c r="A807" s="298" t="s">
        <v>246</v>
      </c>
      <c r="B807" s="299" t="s">
        <v>187</v>
      </c>
      <c r="C807" s="299" t="s">
        <v>187</v>
      </c>
      <c r="D807" s="299"/>
      <c r="E807" s="304"/>
      <c r="F807" s="294">
        <f>F808+F834</f>
        <v>8919.8900000000012</v>
      </c>
      <c r="G807" s="344"/>
      <c r="H807" s="344"/>
      <c r="I807" s="344"/>
      <c r="J807" s="344"/>
      <c r="K807" s="344"/>
    </row>
    <row r="808" spans="1:11" s="128" customFormat="1" ht="47.25" x14ac:dyDescent="0.25">
      <c r="A808" s="298" t="s">
        <v>878</v>
      </c>
      <c r="B808" s="299" t="s">
        <v>187</v>
      </c>
      <c r="C808" s="299" t="s">
        <v>187</v>
      </c>
      <c r="D808" s="299" t="s">
        <v>213</v>
      </c>
      <c r="E808" s="299"/>
      <c r="F808" s="294">
        <f>F809</f>
        <v>972.3</v>
      </c>
      <c r="G808" s="344"/>
      <c r="H808" s="344"/>
      <c r="I808" s="344"/>
      <c r="J808" s="344"/>
      <c r="K808" s="344"/>
    </row>
    <row r="809" spans="1:11" s="128" customFormat="1" ht="31.5" x14ac:dyDescent="0.25">
      <c r="A809" s="298" t="s">
        <v>214</v>
      </c>
      <c r="B809" s="299" t="s">
        <v>187</v>
      </c>
      <c r="C809" s="299" t="s">
        <v>187</v>
      </c>
      <c r="D809" s="299" t="s">
        <v>215</v>
      </c>
      <c r="E809" s="299"/>
      <c r="F809" s="294">
        <f>F810+F820+F829</f>
        <v>972.3</v>
      </c>
      <c r="G809" s="344"/>
      <c r="H809" s="344"/>
      <c r="I809" s="344"/>
      <c r="J809" s="344"/>
      <c r="K809" s="344"/>
    </row>
    <row r="810" spans="1:11" s="128" customFormat="1" ht="47.25" x14ac:dyDescent="0.25">
      <c r="A810" s="339" t="s">
        <v>589</v>
      </c>
      <c r="B810" s="299" t="s">
        <v>187</v>
      </c>
      <c r="C810" s="299" t="s">
        <v>187</v>
      </c>
      <c r="D810" s="299" t="s">
        <v>463</v>
      </c>
      <c r="E810" s="299"/>
      <c r="F810" s="294">
        <f>F811+F814+F817</f>
        <v>459.2</v>
      </c>
      <c r="G810" s="344"/>
      <c r="H810" s="344"/>
      <c r="I810" s="344"/>
      <c r="J810" s="344"/>
      <c r="K810" s="344"/>
    </row>
    <row r="811" spans="1:11" s="128" customFormat="1" ht="31.5" hidden="1" x14ac:dyDescent="0.25">
      <c r="A811" s="67" t="s">
        <v>595</v>
      </c>
      <c r="B811" s="346" t="s">
        <v>187</v>
      </c>
      <c r="C811" s="346" t="s">
        <v>187</v>
      </c>
      <c r="D811" s="346" t="s">
        <v>464</v>
      </c>
      <c r="E811" s="346"/>
      <c r="F811" s="295">
        <f>F812</f>
        <v>0</v>
      </c>
      <c r="G811" s="344"/>
      <c r="H811" s="344"/>
      <c r="I811" s="344"/>
      <c r="J811" s="344"/>
      <c r="K811" s="344"/>
    </row>
    <row r="812" spans="1:11" s="128" customFormat="1" ht="78.75" hidden="1" x14ac:dyDescent="0.25">
      <c r="A812" s="345" t="s">
        <v>119</v>
      </c>
      <c r="B812" s="346" t="s">
        <v>187</v>
      </c>
      <c r="C812" s="346" t="s">
        <v>187</v>
      </c>
      <c r="D812" s="346" t="s">
        <v>464</v>
      </c>
      <c r="E812" s="346" t="s">
        <v>120</v>
      </c>
      <c r="F812" s="295">
        <f>F813</f>
        <v>0</v>
      </c>
      <c r="G812" s="344"/>
      <c r="H812" s="344"/>
      <c r="I812" s="344"/>
      <c r="J812" s="344"/>
      <c r="K812" s="344"/>
    </row>
    <row r="813" spans="1:11" s="128" customFormat="1" ht="17.45" hidden="1" customHeight="1" x14ac:dyDescent="0.25">
      <c r="A813" s="345" t="s">
        <v>212</v>
      </c>
      <c r="B813" s="346" t="s">
        <v>187</v>
      </c>
      <c r="C813" s="346" t="s">
        <v>187</v>
      </c>
      <c r="D813" s="346" t="s">
        <v>464</v>
      </c>
      <c r="E813" s="346" t="s">
        <v>156</v>
      </c>
      <c r="F813" s="295">
        <f>'Пр.4 ведом.22'!G382</f>
        <v>0</v>
      </c>
      <c r="G813" s="344"/>
      <c r="H813" s="344"/>
      <c r="I813" s="344"/>
      <c r="J813" s="344"/>
      <c r="K813" s="344"/>
    </row>
    <row r="814" spans="1:11" s="128" customFormat="1" ht="19.5" hidden="1" customHeight="1" x14ac:dyDescent="0.25">
      <c r="A814" s="345" t="s">
        <v>590</v>
      </c>
      <c r="B814" s="346" t="s">
        <v>187</v>
      </c>
      <c r="C814" s="346" t="s">
        <v>187</v>
      </c>
      <c r="D814" s="346" t="s">
        <v>605</v>
      </c>
      <c r="E814" s="346"/>
      <c r="F814" s="295">
        <f>F815</f>
        <v>0</v>
      </c>
      <c r="G814" s="344"/>
      <c r="H814" s="344"/>
      <c r="I814" s="344"/>
      <c r="J814" s="344"/>
      <c r="K814" s="344"/>
    </row>
    <row r="815" spans="1:11" s="128" customFormat="1" ht="31.5" hidden="1" x14ac:dyDescent="0.25">
      <c r="A815" s="345" t="s">
        <v>123</v>
      </c>
      <c r="B815" s="346" t="s">
        <v>187</v>
      </c>
      <c r="C815" s="346" t="s">
        <v>187</v>
      </c>
      <c r="D815" s="346" t="s">
        <v>605</v>
      </c>
      <c r="E815" s="346" t="s">
        <v>124</v>
      </c>
      <c r="F815" s="295">
        <f>F816</f>
        <v>0</v>
      </c>
      <c r="G815" s="344"/>
      <c r="H815" s="344"/>
      <c r="I815" s="344"/>
      <c r="J815" s="344"/>
      <c r="K815" s="344"/>
    </row>
    <row r="816" spans="1:11" s="128" customFormat="1" ht="47.25" hidden="1" x14ac:dyDescent="0.25">
      <c r="A816" s="345" t="s">
        <v>125</v>
      </c>
      <c r="B816" s="346" t="s">
        <v>187</v>
      </c>
      <c r="C816" s="346" t="s">
        <v>187</v>
      </c>
      <c r="D816" s="346" t="s">
        <v>605</v>
      </c>
      <c r="E816" s="346" t="s">
        <v>126</v>
      </c>
      <c r="F816" s="295">
        <f>'Пр.4 ведом.22'!G385</f>
        <v>0</v>
      </c>
      <c r="G816" s="344"/>
      <c r="H816" s="344"/>
      <c r="I816" s="344"/>
      <c r="J816" s="344"/>
      <c r="K816" s="344"/>
    </row>
    <row r="817" spans="1:11" s="343" customFormat="1" ht="31.5" x14ac:dyDescent="0.25">
      <c r="A817" s="345" t="s">
        <v>1322</v>
      </c>
      <c r="B817" s="346" t="s">
        <v>187</v>
      </c>
      <c r="C817" s="346" t="s">
        <v>187</v>
      </c>
      <c r="D817" s="346" t="s">
        <v>1327</v>
      </c>
      <c r="E817" s="346"/>
      <c r="F817" s="295">
        <f>F818</f>
        <v>459.2</v>
      </c>
      <c r="G817" s="344"/>
      <c r="H817" s="344"/>
      <c r="I817" s="344"/>
      <c r="J817" s="344"/>
      <c r="K817" s="344"/>
    </row>
    <row r="818" spans="1:11" s="343" customFormat="1" ht="31.5" x14ac:dyDescent="0.25">
      <c r="A818" s="345" t="s">
        <v>191</v>
      </c>
      <c r="B818" s="346" t="s">
        <v>187</v>
      </c>
      <c r="C818" s="346" t="s">
        <v>187</v>
      </c>
      <c r="D818" s="346" t="s">
        <v>1327</v>
      </c>
      <c r="E818" s="346" t="s">
        <v>192</v>
      </c>
      <c r="F818" s="295">
        <f>F819</f>
        <v>459.2</v>
      </c>
      <c r="G818" s="344"/>
      <c r="H818" s="344"/>
      <c r="I818" s="344"/>
      <c r="J818" s="344"/>
      <c r="K818" s="344"/>
    </row>
    <row r="819" spans="1:11" s="343" customFormat="1" ht="15.75" x14ac:dyDescent="0.25">
      <c r="A819" s="345" t="s">
        <v>193</v>
      </c>
      <c r="B819" s="346" t="s">
        <v>187</v>
      </c>
      <c r="C819" s="346" t="s">
        <v>187</v>
      </c>
      <c r="D819" s="346" t="s">
        <v>1327</v>
      </c>
      <c r="E819" s="346" t="s">
        <v>194</v>
      </c>
      <c r="F819" s="295">
        <f>'Пр.4 ведом.22'!G388</f>
        <v>459.2</v>
      </c>
      <c r="G819" s="344"/>
      <c r="H819" s="344"/>
      <c r="I819" s="344"/>
      <c r="J819" s="344"/>
      <c r="K819" s="344"/>
    </row>
    <row r="820" spans="1:11" s="128" customFormat="1" ht="63" x14ac:dyDescent="0.25">
      <c r="A820" s="298" t="s">
        <v>591</v>
      </c>
      <c r="B820" s="299" t="s">
        <v>187</v>
      </c>
      <c r="C820" s="299" t="s">
        <v>187</v>
      </c>
      <c r="D820" s="299" t="s">
        <v>465</v>
      </c>
      <c r="E820" s="299"/>
      <c r="F820" s="294">
        <f>F821+F826</f>
        <v>463.1</v>
      </c>
      <c r="G820" s="344"/>
      <c r="H820" s="344"/>
      <c r="I820" s="344"/>
      <c r="J820" s="344"/>
      <c r="K820" s="344"/>
    </row>
    <row r="821" spans="1:11" s="128" customFormat="1" ht="15.75" x14ac:dyDescent="0.25">
      <c r="A821" s="345" t="s">
        <v>592</v>
      </c>
      <c r="B821" s="346" t="s">
        <v>187</v>
      </c>
      <c r="C821" s="346" t="s">
        <v>187</v>
      </c>
      <c r="D821" s="346" t="s">
        <v>470</v>
      </c>
      <c r="E821" s="346"/>
      <c r="F821" s="295">
        <f>F822+F824</f>
        <v>463.1</v>
      </c>
      <c r="G821" s="344"/>
      <c r="H821" s="344"/>
      <c r="I821" s="344"/>
      <c r="J821" s="344"/>
      <c r="K821" s="344"/>
    </row>
    <row r="822" spans="1:11" s="128" customFormat="1" ht="78.75" x14ac:dyDescent="0.25">
      <c r="A822" s="345" t="s">
        <v>119</v>
      </c>
      <c r="B822" s="346" t="s">
        <v>187</v>
      </c>
      <c r="C822" s="346" t="s">
        <v>187</v>
      </c>
      <c r="D822" s="346" t="s">
        <v>470</v>
      </c>
      <c r="E822" s="346" t="s">
        <v>120</v>
      </c>
      <c r="F822" s="295">
        <f>F823</f>
        <v>40.1</v>
      </c>
      <c r="G822" s="344"/>
      <c r="H822" s="344"/>
      <c r="I822" s="344"/>
      <c r="J822" s="344"/>
      <c r="K822" s="344"/>
    </row>
    <row r="823" spans="1:11" s="128" customFormat="1" ht="18.75" customHeight="1" x14ac:dyDescent="0.25">
      <c r="A823" s="345" t="s">
        <v>212</v>
      </c>
      <c r="B823" s="346" t="s">
        <v>187</v>
      </c>
      <c r="C823" s="346" t="s">
        <v>187</v>
      </c>
      <c r="D823" s="346" t="s">
        <v>470</v>
      </c>
      <c r="E823" s="346" t="s">
        <v>156</v>
      </c>
      <c r="F823" s="295">
        <f>'Пр.4 ведом.22'!G392</f>
        <v>40.1</v>
      </c>
      <c r="G823" s="344"/>
      <c r="H823" s="344"/>
      <c r="I823" s="344"/>
      <c r="J823" s="344"/>
      <c r="K823" s="344"/>
    </row>
    <row r="824" spans="1:11" s="128" customFormat="1" ht="31.5" x14ac:dyDescent="0.25">
      <c r="A824" s="345" t="s">
        <v>123</v>
      </c>
      <c r="B824" s="346" t="s">
        <v>187</v>
      </c>
      <c r="C824" s="346" t="s">
        <v>187</v>
      </c>
      <c r="D824" s="346" t="s">
        <v>470</v>
      </c>
      <c r="E824" s="346" t="s">
        <v>124</v>
      </c>
      <c r="F824" s="295">
        <f>F825</f>
        <v>423</v>
      </c>
      <c r="G824" s="344"/>
      <c r="H824" s="344"/>
      <c r="I824" s="344"/>
      <c r="J824" s="344"/>
      <c r="K824" s="344"/>
    </row>
    <row r="825" spans="1:11" s="128" customFormat="1" ht="47.25" x14ac:dyDescent="0.25">
      <c r="A825" s="345" t="s">
        <v>125</v>
      </c>
      <c r="B825" s="346" t="s">
        <v>187</v>
      </c>
      <c r="C825" s="346" t="s">
        <v>187</v>
      </c>
      <c r="D825" s="346" t="s">
        <v>470</v>
      </c>
      <c r="E825" s="346" t="s">
        <v>126</v>
      </c>
      <c r="F825" s="295">
        <f>'Пр.4 ведом.22'!G394</f>
        <v>423</v>
      </c>
      <c r="G825" s="344"/>
      <c r="H825" s="344"/>
      <c r="I825" s="344"/>
      <c r="J825" s="344"/>
      <c r="K825" s="344"/>
    </row>
    <row r="826" spans="1:11" s="343" customFormat="1" ht="15.75" hidden="1" x14ac:dyDescent="0.25">
      <c r="A826" s="345" t="s">
        <v>1284</v>
      </c>
      <c r="B826" s="346" t="s">
        <v>187</v>
      </c>
      <c r="C826" s="346" t="s">
        <v>187</v>
      </c>
      <c r="D826" s="346" t="s">
        <v>1285</v>
      </c>
      <c r="E826" s="346"/>
      <c r="F826" s="295">
        <f>F827</f>
        <v>-2.8421709430404007E-14</v>
      </c>
      <c r="G826" s="344"/>
      <c r="H826" s="344"/>
      <c r="I826" s="344"/>
      <c r="J826" s="344"/>
      <c r="K826" s="344"/>
    </row>
    <row r="827" spans="1:11" s="343" customFormat="1" ht="31.5" hidden="1" x14ac:dyDescent="0.25">
      <c r="A827" s="345" t="s">
        <v>123</v>
      </c>
      <c r="B827" s="346" t="s">
        <v>187</v>
      </c>
      <c r="C827" s="346" t="s">
        <v>187</v>
      </c>
      <c r="D827" s="346" t="s">
        <v>1285</v>
      </c>
      <c r="E827" s="346" t="s">
        <v>124</v>
      </c>
      <c r="F827" s="295">
        <f>F828</f>
        <v>-2.8421709430404007E-14</v>
      </c>
      <c r="G827" s="344"/>
      <c r="H827" s="344"/>
      <c r="I827" s="344"/>
      <c r="J827" s="344"/>
      <c r="K827" s="344"/>
    </row>
    <row r="828" spans="1:11" s="343" customFormat="1" ht="47.25" hidden="1" x14ac:dyDescent="0.25">
      <c r="A828" s="345" t="s">
        <v>125</v>
      </c>
      <c r="B828" s="346" t="s">
        <v>187</v>
      </c>
      <c r="C828" s="346" t="s">
        <v>187</v>
      </c>
      <c r="D828" s="346" t="s">
        <v>1285</v>
      </c>
      <c r="E828" s="346" t="s">
        <v>126</v>
      </c>
      <c r="F828" s="295">
        <f>'Пр.4 ведом.22'!G397</f>
        <v>-2.8421709430404007E-14</v>
      </c>
      <c r="G828" s="344"/>
      <c r="H828" s="344"/>
      <c r="I828" s="344"/>
      <c r="J828" s="344"/>
      <c r="K828" s="344"/>
    </row>
    <row r="829" spans="1:11" s="128" customFormat="1" ht="31.5" x14ac:dyDescent="0.25">
      <c r="A829" s="298" t="s">
        <v>901</v>
      </c>
      <c r="B829" s="299" t="s">
        <v>187</v>
      </c>
      <c r="C829" s="299" t="s">
        <v>187</v>
      </c>
      <c r="D829" s="299" t="s">
        <v>593</v>
      </c>
      <c r="E829" s="299"/>
      <c r="F829" s="294">
        <f>F830</f>
        <v>50</v>
      </c>
      <c r="G829" s="344"/>
      <c r="H829" s="344"/>
      <c r="I829" s="344"/>
      <c r="J829" s="344"/>
      <c r="K829" s="344"/>
    </row>
    <row r="830" spans="1:11" s="128" customFormat="1" ht="47.25" x14ac:dyDescent="0.25">
      <c r="A830" s="150" t="s">
        <v>594</v>
      </c>
      <c r="B830" s="346" t="s">
        <v>187</v>
      </c>
      <c r="C830" s="346" t="s">
        <v>187</v>
      </c>
      <c r="D830" s="346" t="s">
        <v>606</v>
      </c>
      <c r="E830" s="346"/>
      <c r="F830" s="295">
        <f>F831</f>
        <v>50</v>
      </c>
      <c r="G830" s="344"/>
      <c r="H830" s="344"/>
      <c r="I830" s="344"/>
      <c r="J830" s="344"/>
      <c r="K830" s="344"/>
    </row>
    <row r="831" spans="1:11" s="128" customFormat="1" ht="21.2" customHeight="1" x14ac:dyDescent="0.25">
      <c r="A831" s="345" t="s">
        <v>177</v>
      </c>
      <c r="B831" s="346" t="s">
        <v>187</v>
      </c>
      <c r="C831" s="346" t="s">
        <v>187</v>
      </c>
      <c r="D831" s="346" t="s">
        <v>606</v>
      </c>
      <c r="E831" s="346" t="s">
        <v>178</v>
      </c>
      <c r="F831" s="295">
        <f>F832+F833</f>
        <v>50</v>
      </c>
      <c r="G831" s="344"/>
      <c r="H831" s="344"/>
      <c r="I831" s="344"/>
      <c r="J831" s="344"/>
      <c r="K831" s="344"/>
    </row>
    <row r="832" spans="1:11" s="128" customFormat="1" ht="31.5" hidden="1" x14ac:dyDescent="0.25">
      <c r="A832" s="345" t="s">
        <v>216</v>
      </c>
      <c r="B832" s="346" t="s">
        <v>187</v>
      </c>
      <c r="C832" s="346" t="s">
        <v>187</v>
      </c>
      <c r="D832" s="346" t="s">
        <v>606</v>
      </c>
      <c r="E832" s="346" t="s">
        <v>217</v>
      </c>
      <c r="F832" s="295">
        <f>'Пр.4 ведом.22'!G402</f>
        <v>0</v>
      </c>
      <c r="G832" s="344"/>
      <c r="H832" s="344"/>
      <c r="I832" s="344"/>
      <c r="J832" s="344"/>
      <c r="K832" s="344"/>
    </row>
    <row r="833" spans="1:11" s="343" customFormat="1" ht="31.5" x14ac:dyDescent="0.25">
      <c r="A833" s="345" t="s">
        <v>179</v>
      </c>
      <c r="B833" s="346" t="s">
        <v>187</v>
      </c>
      <c r="C833" s="346" t="s">
        <v>187</v>
      </c>
      <c r="D833" s="346" t="s">
        <v>606</v>
      </c>
      <c r="E833" s="346" t="s">
        <v>180</v>
      </c>
      <c r="F833" s="295">
        <f>'Пр.4 ведом.22'!G401</f>
        <v>50</v>
      </c>
      <c r="G833" s="344"/>
      <c r="H833" s="344"/>
      <c r="I833" s="344"/>
      <c r="J833" s="344"/>
      <c r="K833" s="344"/>
    </row>
    <row r="834" spans="1:11" ht="36.75" customHeight="1" x14ac:dyDescent="0.25">
      <c r="A834" s="298" t="s">
        <v>859</v>
      </c>
      <c r="B834" s="299" t="s">
        <v>187</v>
      </c>
      <c r="C834" s="299" t="s">
        <v>187</v>
      </c>
      <c r="D834" s="299" t="s">
        <v>237</v>
      </c>
      <c r="E834" s="299"/>
      <c r="F834" s="294">
        <f>F835+F839</f>
        <v>7947.5900000000011</v>
      </c>
    </row>
    <row r="835" spans="1:11" ht="31.5" x14ac:dyDescent="0.25">
      <c r="A835" s="298" t="s">
        <v>509</v>
      </c>
      <c r="B835" s="299" t="s">
        <v>187</v>
      </c>
      <c r="C835" s="299" t="s">
        <v>187</v>
      </c>
      <c r="D835" s="299" t="s">
        <v>770</v>
      </c>
      <c r="E835" s="299"/>
      <c r="F835" s="294">
        <f>F836</f>
        <v>7848.0900000000011</v>
      </c>
    </row>
    <row r="836" spans="1:11" ht="42" customHeight="1" x14ac:dyDescent="0.25">
      <c r="A836" s="22" t="s">
        <v>615</v>
      </c>
      <c r="B836" s="346" t="s">
        <v>187</v>
      </c>
      <c r="C836" s="346" t="s">
        <v>187</v>
      </c>
      <c r="D836" s="346" t="s">
        <v>787</v>
      </c>
      <c r="E836" s="346"/>
      <c r="F836" s="295">
        <f>F837</f>
        <v>7848.0900000000011</v>
      </c>
    </row>
    <row r="837" spans="1:11" ht="35.450000000000003" customHeight="1" x14ac:dyDescent="0.25">
      <c r="A837" s="345" t="s">
        <v>191</v>
      </c>
      <c r="B837" s="346" t="s">
        <v>187</v>
      </c>
      <c r="C837" s="346" t="s">
        <v>187</v>
      </c>
      <c r="D837" s="346" t="s">
        <v>787</v>
      </c>
      <c r="E837" s="346" t="s">
        <v>192</v>
      </c>
      <c r="F837" s="295">
        <f>F838</f>
        <v>7848.0900000000011</v>
      </c>
    </row>
    <row r="838" spans="1:11" ht="15.75" x14ac:dyDescent="0.25">
      <c r="A838" s="345" t="s">
        <v>193</v>
      </c>
      <c r="B838" s="346" t="s">
        <v>187</v>
      </c>
      <c r="C838" s="346" t="s">
        <v>187</v>
      </c>
      <c r="D838" s="346" t="s">
        <v>787</v>
      </c>
      <c r="E838" s="346" t="s">
        <v>194</v>
      </c>
      <c r="F838" s="295">
        <f>'Пр.4 ведом.22'!G883</f>
        <v>7848.0900000000011</v>
      </c>
    </row>
    <row r="839" spans="1:11" s="343" customFormat="1" ht="31.5" x14ac:dyDescent="0.25">
      <c r="A839" s="473" t="s">
        <v>1323</v>
      </c>
      <c r="B839" s="299" t="s">
        <v>187</v>
      </c>
      <c r="C839" s="299" t="s">
        <v>187</v>
      </c>
      <c r="D839" s="406" t="s">
        <v>1328</v>
      </c>
      <c r="E839" s="299"/>
      <c r="F839" s="294">
        <f>F840</f>
        <v>99.5</v>
      </c>
      <c r="G839" s="344"/>
      <c r="H839" s="344"/>
      <c r="I839" s="344"/>
      <c r="J839" s="344"/>
      <c r="K839" s="344"/>
    </row>
    <row r="840" spans="1:11" s="343" customFormat="1" ht="31.5" x14ac:dyDescent="0.25">
      <c r="A840" s="391" t="s">
        <v>1322</v>
      </c>
      <c r="B840" s="346" t="s">
        <v>187</v>
      </c>
      <c r="C840" s="346" t="s">
        <v>187</v>
      </c>
      <c r="D840" s="394" t="s">
        <v>1329</v>
      </c>
      <c r="E840" s="346"/>
      <c r="F840" s="295">
        <f>F841</f>
        <v>99.5</v>
      </c>
      <c r="G840" s="344"/>
      <c r="H840" s="344"/>
      <c r="I840" s="344"/>
      <c r="J840" s="344"/>
      <c r="K840" s="344"/>
    </row>
    <row r="841" spans="1:11" s="343" customFormat="1" ht="31.5" x14ac:dyDescent="0.25">
      <c r="A841" s="391" t="s">
        <v>191</v>
      </c>
      <c r="B841" s="346" t="s">
        <v>187</v>
      </c>
      <c r="C841" s="346" t="s">
        <v>187</v>
      </c>
      <c r="D841" s="394" t="s">
        <v>1329</v>
      </c>
      <c r="E841" s="346" t="s">
        <v>192</v>
      </c>
      <c r="F841" s="295">
        <f>F842</f>
        <v>99.5</v>
      </c>
      <c r="G841" s="344"/>
      <c r="H841" s="344"/>
      <c r="I841" s="344"/>
      <c r="J841" s="344"/>
      <c r="K841" s="344"/>
    </row>
    <row r="842" spans="1:11" s="343" customFormat="1" ht="15.75" x14ac:dyDescent="0.25">
      <c r="A842" s="345" t="s">
        <v>193</v>
      </c>
      <c r="B842" s="346" t="s">
        <v>187</v>
      </c>
      <c r="C842" s="346" t="s">
        <v>187</v>
      </c>
      <c r="D842" s="394" t="s">
        <v>1329</v>
      </c>
      <c r="E842" s="346" t="s">
        <v>194</v>
      </c>
      <c r="F842" s="295">
        <f>'Пр.4 ведом.22'!G887</f>
        <v>99.5</v>
      </c>
      <c r="G842" s="344"/>
      <c r="H842" s="344"/>
      <c r="I842" s="344"/>
      <c r="J842" s="344"/>
      <c r="K842" s="344"/>
    </row>
    <row r="843" spans="1:11" ht="15" customHeight="1" x14ac:dyDescent="0.25">
      <c r="A843" s="298" t="s">
        <v>201</v>
      </c>
      <c r="B843" s="299" t="s">
        <v>187</v>
      </c>
      <c r="C843" s="299" t="s">
        <v>161</v>
      </c>
      <c r="D843" s="299"/>
      <c r="E843" s="299"/>
      <c r="F843" s="294">
        <f>F844+F863</f>
        <v>27174.309099999999</v>
      </c>
    </row>
    <row r="844" spans="1:11" ht="31.5" x14ac:dyDescent="0.25">
      <c r="A844" s="298" t="s">
        <v>486</v>
      </c>
      <c r="B844" s="299" t="s">
        <v>187</v>
      </c>
      <c r="C844" s="299" t="s">
        <v>161</v>
      </c>
      <c r="D844" s="299" t="s">
        <v>432</v>
      </c>
      <c r="E844" s="299"/>
      <c r="F844" s="294">
        <f>F845</f>
        <v>15203.897319999996</v>
      </c>
    </row>
    <row r="845" spans="1:11" ht="15.75" x14ac:dyDescent="0.25">
      <c r="A845" s="298" t="s">
        <v>487</v>
      </c>
      <c r="B845" s="299" t="s">
        <v>187</v>
      </c>
      <c r="C845" s="299" t="s">
        <v>161</v>
      </c>
      <c r="D845" s="299" t="s">
        <v>433</v>
      </c>
      <c r="E845" s="299"/>
      <c r="F845" s="294">
        <f>F846+F860+F851</f>
        <v>15203.897319999996</v>
      </c>
    </row>
    <row r="846" spans="1:11" ht="31.5" x14ac:dyDescent="0.25">
      <c r="A846" s="345" t="s">
        <v>466</v>
      </c>
      <c r="B846" s="346" t="s">
        <v>187</v>
      </c>
      <c r="C846" s="346" t="s">
        <v>161</v>
      </c>
      <c r="D846" s="346" t="s">
        <v>434</v>
      </c>
      <c r="E846" s="346"/>
      <c r="F846" s="295">
        <f>F847+F849</f>
        <v>6062.829999999999</v>
      </c>
    </row>
    <row r="847" spans="1:11" ht="78.75" x14ac:dyDescent="0.25">
      <c r="A847" s="345" t="s">
        <v>119</v>
      </c>
      <c r="B847" s="346" t="s">
        <v>187</v>
      </c>
      <c r="C847" s="346" t="s">
        <v>161</v>
      </c>
      <c r="D847" s="346" t="s">
        <v>434</v>
      </c>
      <c r="E847" s="346" t="s">
        <v>120</v>
      </c>
      <c r="F847" s="295">
        <f>F848</f>
        <v>5811.829999999999</v>
      </c>
    </row>
    <row r="848" spans="1:11" ht="36.75" customHeight="1" x14ac:dyDescent="0.25">
      <c r="A848" s="345" t="s">
        <v>121</v>
      </c>
      <c r="B848" s="346" t="s">
        <v>187</v>
      </c>
      <c r="C848" s="346" t="s">
        <v>161</v>
      </c>
      <c r="D848" s="346" t="s">
        <v>434</v>
      </c>
      <c r="E848" s="346" t="s">
        <v>122</v>
      </c>
      <c r="F848" s="295">
        <f>'Пр.4 ведом.22'!G893</f>
        <v>5811.829999999999</v>
      </c>
    </row>
    <row r="849" spans="1:11" ht="31.5" x14ac:dyDescent="0.25">
      <c r="A849" s="345" t="s">
        <v>123</v>
      </c>
      <c r="B849" s="346" t="s">
        <v>187</v>
      </c>
      <c r="C849" s="346" t="s">
        <v>161</v>
      </c>
      <c r="D849" s="346" t="s">
        <v>434</v>
      </c>
      <c r="E849" s="346" t="s">
        <v>124</v>
      </c>
      <c r="F849" s="295">
        <f>F850</f>
        <v>251</v>
      </c>
    </row>
    <row r="850" spans="1:11" ht="47.25" x14ac:dyDescent="0.25">
      <c r="A850" s="345" t="s">
        <v>125</v>
      </c>
      <c r="B850" s="346" t="s">
        <v>187</v>
      </c>
      <c r="C850" s="346" t="s">
        <v>161</v>
      </c>
      <c r="D850" s="346" t="s">
        <v>434</v>
      </c>
      <c r="E850" s="346" t="s">
        <v>126</v>
      </c>
      <c r="F850" s="295">
        <f>'Пр.4 ведом.22'!G895</f>
        <v>251</v>
      </c>
    </row>
    <row r="851" spans="1:11" s="343" customFormat="1" ht="31.5" x14ac:dyDescent="0.25">
      <c r="A851" s="345" t="s">
        <v>415</v>
      </c>
      <c r="B851" s="346" t="s">
        <v>187</v>
      </c>
      <c r="C851" s="346" t="s">
        <v>161</v>
      </c>
      <c r="D851" s="346" t="s">
        <v>435</v>
      </c>
      <c r="E851" s="346"/>
      <c r="F851" s="295">
        <f>F852+F854+F858+F856</f>
        <v>8746.8003199999985</v>
      </c>
      <c r="G851" s="344"/>
      <c r="H851" s="344"/>
      <c r="I851" s="344"/>
      <c r="J851" s="344"/>
      <c r="K851" s="344"/>
    </row>
    <row r="852" spans="1:11" s="343" customFormat="1" ht="78.75" x14ac:dyDescent="0.25">
      <c r="A852" s="345" t="s">
        <v>119</v>
      </c>
      <c r="B852" s="346" t="s">
        <v>187</v>
      </c>
      <c r="C852" s="346" t="s">
        <v>161</v>
      </c>
      <c r="D852" s="346" t="s">
        <v>435</v>
      </c>
      <c r="E852" s="346" t="s">
        <v>120</v>
      </c>
      <c r="F852" s="295">
        <f>F853</f>
        <v>7593.8920099999987</v>
      </c>
      <c r="G852" s="344"/>
      <c r="H852" s="344"/>
      <c r="I852" s="344"/>
      <c r="J852" s="344"/>
      <c r="K852" s="344"/>
    </row>
    <row r="853" spans="1:11" s="343" customFormat="1" ht="31.5" x14ac:dyDescent="0.25">
      <c r="A853" s="345" t="s">
        <v>121</v>
      </c>
      <c r="B853" s="346" t="s">
        <v>187</v>
      </c>
      <c r="C853" s="346" t="s">
        <v>161</v>
      </c>
      <c r="D853" s="346" t="s">
        <v>435</v>
      </c>
      <c r="E853" s="346" t="s">
        <v>122</v>
      </c>
      <c r="F853" s="295">
        <f>'Пр.4 ведом.22'!G898</f>
        <v>7593.8920099999987</v>
      </c>
      <c r="G853" s="344"/>
      <c r="H853" s="344"/>
      <c r="I853" s="344"/>
      <c r="J853" s="344"/>
      <c r="K853" s="344"/>
    </row>
    <row r="854" spans="1:11" s="343" customFormat="1" ht="31.5" x14ac:dyDescent="0.25">
      <c r="A854" s="345" t="s">
        <v>123</v>
      </c>
      <c r="B854" s="346" t="s">
        <v>187</v>
      </c>
      <c r="C854" s="346" t="s">
        <v>161</v>
      </c>
      <c r="D854" s="346" t="s">
        <v>435</v>
      </c>
      <c r="E854" s="346" t="s">
        <v>124</v>
      </c>
      <c r="F854" s="295">
        <f>F855</f>
        <v>850.57400000000007</v>
      </c>
      <c r="G854" s="344"/>
      <c r="H854" s="344"/>
      <c r="I854" s="344"/>
      <c r="J854" s="344"/>
      <c r="K854" s="344"/>
    </row>
    <row r="855" spans="1:11" s="343" customFormat="1" ht="47.25" x14ac:dyDescent="0.25">
      <c r="A855" s="345" t="s">
        <v>125</v>
      </c>
      <c r="B855" s="346" t="s">
        <v>187</v>
      </c>
      <c r="C855" s="346" t="s">
        <v>161</v>
      </c>
      <c r="D855" s="346" t="s">
        <v>435</v>
      </c>
      <c r="E855" s="346" t="s">
        <v>126</v>
      </c>
      <c r="F855" s="295">
        <f>'Пр.4 ведом.22'!G900</f>
        <v>850.57400000000007</v>
      </c>
      <c r="G855" s="344"/>
      <c r="H855" s="344"/>
      <c r="I855" s="344"/>
      <c r="J855" s="344"/>
      <c r="K855" s="344"/>
    </row>
    <row r="856" spans="1:11" s="343" customFormat="1" ht="31.5" x14ac:dyDescent="0.25">
      <c r="A856" s="345" t="s">
        <v>177</v>
      </c>
      <c r="B856" s="346" t="s">
        <v>187</v>
      </c>
      <c r="C856" s="346" t="s">
        <v>161</v>
      </c>
      <c r="D856" s="346" t="s">
        <v>435</v>
      </c>
      <c r="E856" s="346" t="s">
        <v>178</v>
      </c>
      <c r="F856" s="295">
        <f>F857</f>
        <v>288.33431000000002</v>
      </c>
      <c r="G856" s="344"/>
      <c r="H856" s="344"/>
      <c r="I856" s="344"/>
      <c r="J856" s="344"/>
      <c r="K856" s="344"/>
    </row>
    <row r="857" spans="1:11" s="343" customFormat="1" ht="31.5" x14ac:dyDescent="0.25">
      <c r="A857" s="345" t="s">
        <v>179</v>
      </c>
      <c r="B857" s="346" t="s">
        <v>187</v>
      </c>
      <c r="C857" s="346" t="s">
        <v>161</v>
      </c>
      <c r="D857" s="346" t="s">
        <v>435</v>
      </c>
      <c r="E857" s="346" t="s">
        <v>180</v>
      </c>
      <c r="F857" s="295">
        <f>'Пр.4 ведом.22'!G902</f>
        <v>288.33431000000002</v>
      </c>
      <c r="G857" s="344"/>
      <c r="H857" s="344"/>
      <c r="I857" s="344"/>
      <c r="J857" s="344"/>
      <c r="K857" s="344"/>
    </row>
    <row r="858" spans="1:11" s="343" customFormat="1" ht="15.75" x14ac:dyDescent="0.25">
      <c r="A858" s="345" t="s">
        <v>127</v>
      </c>
      <c r="B858" s="346" t="s">
        <v>187</v>
      </c>
      <c r="C858" s="346" t="s">
        <v>161</v>
      </c>
      <c r="D858" s="346" t="s">
        <v>435</v>
      </c>
      <c r="E858" s="346" t="s">
        <v>134</v>
      </c>
      <c r="F858" s="295">
        <f>F859</f>
        <v>14</v>
      </c>
      <c r="G858" s="344"/>
      <c r="H858" s="344"/>
      <c r="I858" s="344"/>
      <c r="J858" s="344"/>
      <c r="K858" s="344"/>
    </row>
    <row r="859" spans="1:11" s="343" customFormat="1" ht="15.75" x14ac:dyDescent="0.25">
      <c r="A859" s="345" t="s">
        <v>280</v>
      </c>
      <c r="B859" s="346" t="s">
        <v>187</v>
      </c>
      <c r="C859" s="346" t="s">
        <v>161</v>
      </c>
      <c r="D859" s="346" t="s">
        <v>435</v>
      </c>
      <c r="E859" s="346" t="s">
        <v>130</v>
      </c>
      <c r="F859" s="295">
        <f>'Пр.4 ведом.22'!G904</f>
        <v>14</v>
      </c>
      <c r="G859" s="344"/>
      <c r="H859" s="344"/>
      <c r="I859" s="344"/>
      <c r="J859" s="344"/>
      <c r="K859" s="344"/>
    </row>
    <row r="860" spans="1:11" ht="47.25" x14ac:dyDescent="0.25">
      <c r="A860" s="345" t="s">
        <v>414</v>
      </c>
      <c r="B860" s="346" t="s">
        <v>187</v>
      </c>
      <c r="C860" s="346" t="s">
        <v>161</v>
      </c>
      <c r="D860" s="346" t="s">
        <v>436</v>
      </c>
      <c r="E860" s="346"/>
      <c r="F860" s="295">
        <f>F861</f>
        <v>394.267</v>
      </c>
    </row>
    <row r="861" spans="1:11" ht="78.75" x14ac:dyDescent="0.25">
      <c r="A861" s="345" t="s">
        <v>119</v>
      </c>
      <c r="B861" s="346" t="s">
        <v>187</v>
      </c>
      <c r="C861" s="346" t="s">
        <v>161</v>
      </c>
      <c r="D861" s="346" t="s">
        <v>436</v>
      </c>
      <c r="E861" s="346" t="s">
        <v>120</v>
      </c>
      <c r="F861" s="295">
        <f>F862</f>
        <v>394.267</v>
      </c>
    </row>
    <row r="862" spans="1:11" ht="31.5" x14ac:dyDescent="0.25">
      <c r="A862" s="345" t="s">
        <v>121</v>
      </c>
      <c r="B862" s="346" t="s">
        <v>187</v>
      </c>
      <c r="C862" s="346" t="s">
        <v>161</v>
      </c>
      <c r="D862" s="346" t="s">
        <v>436</v>
      </c>
      <c r="E862" s="346" t="s">
        <v>122</v>
      </c>
      <c r="F862" s="295">
        <f>'Пр.4 ведом.22'!G907</f>
        <v>394.267</v>
      </c>
    </row>
    <row r="863" spans="1:11" ht="15.75" x14ac:dyDescent="0.25">
      <c r="A863" s="298" t="s">
        <v>133</v>
      </c>
      <c r="B863" s="299" t="s">
        <v>187</v>
      </c>
      <c r="C863" s="299" t="s">
        <v>161</v>
      </c>
      <c r="D863" s="299" t="s">
        <v>440</v>
      </c>
      <c r="E863" s="299"/>
      <c r="F863" s="294">
        <f>F864+F875</f>
        <v>11970.41178</v>
      </c>
    </row>
    <row r="864" spans="1:11" s="343" customFormat="1" ht="15.75" x14ac:dyDescent="0.25">
      <c r="A864" s="298" t="s">
        <v>1115</v>
      </c>
      <c r="B864" s="299" t="s">
        <v>187</v>
      </c>
      <c r="C864" s="299" t="s">
        <v>161</v>
      </c>
      <c r="D864" s="299" t="s">
        <v>516</v>
      </c>
      <c r="E864" s="299"/>
      <c r="F864" s="294">
        <f>F865+F868</f>
        <v>11470.41178</v>
      </c>
      <c r="G864" s="344"/>
      <c r="H864" s="344"/>
      <c r="I864" s="344"/>
      <c r="J864" s="344"/>
      <c r="K864" s="344"/>
    </row>
    <row r="865" spans="1:11" s="343" customFormat="1" ht="47.25" hidden="1" x14ac:dyDescent="0.25">
      <c r="A865" s="345" t="s">
        <v>414</v>
      </c>
      <c r="B865" s="346" t="s">
        <v>187</v>
      </c>
      <c r="C865" s="346" t="s">
        <v>161</v>
      </c>
      <c r="D865" s="346" t="s">
        <v>519</v>
      </c>
      <c r="E865" s="346"/>
      <c r="F865" s="295">
        <f>F866</f>
        <v>43.74</v>
      </c>
      <c r="G865" s="344"/>
      <c r="H865" s="344"/>
      <c r="I865" s="344"/>
      <c r="J865" s="344"/>
      <c r="K865" s="344"/>
    </row>
    <row r="866" spans="1:11" s="343" customFormat="1" ht="78.75" hidden="1" x14ac:dyDescent="0.25">
      <c r="A866" s="345" t="s">
        <v>119</v>
      </c>
      <c r="B866" s="346" t="s">
        <v>187</v>
      </c>
      <c r="C866" s="346" t="s">
        <v>161</v>
      </c>
      <c r="D866" s="346" t="s">
        <v>519</v>
      </c>
      <c r="E866" s="346" t="s">
        <v>120</v>
      </c>
      <c r="F866" s="295">
        <f>F867</f>
        <v>43.74</v>
      </c>
      <c r="G866" s="344"/>
      <c r="H866" s="344"/>
      <c r="I866" s="344"/>
      <c r="J866" s="344"/>
      <c r="K866" s="344"/>
    </row>
    <row r="867" spans="1:11" s="343" customFormat="1" ht="31.5" hidden="1" x14ac:dyDescent="0.25">
      <c r="A867" s="345" t="s">
        <v>212</v>
      </c>
      <c r="B867" s="346" t="s">
        <v>187</v>
      </c>
      <c r="C867" s="346" t="s">
        <v>161</v>
      </c>
      <c r="D867" s="346" t="s">
        <v>519</v>
      </c>
      <c r="E867" s="346" t="s">
        <v>156</v>
      </c>
      <c r="F867" s="295">
        <f>'Пр.4 ведом.22'!G912</f>
        <v>43.74</v>
      </c>
      <c r="G867" s="344"/>
      <c r="H867" s="344"/>
      <c r="I867" s="344"/>
      <c r="J867" s="344"/>
      <c r="K867" s="344"/>
    </row>
    <row r="868" spans="1:11" s="343" customFormat="1" ht="15.75" x14ac:dyDescent="0.25">
      <c r="A868" s="345" t="s">
        <v>377</v>
      </c>
      <c r="B868" s="346" t="s">
        <v>187</v>
      </c>
      <c r="C868" s="346" t="s">
        <v>161</v>
      </c>
      <c r="D868" s="346" t="s">
        <v>518</v>
      </c>
      <c r="E868" s="346"/>
      <c r="F868" s="295">
        <f>F869+F871+F873</f>
        <v>11426.671780000001</v>
      </c>
      <c r="G868" s="344"/>
      <c r="H868" s="344"/>
      <c r="I868" s="344"/>
      <c r="J868" s="344"/>
      <c r="K868" s="344"/>
    </row>
    <row r="869" spans="1:11" s="343" customFormat="1" ht="78.75" x14ac:dyDescent="0.25">
      <c r="A869" s="345" t="s">
        <v>119</v>
      </c>
      <c r="B869" s="346" t="s">
        <v>187</v>
      </c>
      <c r="C869" s="346" t="s">
        <v>161</v>
      </c>
      <c r="D869" s="346" t="s">
        <v>518</v>
      </c>
      <c r="E869" s="346" t="s">
        <v>120</v>
      </c>
      <c r="F869" s="295">
        <f>F870</f>
        <v>10743.34078</v>
      </c>
      <c r="G869" s="344"/>
      <c r="H869" s="344"/>
      <c r="I869" s="344"/>
      <c r="J869" s="344"/>
      <c r="K869" s="344"/>
    </row>
    <row r="870" spans="1:11" s="343" customFormat="1" ht="31.5" x14ac:dyDescent="0.25">
      <c r="A870" s="345" t="s">
        <v>212</v>
      </c>
      <c r="B870" s="346" t="s">
        <v>187</v>
      </c>
      <c r="C870" s="346" t="s">
        <v>161</v>
      </c>
      <c r="D870" s="346" t="s">
        <v>518</v>
      </c>
      <c r="E870" s="346" t="s">
        <v>156</v>
      </c>
      <c r="F870" s="295">
        <f>'Пр.4 ведом.22'!G915</f>
        <v>10743.34078</v>
      </c>
      <c r="G870" s="344"/>
      <c r="H870" s="344"/>
      <c r="I870" s="344"/>
      <c r="J870" s="344"/>
      <c r="K870" s="344"/>
    </row>
    <row r="871" spans="1:11" s="343" customFormat="1" ht="31.5" hidden="1" x14ac:dyDescent="0.25">
      <c r="A871" s="345" t="s">
        <v>123</v>
      </c>
      <c r="B871" s="346" t="s">
        <v>187</v>
      </c>
      <c r="C871" s="346" t="s">
        <v>161</v>
      </c>
      <c r="D871" s="346" t="s">
        <v>518</v>
      </c>
      <c r="E871" s="346" t="s">
        <v>124</v>
      </c>
      <c r="F871" s="295">
        <f>F872</f>
        <v>683.3309999999999</v>
      </c>
      <c r="G871" s="344"/>
      <c r="H871" s="344"/>
      <c r="I871" s="344"/>
      <c r="J871" s="344"/>
      <c r="K871" s="344"/>
    </row>
    <row r="872" spans="1:11" s="343" customFormat="1" ht="47.25" hidden="1" x14ac:dyDescent="0.25">
      <c r="A872" s="345" t="s">
        <v>125</v>
      </c>
      <c r="B872" s="346" t="s">
        <v>187</v>
      </c>
      <c r="C872" s="346" t="s">
        <v>161</v>
      </c>
      <c r="D872" s="346" t="s">
        <v>518</v>
      </c>
      <c r="E872" s="346" t="s">
        <v>126</v>
      </c>
      <c r="F872" s="295">
        <f>'Пр.4 ведом.22'!G917</f>
        <v>683.3309999999999</v>
      </c>
      <c r="G872" s="344"/>
      <c r="H872" s="344"/>
      <c r="I872" s="344"/>
      <c r="J872" s="344"/>
      <c r="K872" s="344"/>
    </row>
    <row r="873" spans="1:11" s="343" customFormat="1" ht="15.75" hidden="1" x14ac:dyDescent="0.25">
      <c r="A873" s="345" t="s">
        <v>127</v>
      </c>
      <c r="B873" s="346" t="s">
        <v>187</v>
      </c>
      <c r="C873" s="346" t="s">
        <v>161</v>
      </c>
      <c r="D873" s="346" t="s">
        <v>518</v>
      </c>
      <c r="E873" s="346" t="s">
        <v>134</v>
      </c>
      <c r="F873" s="295">
        <f>F874</f>
        <v>0</v>
      </c>
      <c r="G873" s="344"/>
      <c r="H873" s="344"/>
      <c r="I873" s="344"/>
      <c r="J873" s="344"/>
      <c r="K873" s="344"/>
    </row>
    <row r="874" spans="1:11" s="343" customFormat="1" ht="15.75" hidden="1" x14ac:dyDescent="0.25">
      <c r="A874" s="345" t="s">
        <v>280</v>
      </c>
      <c r="B874" s="346" t="s">
        <v>187</v>
      </c>
      <c r="C874" s="346" t="s">
        <v>161</v>
      </c>
      <c r="D874" s="346" t="s">
        <v>518</v>
      </c>
      <c r="E874" s="346" t="s">
        <v>130</v>
      </c>
      <c r="F874" s="295">
        <f>'Пр.4 ведом.22'!G919</f>
        <v>0</v>
      </c>
      <c r="G874" s="344"/>
      <c r="H874" s="344"/>
      <c r="I874" s="344"/>
      <c r="J874" s="344"/>
      <c r="K874" s="344"/>
    </row>
    <row r="875" spans="1:11" ht="31.5" x14ac:dyDescent="0.25">
      <c r="A875" s="298" t="s">
        <v>444</v>
      </c>
      <c r="B875" s="299" t="s">
        <v>187</v>
      </c>
      <c r="C875" s="299" t="s">
        <v>161</v>
      </c>
      <c r="D875" s="299" t="s">
        <v>439</v>
      </c>
      <c r="E875" s="299"/>
      <c r="F875" s="294">
        <f>F879+F876</f>
        <v>500</v>
      </c>
    </row>
    <row r="876" spans="1:11" s="293" customFormat="1" ht="47.25" hidden="1" x14ac:dyDescent="0.25">
      <c r="A876" s="22" t="s">
        <v>1067</v>
      </c>
      <c r="B876" s="346" t="s">
        <v>187</v>
      </c>
      <c r="C876" s="346" t="s">
        <v>161</v>
      </c>
      <c r="D876" s="346" t="s">
        <v>1066</v>
      </c>
      <c r="E876" s="346"/>
      <c r="F876" s="295">
        <f>F877</f>
        <v>0</v>
      </c>
      <c r="G876" s="344"/>
      <c r="H876" s="344"/>
      <c r="I876" s="344"/>
      <c r="J876" s="344"/>
      <c r="K876" s="344"/>
    </row>
    <row r="877" spans="1:11" s="293" customFormat="1" ht="31.5" hidden="1" x14ac:dyDescent="0.25">
      <c r="A877" s="345" t="s">
        <v>123</v>
      </c>
      <c r="B877" s="346" t="s">
        <v>187</v>
      </c>
      <c r="C877" s="346" t="s">
        <v>161</v>
      </c>
      <c r="D877" s="346" t="s">
        <v>1066</v>
      </c>
      <c r="E877" s="346" t="s">
        <v>124</v>
      </c>
      <c r="F877" s="295">
        <f>F878</f>
        <v>0</v>
      </c>
      <c r="G877" s="344"/>
      <c r="H877" s="344"/>
      <c r="I877" s="344"/>
      <c r="J877" s="344"/>
      <c r="K877" s="344"/>
    </row>
    <row r="878" spans="1:11" s="293" customFormat="1" ht="47.25" hidden="1" x14ac:dyDescent="0.25">
      <c r="A878" s="345" t="s">
        <v>125</v>
      </c>
      <c r="B878" s="346" t="s">
        <v>187</v>
      </c>
      <c r="C878" s="346" t="s">
        <v>161</v>
      </c>
      <c r="D878" s="346" t="s">
        <v>1066</v>
      </c>
      <c r="E878" s="346" t="s">
        <v>126</v>
      </c>
      <c r="F878" s="295">
        <f>'Пр.4 ведом.22'!G407</f>
        <v>0</v>
      </c>
      <c r="G878" s="344"/>
      <c r="H878" s="344"/>
      <c r="I878" s="344"/>
      <c r="J878" s="344"/>
      <c r="K878" s="344"/>
    </row>
    <row r="879" spans="1:11" ht="15.75" x14ac:dyDescent="0.25">
      <c r="A879" s="345" t="s">
        <v>247</v>
      </c>
      <c r="B879" s="346" t="s">
        <v>187</v>
      </c>
      <c r="C879" s="346" t="s">
        <v>161</v>
      </c>
      <c r="D879" s="346" t="s">
        <v>510</v>
      </c>
      <c r="E879" s="346"/>
      <c r="F879" s="295">
        <f>F880+F882</f>
        <v>500</v>
      </c>
    </row>
    <row r="880" spans="1:11" s="293" customFormat="1" ht="78.75" hidden="1" x14ac:dyDescent="0.25">
      <c r="A880" s="345" t="s">
        <v>119</v>
      </c>
      <c r="B880" s="346" t="s">
        <v>187</v>
      </c>
      <c r="C880" s="346" t="s">
        <v>161</v>
      </c>
      <c r="D880" s="346" t="s">
        <v>510</v>
      </c>
      <c r="E880" s="346" t="s">
        <v>120</v>
      </c>
      <c r="F880" s="295">
        <f>F881</f>
        <v>0</v>
      </c>
      <c r="G880" s="344"/>
      <c r="H880" s="344"/>
      <c r="I880" s="344"/>
      <c r="J880" s="344"/>
      <c r="K880" s="344"/>
    </row>
    <row r="881" spans="1:12" s="293" customFormat="1" ht="31.5" hidden="1" x14ac:dyDescent="0.25">
      <c r="A881" s="345" t="s">
        <v>212</v>
      </c>
      <c r="B881" s="346" t="s">
        <v>187</v>
      </c>
      <c r="C881" s="346" t="s">
        <v>161</v>
      </c>
      <c r="D881" s="346" t="s">
        <v>510</v>
      </c>
      <c r="E881" s="346" t="s">
        <v>156</v>
      </c>
      <c r="F881" s="295">
        <f>'Пр.4 ведом.22'!G923</f>
        <v>0</v>
      </c>
      <c r="G881" s="344"/>
      <c r="H881" s="344"/>
      <c r="I881" s="344"/>
      <c r="J881" s="344"/>
      <c r="K881" s="344"/>
    </row>
    <row r="882" spans="1:12" ht="31.5" x14ac:dyDescent="0.25">
      <c r="A882" s="345" t="s">
        <v>123</v>
      </c>
      <c r="B882" s="346" t="s">
        <v>187</v>
      </c>
      <c r="C882" s="346" t="s">
        <v>161</v>
      </c>
      <c r="D882" s="346" t="s">
        <v>510</v>
      </c>
      <c r="E882" s="346" t="s">
        <v>124</v>
      </c>
      <c r="F882" s="295">
        <f>F883</f>
        <v>500</v>
      </c>
    </row>
    <row r="883" spans="1:12" ht="39.75" customHeight="1" x14ac:dyDescent="0.25">
      <c r="A883" s="345" t="s">
        <v>125</v>
      </c>
      <c r="B883" s="346" t="s">
        <v>187</v>
      </c>
      <c r="C883" s="346" t="s">
        <v>161</v>
      </c>
      <c r="D883" s="346" t="s">
        <v>510</v>
      </c>
      <c r="E883" s="346" t="s">
        <v>126</v>
      </c>
      <c r="F883" s="295">
        <f>'Пр.4 ведом.22'!G925</f>
        <v>500</v>
      </c>
    </row>
    <row r="884" spans="1:12" ht="36.75" hidden="1" customHeight="1" x14ac:dyDescent="0.25">
      <c r="A884" s="298" t="s">
        <v>498</v>
      </c>
      <c r="B884" s="299" t="s">
        <v>187</v>
      </c>
      <c r="C884" s="299" t="s">
        <v>161</v>
      </c>
      <c r="D884" s="299" t="s">
        <v>483</v>
      </c>
      <c r="E884" s="299"/>
      <c r="F884" s="294">
        <f>F885+F892</f>
        <v>0</v>
      </c>
    </row>
    <row r="885" spans="1:12" ht="31.5" hidden="1" x14ac:dyDescent="0.25">
      <c r="A885" s="345" t="s">
        <v>472</v>
      </c>
      <c r="B885" s="346" t="s">
        <v>187</v>
      </c>
      <c r="C885" s="346" t="s">
        <v>161</v>
      </c>
      <c r="D885" s="346" t="s">
        <v>484</v>
      </c>
      <c r="E885" s="346"/>
      <c r="F885" s="246">
        <f>F886+F888+F890</f>
        <v>0</v>
      </c>
    </row>
    <row r="886" spans="1:12" ht="78.75" hidden="1" x14ac:dyDescent="0.25">
      <c r="A886" s="345" t="s">
        <v>119</v>
      </c>
      <c r="B886" s="346" t="s">
        <v>187</v>
      </c>
      <c r="C886" s="346" t="s">
        <v>161</v>
      </c>
      <c r="D886" s="346" t="s">
        <v>484</v>
      </c>
      <c r="E886" s="346" t="s">
        <v>120</v>
      </c>
      <c r="F886" s="246">
        <f>F887</f>
        <v>0</v>
      </c>
    </row>
    <row r="887" spans="1:12" ht="24" hidden="1" customHeight="1" x14ac:dyDescent="0.25">
      <c r="A887" s="345" t="s">
        <v>212</v>
      </c>
      <c r="B887" s="346" t="s">
        <v>187</v>
      </c>
      <c r="C887" s="346" t="s">
        <v>161</v>
      </c>
      <c r="D887" s="346" t="s">
        <v>484</v>
      </c>
      <c r="E887" s="346" t="s">
        <v>156</v>
      </c>
      <c r="F887" s="295">
        <f>'Пр.4 ведом.22'!G929</f>
        <v>0</v>
      </c>
    </row>
    <row r="888" spans="1:12" ht="31.5" hidden="1" x14ac:dyDescent="0.25">
      <c r="A888" s="345" t="s">
        <v>123</v>
      </c>
      <c r="B888" s="346" t="s">
        <v>187</v>
      </c>
      <c r="C888" s="346" t="s">
        <v>161</v>
      </c>
      <c r="D888" s="346" t="s">
        <v>484</v>
      </c>
      <c r="E888" s="346" t="s">
        <v>124</v>
      </c>
      <c r="F888" s="295">
        <f>F889</f>
        <v>0</v>
      </c>
    </row>
    <row r="889" spans="1:12" ht="31.7" hidden="1" customHeight="1" x14ac:dyDescent="0.25">
      <c r="A889" s="345" t="s">
        <v>125</v>
      </c>
      <c r="B889" s="346" t="s">
        <v>187</v>
      </c>
      <c r="C889" s="346" t="s">
        <v>161</v>
      </c>
      <c r="D889" s="346" t="s">
        <v>484</v>
      </c>
      <c r="E889" s="346" t="s">
        <v>126</v>
      </c>
      <c r="F889" s="295">
        <f>'Пр.4 ведом.22'!G931</f>
        <v>0</v>
      </c>
    </row>
    <row r="890" spans="1:12" ht="22.7" hidden="1" customHeight="1" x14ac:dyDescent="0.25">
      <c r="A890" s="345" t="s">
        <v>127</v>
      </c>
      <c r="B890" s="346" t="s">
        <v>187</v>
      </c>
      <c r="C890" s="346" t="s">
        <v>161</v>
      </c>
      <c r="D890" s="346" t="s">
        <v>484</v>
      </c>
      <c r="E890" s="346" t="s">
        <v>134</v>
      </c>
      <c r="F890" s="295">
        <f t="shared" ref="F890" si="78">F891</f>
        <v>0</v>
      </c>
    </row>
    <row r="891" spans="1:12" ht="15.75" hidden="1" customHeight="1" x14ac:dyDescent="0.25">
      <c r="A891" s="345" t="s">
        <v>280</v>
      </c>
      <c r="B891" s="346" t="s">
        <v>187</v>
      </c>
      <c r="C891" s="346" t="s">
        <v>161</v>
      </c>
      <c r="D891" s="346" t="s">
        <v>484</v>
      </c>
      <c r="E891" s="346" t="s">
        <v>130</v>
      </c>
      <c r="F891" s="295">
        <f>'Пр.4 ведом.22'!G933</f>
        <v>0</v>
      </c>
    </row>
    <row r="892" spans="1:12" ht="47.25" hidden="1" customHeight="1" x14ac:dyDescent="0.25">
      <c r="A892" s="345" t="s">
        <v>414</v>
      </c>
      <c r="B892" s="346" t="s">
        <v>187</v>
      </c>
      <c r="C892" s="346" t="s">
        <v>161</v>
      </c>
      <c r="D892" s="346" t="s">
        <v>485</v>
      </c>
      <c r="E892" s="346"/>
      <c r="F892" s="295">
        <f>F893</f>
        <v>0</v>
      </c>
    </row>
    <row r="893" spans="1:12" ht="78.75" hidden="1" x14ac:dyDescent="0.25">
      <c r="A893" s="345" t="s">
        <v>119</v>
      </c>
      <c r="B893" s="346" t="s">
        <v>187</v>
      </c>
      <c r="C893" s="346" t="s">
        <v>161</v>
      </c>
      <c r="D893" s="346" t="s">
        <v>485</v>
      </c>
      <c r="E893" s="346" t="s">
        <v>120</v>
      </c>
      <c r="F893" s="295">
        <f>F894</f>
        <v>0</v>
      </c>
    </row>
    <row r="894" spans="1:12" ht="31.5" hidden="1" x14ac:dyDescent="0.25">
      <c r="A894" s="345" t="s">
        <v>121</v>
      </c>
      <c r="B894" s="346" t="s">
        <v>187</v>
      </c>
      <c r="C894" s="346" t="s">
        <v>161</v>
      </c>
      <c r="D894" s="346" t="s">
        <v>485</v>
      </c>
      <c r="E894" s="346" t="s">
        <v>122</v>
      </c>
      <c r="F894" s="295">
        <f>'Пр.4 ведом.22'!G936</f>
        <v>0</v>
      </c>
    </row>
    <row r="895" spans="1:12" ht="15.75" x14ac:dyDescent="0.25">
      <c r="A895" s="340" t="s">
        <v>202</v>
      </c>
      <c r="B895" s="6" t="s">
        <v>203</v>
      </c>
      <c r="C895" s="6"/>
      <c r="D895" s="6"/>
      <c r="E895" s="6"/>
      <c r="F895" s="294">
        <f>F896+F994</f>
        <v>96324.704029999994</v>
      </c>
      <c r="H895" s="71"/>
      <c r="K895" s="149" t="e">
        <f>F895-F937-'Пр.4 ведом.22'!#REF!-'Пр.4 ведом.22'!#REF!-'Пр.4 ведом.22'!#REF!-'Пр.4 ведом.22'!#REF!</f>
        <v>#REF!</v>
      </c>
      <c r="L895" s="151" t="e">
        <f>F909+F937+F951-'Пр.4 ведом.22'!#REF!-'Пр.4 ведом.22'!#REF!-'Пр.4 ведом.22'!#REF!-'Пр.4 ведом.22'!#REF!</f>
        <v>#REF!</v>
      </c>
    </row>
    <row r="896" spans="1:12" ht="15.75" x14ac:dyDescent="0.25">
      <c r="A896" s="340" t="s">
        <v>204</v>
      </c>
      <c r="B896" s="6" t="s">
        <v>203</v>
      </c>
      <c r="C896" s="6" t="s">
        <v>116</v>
      </c>
      <c r="D896" s="6"/>
      <c r="E896" s="6"/>
      <c r="F896" s="294">
        <f>F897+F978+F986</f>
        <v>71851.15058999999</v>
      </c>
      <c r="G896" s="71"/>
      <c r="H896" s="71"/>
      <c r="I896" s="71"/>
      <c r="J896" s="71"/>
    </row>
    <row r="897" spans="1:12" ht="34.5" customHeight="1" x14ac:dyDescent="0.25">
      <c r="A897" s="298" t="s">
        <v>855</v>
      </c>
      <c r="B897" s="299" t="s">
        <v>203</v>
      </c>
      <c r="C897" s="299" t="s">
        <v>116</v>
      </c>
      <c r="D897" s="299" t="s">
        <v>189</v>
      </c>
      <c r="E897" s="299"/>
      <c r="F897" s="294">
        <f>F898+F912+F927+F937+F946+F950+F965+F972+F961</f>
        <v>70537.750589999996</v>
      </c>
      <c r="H897" s="123"/>
    </row>
    <row r="898" spans="1:12" ht="34.5" customHeight="1" x14ac:dyDescent="0.25">
      <c r="A898" s="298" t="s">
        <v>815</v>
      </c>
      <c r="B898" s="299" t="s">
        <v>203</v>
      </c>
      <c r="C898" s="299" t="s">
        <v>116</v>
      </c>
      <c r="D898" s="299" t="s">
        <v>741</v>
      </c>
      <c r="E898" s="299"/>
      <c r="F898" s="294">
        <f>F902+F909+F899</f>
        <v>53159.095260000002</v>
      </c>
    </row>
    <row r="899" spans="1:12" s="343" customFormat="1" ht="31.5" x14ac:dyDescent="0.25">
      <c r="A899" s="345" t="s">
        <v>205</v>
      </c>
      <c r="B899" s="346" t="s">
        <v>203</v>
      </c>
      <c r="C899" s="346" t="s">
        <v>116</v>
      </c>
      <c r="D899" s="394" t="s">
        <v>1218</v>
      </c>
      <c r="E899" s="346"/>
      <c r="F899" s="295">
        <f>F900</f>
        <v>29345.94469</v>
      </c>
      <c r="G899" s="344"/>
      <c r="H899" s="344"/>
      <c r="I899" s="344"/>
      <c r="J899" s="344"/>
      <c r="K899" s="344"/>
    </row>
    <row r="900" spans="1:12" s="343" customFormat="1" ht="31.5" x14ac:dyDescent="0.25">
      <c r="A900" s="345" t="s">
        <v>191</v>
      </c>
      <c r="B900" s="346" t="s">
        <v>203</v>
      </c>
      <c r="C900" s="346" t="s">
        <v>116</v>
      </c>
      <c r="D900" s="394" t="s">
        <v>1218</v>
      </c>
      <c r="E900" s="346" t="s">
        <v>192</v>
      </c>
      <c r="F900" s="295">
        <f>F901</f>
        <v>29345.94469</v>
      </c>
      <c r="G900" s="344"/>
      <c r="H900" s="344"/>
      <c r="I900" s="344"/>
      <c r="J900" s="344"/>
      <c r="K900" s="344"/>
    </row>
    <row r="901" spans="1:12" s="343" customFormat="1" ht="15.75" x14ac:dyDescent="0.25">
      <c r="A901" s="345" t="s">
        <v>193</v>
      </c>
      <c r="B901" s="346" t="s">
        <v>203</v>
      </c>
      <c r="C901" s="346" t="s">
        <v>116</v>
      </c>
      <c r="D901" s="394" t="s">
        <v>1218</v>
      </c>
      <c r="E901" s="346" t="s">
        <v>194</v>
      </c>
      <c r="F901" s="295">
        <f>'Пр.4 ведом.22'!G414</f>
        <v>29345.94469</v>
      </c>
      <c r="G901" s="344"/>
      <c r="H901" s="344"/>
      <c r="I901" s="344"/>
      <c r="J901" s="344"/>
      <c r="K901" s="344"/>
    </row>
    <row r="902" spans="1:12" ht="15.75" x14ac:dyDescent="0.25">
      <c r="A902" s="345" t="s">
        <v>376</v>
      </c>
      <c r="B902" s="346" t="s">
        <v>203</v>
      </c>
      <c r="C902" s="346" t="s">
        <v>116</v>
      </c>
      <c r="D902" s="346" t="s">
        <v>742</v>
      </c>
      <c r="E902" s="346"/>
      <c r="F902" s="295">
        <f>F903+F905+F907</f>
        <v>23813.150570000002</v>
      </c>
    </row>
    <row r="903" spans="1:12" ht="78.75" x14ac:dyDescent="0.25">
      <c r="A903" s="345" t="s">
        <v>119</v>
      </c>
      <c r="B903" s="346" t="s">
        <v>203</v>
      </c>
      <c r="C903" s="346" t="s">
        <v>116</v>
      </c>
      <c r="D903" s="346" t="s">
        <v>742</v>
      </c>
      <c r="E903" s="346" t="s">
        <v>120</v>
      </c>
      <c r="F903" s="295">
        <f>F904</f>
        <v>19555.05</v>
      </c>
    </row>
    <row r="904" spans="1:12" ht="15.75" x14ac:dyDescent="0.25">
      <c r="A904" s="345" t="s">
        <v>155</v>
      </c>
      <c r="B904" s="346" t="s">
        <v>203</v>
      </c>
      <c r="C904" s="346" t="s">
        <v>116</v>
      </c>
      <c r="D904" s="346" t="s">
        <v>742</v>
      </c>
      <c r="E904" s="346" t="s">
        <v>156</v>
      </c>
      <c r="F904" s="295">
        <f>'Пр.4 ведом.22'!G417</f>
        <v>19555.05</v>
      </c>
    </row>
    <row r="905" spans="1:12" ht="31.5" x14ac:dyDescent="0.25">
      <c r="A905" s="345" t="s">
        <v>123</v>
      </c>
      <c r="B905" s="346" t="s">
        <v>203</v>
      </c>
      <c r="C905" s="346" t="s">
        <v>116</v>
      </c>
      <c r="D905" s="346" t="s">
        <v>742</v>
      </c>
      <c r="E905" s="346" t="s">
        <v>124</v>
      </c>
      <c r="F905" s="295">
        <f>F906</f>
        <v>4185.6000000000004</v>
      </c>
      <c r="G905" s="71"/>
      <c r="L905" s="15"/>
    </row>
    <row r="906" spans="1:12" ht="47.25" x14ac:dyDescent="0.25">
      <c r="A906" s="345" t="s">
        <v>125</v>
      </c>
      <c r="B906" s="346" t="s">
        <v>203</v>
      </c>
      <c r="C906" s="346" t="s">
        <v>116</v>
      </c>
      <c r="D906" s="346" t="s">
        <v>742</v>
      </c>
      <c r="E906" s="346" t="s">
        <v>126</v>
      </c>
      <c r="F906" s="295">
        <f>'Пр.4 ведом.22'!G419</f>
        <v>4185.6000000000004</v>
      </c>
    </row>
    <row r="907" spans="1:12" ht="15.75" x14ac:dyDescent="0.25">
      <c r="A907" s="345" t="s">
        <v>127</v>
      </c>
      <c r="B907" s="346" t="s">
        <v>203</v>
      </c>
      <c r="C907" s="346" t="s">
        <v>116</v>
      </c>
      <c r="D907" s="346" t="s">
        <v>742</v>
      </c>
      <c r="E907" s="346" t="s">
        <v>134</v>
      </c>
      <c r="F907" s="295">
        <f t="shared" ref="F907" si="79">F908</f>
        <v>72.50057000000001</v>
      </c>
    </row>
    <row r="908" spans="1:12" ht="15.75" x14ac:dyDescent="0.25">
      <c r="A908" s="345" t="s">
        <v>280</v>
      </c>
      <c r="B908" s="346" t="s">
        <v>203</v>
      </c>
      <c r="C908" s="346" t="s">
        <v>116</v>
      </c>
      <c r="D908" s="346" t="s">
        <v>742</v>
      </c>
      <c r="E908" s="346" t="s">
        <v>130</v>
      </c>
      <c r="F908" s="295">
        <f>'Пр.4 ведом.22'!G421</f>
        <v>72.50057000000001</v>
      </c>
    </row>
    <row r="909" spans="1:12" s="128" customFormat="1" ht="29.85" hidden="1" customHeight="1" x14ac:dyDescent="0.25">
      <c r="A909" s="22" t="s">
        <v>974</v>
      </c>
      <c r="B909" s="346" t="s">
        <v>203</v>
      </c>
      <c r="C909" s="346" t="s">
        <v>116</v>
      </c>
      <c r="D909" s="346" t="s">
        <v>965</v>
      </c>
      <c r="E909" s="346"/>
      <c r="F909" s="295">
        <f>F910</f>
        <v>0</v>
      </c>
      <c r="G909" s="344"/>
      <c r="H909" s="344"/>
      <c r="I909" s="344"/>
      <c r="J909" s="344"/>
      <c r="K909" s="344"/>
    </row>
    <row r="910" spans="1:12" s="128" customFormat="1" ht="78.75" hidden="1" x14ac:dyDescent="0.25">
      <c r="A910" s="345" t="s">
        <v>119</v>
      </c>
      <c r="B910" s="346" t="s">
        <v>203</v>
      </c>
      <c r="C910" s="346" t="s">
        <v>116</v>
      </c>
      <c r="D910" s="346" t="s">
        <v>965</v>
      </c>
      <c r="E910" s="346" t="s">
        <v>120</v>
      </c>
      <c r="F910" s="295">
        <f>F911</f>
        <v>0</v>
      </c>
      <c r="G910" s="344"/>
      <c r="H910" s="344"/>
      <c r="I910" s="344"/>
      <c r="J910" s="344"/>
      <c r="K910" s="344"/>
    </row>
    <row r="911" spans="1:12" s="128" customFormat="1" ht="15.75" hidden="1" x14ac:dyDescent="0.25">
      <c r="A911" s="345" t="s">
        <v>155</v>
      </c>
      <c r="B911" s="346" t="s">
        <v>203</v>
      </c>
      <c r="C911" s="346" t="s">
        <v>116</v>
      </c>
      <c r="D911" s="346" t="s">
        <v>965</v>
      </c>
      <c r="E911" s="346" t="s">
        <v>156</v>
      </c>
      <c r="F911" s="295">
        <f>'Пр.4 ведом.22'!G424</f>
        <v>0</v>
      </c>
      <c r="G911" s="344"/>
      <c r="H911" s="344"/>
      <c r="I911" s="344"/>
      <c r="J911" s="344"/>
      <c r="K911" s="344"/>
    </row>
    <row r="912" spans="1:12" ht="31.5" x14ac:dyDescent="0.25">
      <c r="A912" s="138" t="s">
        <v>817</v>
      </c>
      <c r="B912" s="299" t="s">
        <v>203</v>
      </c>
      <c r="C912" s="299" t="s">
        <v>116</v>
      </c>
      <c r="D912" s="299" t="s">
        <v>743</v>
      </c>
      <c r="E912" s="299"/>
      <c r="F912" s="294">
        <f>F913+F918+F921+F924</f>
        <v>816.65530999999999</v>
      </c>
    </row>
    <row r="913" spans="1:11" ht="31.5" hidden="1" x14ac:dyDescent="0.25">
      <c r="A913" s="22" t="s">
        <v>392</v>
      </c>
      <c r="B913" s="346" t="s">
        <v>203</v>
      </c>
      <c r="C913" s="346" t="s">
        <v>116</v>
      </c>
      <c r="D913" s="346" t="s">
        <v>745</v>
      </c>
      <c r="E913" s="346"/>
      <c r="F913" s="295">
        <f>F914+F916</f>
        <v>0</v>
      </c>
    </row>
    <row r="914" spans="1:11" ht="78.75" hidden="1" x14ac:dyDescent="0.25">
      <c r="A914" s="345" t="s">
        <v>119</v>
      </c>
      <c r="B914" s="346" t="s">
        <v>203</v>
      </c>
      <c r="C914" s="346" t="s">
        <v>116</v>
      </c>
      <c r="D914" s="346" t="s">
        <v>745</v>
      </c>
      <c r="E914" s="346" t="s">
        <v>120</v>
      </c>
      <c r="F914" s="295">
        <f>F915</f>
        <v>0</v>
      </c>
    </row>
    <row r="915" spans="1:11" ht="15.75" hidden="1" x14ac:dyDescent="0.25">
      <c r="A915" s="345" t="s">
        <v>155</v>
      </c>
      <c r="B915" s="346" t="s">
        <v>203</v>
      </c>
      <c r="C915" s="346" t="s">
        <v>116</v>
      </c>
      <c r="D915" s="346" t="s">
        <v>745</v>
      </c>
      <c r="E915" s="346" t="s">
        <v>156</v>
      </c>
      <c r="F915" s="295">
        <f>'Пр.4 ведом.22'!G428</f>
        <v>0</v>
      </c>
    </row>
    <row r="916" spans="1:11" ht="31.5" hidden="1" x14ac:dyDescent="0.25">
      <c r="A916" s="345" t="s">
        <v>123</v>
      </c>
      <c r="B916" s="346" t="s">
        <v>203</v>
      </c>
      <c r="C916" s="346" t="s">
        <v>116</v>
      </c>
      <c r="D916" s="346" t="s">
        <v>745</v>
      </c>
      <c r="E916" s="346" t="s">
        <v>124</v>
      </c>
      <c r="F916" s="295">
        <f>F917</f>
        <v>0</v>
      </c>
    </row>
    <row r="917" spans="1:11" ht="47.25" hidden="1" x14ac:dyDescent="0.25">
      <c r="A917" s="345" t="s">
        <v>125</v>
      </c>
      <c r="B917" s="346" t="s">
        <v>203</v>
      </c>
      <c r="C917" s="346" t="s">
        <v>116</v>
      </c>
      <c r="D917" s="346" t="s">
        <v>745</v>
      </c>
      <c r="E917" s="346" t="s">
        <v>126</v>
      </c>
      <c r="F917" s="295">
        <f>'Пр.4 ведом.22'!G430</f>
        <v>0</v>
      </c>
    </row>
    <row r="918" spans="1:11" s="343" customFormat="1" ht="31.5" x14ac:dyDescent="0.25">
      <c r="A918" s="345" t="s">
        <v>1219</v>
      </c>
      <c r="B918" s="346" t="s">
        <v>203</v>
      </c>
      <c r="C918" s="346" t="s">
        <v>116</v>
      </c>
      <c r="D918" s="394" t="s">
        <v>1220</v>
      </c>
      <c r="E918" s="346"/>
      <c r="F918" s="295">
        <f>F919</f>
        <v>676.3</v>
      </c>
      <c r="G918" s="344"/>
      <c r="H918" s="344"/>
      <c r="I918" s="344"/>
      <c r="J918" s="344"/>
      <c r="K918" s="344"/>
    </row>
    <row r="919" spans="1:11" s="343" customFormat="1" ht="31.5" x14ac:dyDescent="0.25">
      <c r="A919" s="345" t="s">
        <v>191</v>
      </c>
      <c r="B919" s="346" t="s">
        <v>203</v>
      </c>
      <c r="C919" s="346" t="s">
        <v>116</v>
      </c>
      <c r="D919" s="394" t="s">
        <v>1220</v>
      </c>
      <c r="E919" s="346" t="s">
        <v>192</v>
      </c>
      <c r="F919" s="295">
        <f>F920</f>
        <v>676.3</v>
      </c>
      <c r="G919" s="344"/>
      <c r="H919" s="344"/>
      <c r="I919" s="344"/>
      <c r="J919" s="344"/>
      <c r="K919" s="344"/>
    </row>
    <row r="920" spans="1:11" s="343" customFormat="1" ht="15.75" x14ac:dyDescent="0.25">
      <c r="A920" s="345" t="s">
        <v>193</v>
      </c>
      <c r="B920" s="346" t="s">
        <v>203</v>
      </c>
      <c r="C920" s="346" t="s">
        <v>116</v>
      </c>
      <c r="D920" s="394" t="s">
        <v>1220</v>
      </c>
      <c r="E920" s="346" t="s">
        <v>194</v>
      </c>
      <c r="F920" s="295">
        <f>'Пр.4 ведом.22'!G433</f>
        <v>676.3</v>
      </c>
      <c r="G920" s="344"/>
      <c r="H920" s="344"/>
      <c r="I920" s="344"/>
      <c r="J920" s="344"/>
      <c r="K920" s="344"/>
    </row>
    <row r="921" spans="1:11" s="343" customFormat="1" ht="31.5" x14ac:dyDescent="0.25">
      <c r="A921" s="345" t="s">
        <v>195</v>
      </c>
      <c r="B921" s="346" t="s">
        <v>203</v>
      </c>
      <c r="C921" s="346" t="s">
        <v>116</v>
      </c>
      <c r="D921" s="346" t="s">
        <v>1330</v>
      </c>
      <c r="E921" s="346"/>
      <c r="F921" s="295">
        <f>F922</f>
        <v>0.25530999999999998</v>
      </c>
      <c r="G921" s="344"/>
      <c r="H921" s="344"/>
      <c r="I921" s="344"/>
      <c r="J921" s="344"/>
      <c r="K921" s="344"/>
    </row>
    <row r="922" spans="1:11" s="343" customFormat="1" ht="31.5" x14ac:dyDescent="0.25">
      <c r="A922" s="345" t="s">
        <v>191</v>
      </c>
      <c r="B922" s="346" t="s">
        <v>203</v>
      </c>
      <c r="C922" s="346" t="s">
        <v>116</v>
      </c>
      <c r="D922" s="346" t="s">
        <v>1330</v>
      </c>
      <c r="E922" s="346" t="s">
        <v>192</v>
      </c>
      <c r="F922" s="295">
        <f>F923</f>
        <v>0.25530999999999998</v>
      </c>
      <c r="G922" s="344"/>
      <c r="H922" s="344"/>
      <c r="I922" s="344"/>
      <c r="J922" s="344"/>
      <c r="K922" s="344"/>
    </row>
    <row r="923" spans="1:11" s="343" customFormat="1" ht="15.75" x14ac:dyDescent="0.25">
      <c r="A923" s="345" t="s">
        <v>193</v>
      </c>
      <c r="B923" s="346" t="s">
        <v>203</v>
      </c>
      <c r="C923" s="346" t="s">
        <v>116</v>
      </c>
      <c r="D923" s="346" t="s">
        <v>1330</v>
      </c>
      <c r="E923" s="346" t="s">
        <v>194</v>
      </c>
      <c r="F923" s="295">
        <f>'Пр.4 ведом.22'!G436</f>
        <v>0.25530999999999998</v>
      </c>
      <c r="G923" s="344"/>
      <c r="H923" s="344"/>
      <c r="I923" s="344"/>
      <c r="J923" s="344"/>
      <c r="K923" s="344"/>
    </row>
    <row r="924" spans="1:11" s="343" customFormat="1" ht="31.5" x14ac:dyDescent="0.25">
      <c r="A924" s="345" t="s">
        <v>196</v>
      </c>
      <c r="B924" s="346" t="s">
        <v>203</v>
      </c>
      <c r="C924" s="346" t="s">
        <v>116</v>
      </c>
      <c r="D924" s="346" t="s">
        <v>1331</v>
      </c>
      <c r="E924" s="346"/>
      <c r="F924" s="295">
        <f>F925</f>
        <v>140.1</v>
      </c>
      <c r="G924" s="344"/>
      <c r="H924" s="344"/>
      <c r="I924" s="344"/>
      <c r="J924" s="344"/>
      <c r="K924" s="344"/>
    </row>
    <row r="925" spans="1:11" s="343" customFormat="1" ht="31.5" x14ac:dyDescent="0.25">
      <c r="A925" s="345" t="s">
        <v>191</v>
      </c>
      <c r="B925" s="346" t="s">
        <v>203</v>
      </c>
      <c r="C925" s="346" t="s">
        <v>116</v>
      </c>
      <c r="D925" s="346" t="s">
        <v>1331</v>
      </c>
      <c r="E925" s="346" t="s">
        <v>192</v>
      </c>
      <c r="F925" s="295">
        <f>F926</f>
        <v>140.1</v>
      </c>
      <c r="G925" s="344"/>
      <c r="H925" s="344"/>
      <c r="I925" s="344"/>
      <c r="J925" s="344"/>
      <c r="K925" s="344"/>
    </row>
    <row r="926" spans="1:11" s="343" customFormat="1" ht="15.75" x14ac:dyDescent="0.25">
      <c r="A926" s="345" t="s">
        <v>193</v>
      </c>
      <c r="B926" s="346" t="s">
        <v>203</v>
      </c>
      <c r="C926" s="346" t="s">
        <v>116</v>
      </c>
      <c r="D926" s="346" t="s">
        <v>1331</v>
      </c>
      <c r="E926" s="346" t="s">
        <v>194</v>
      </c>
      <c r="F926" s="295">
        <f>'Пр.4 ведом.22'!G439</f>
        <v>140.1</v>
      </c>
      <c r="G926" s="344"/>
      <c r="H926" s="344"/>
      <c r="I926" s="344"/>
      <c r="J926" s="344"/>
      <c r="K926" s="344"/>
    </row>
    <row r="927" spans="1:11" ht="31.5" x14ac:dyDescent="0.25">
      <c r="A927" s="298" t="s">
        <v>512</v>
      </c>
      <c r="B927" s="299" t="s">
        <v>203</v>
      </c>
      <c r="C927" s="299" t="s">
        <v>116</v>
      </c>
      <c r="D927" s="299" t="s">
        <v>746</v>
      </c>
      <c r="E927" s="299"/>
      <c r="F927" s="294">
        <f>F928+F931+F934</f>
        <v>810</v>
      </c>
    </row>
    <row r="928" spans="1:11" ht="47.25" x14ac:dyDescent="0.25">
      <c r="A928" s="345" t="s">
        <v>414</v>
      </c>
      <c r="B928" s="346" t="s">
        <v>203</v>
      </c>
      <c r="C928" s="346" t="s">
        <v>116</v>
      </c>
      <c r="D928" s="346" t="s">
        <v>747</v>
      </c>
      <c r="E928" s="346"/>
      <c r="F928" s="295">
        <f>F929</f>
        <v>136.69999999999999</v>
      </c>
    </row>
    <row r="929" spans="1:11" ht="78.75" x14ac:dyDescent="0.25">
      <c r="A929" s="345" t="s">
        <v>119</v>
      </c>
      <c r="B929" s="346" t="s">
        <v>203</v>
      </c>
      <c r="C929" s="346" t="s">
        <v>116</v>
      </c>
      <c r="D929" s="346" t="s">
        <v>747</v>
      </c>
      <c r="E929" s="346" t="s">
        <v>120</v>
      </c>
      <c r="F929" s="295">
        <f>F930</f>
        <v>136.69999999999999</v>
      </c>
    </row>
    <row r="930" spans="1:11" ht="31.5" x14ac:dyDescent="0.25">
      <c r="A930" s="345" t="s">
        <v>121</v>
      </c>
      <c r="B930" s="346" t="s">
        <v>203</v>
      </c>
      <c r="C930" s="346" t="s">
        <v>116</v>
      </c>
      <c r="D930" s="346" t="s">
        <v>747</v>
      </c>
      <c r="E930" s="346" t="s">
        <v>156</v>
      </c>
      <c r="F930" s="295">
        <f>'Пр.4 ведом.22'!G443</f>
        <v>136.69999999999999</v>
      </c>
    </row>
    <row r="931" spans="1:11" s="343" customFormat="1" ht="31.5" x14ac:dyDescent="0.25">
      <c r="A931" s="391" t="s">
        <v>342</v>
      </c>
      <c r="B931" s="346" t="s">
        <v>203</v>
      </c>
      <c r="C931" s="346" t="s">
        <v>116</v>
      </c>
      <c r="D931" s="394" t="s">
        <v>1221</v>
      </c>
      <c r="E931" s="346"/>
      <c r="F931" s="295">
        <f>F932</f>
        <v>473.3</v>
      </c>
      <c r="G931" s="344"/>
      <c r="H931" s="344"/>
      <c r="I931" s="344"/>
      <c r="J931" s="344"/>
      <c r="K931" s="344"/>
    </row>
    <row r="932" spans="1:11" s="343" customFormat="1" ht="31.5" x14ac:dyDescent="0.25">
      <c r="A932" s="391" t="s">
        <v>191</v>
      </c>
      <c r="B932" s="346" t="s">
        <v>203</v>
      </c>
      <c r="C932" s="346" t="s">
        <v>116</v>
      </c>
      <c r="D932" s="394" t="s">
        <v>1221</v>
      </c>
      <c r="E932" s="346" t="s">
        <v>192</v>
      </c>
      <c r="F932" s="295">
        <f>F933</f>
        <v>473.3</v>
      </c>
      <c r="G932" s="344"/>
      <c r="H932" s="344"/>
      <c r="I932" s="344"/>
      <c r="J932" s="344"/>
      <c r="K932" s="344"/>
    </row>
    <row r="933" spans="1:11" s="343" customFormat="1" ht="15.75" x14ac:dyDescent="0.25">
      <c r="A933" s="345" t="s">
        <v>193</v>
      </c>
      <c r="B933" s="346" t="s">
        <v>203</v>
      </c>
      <c r="C933" s="346" t="s">
        <v>116</v>
      </c>
      <c r="D933" s="394" t="s">
        <v>1221</v>
      </c>
      <c r="E933" s="346" t="s">
        <v>194</v>
      </c>
      <c r="F933" s="295">
        <f>'Пр.4 ведом.22'!G446</f>
        <v>473.3</v>
      </c>
      <c r="G933" s="344"/>
      <c r="H933" s="344"/>
      <c r="I933" s="344"/>
      <c r="J933" s="344"/>
      <c r="K933" s="344"/>
    </row>
    <row r="934" spans="1:11" s="343" customFormat="1" ht="31.5" x14ac:dyDescent="0.25">
      <c r="A934" s="345" t="s">
        <v>1359</v>
      </c>
      <c r="B934" s="346" t="s">
        <v>203</v>
      </c>
      <c r="C934" s="346" t="s">
        <v>116</v>
      </c>
      <c r="D934" s="346" t="s">
        <v>1358</v>
      </c>
      <c r="E934" s="346"/>
      <c r="F934" s="295">
        <f>F935</f>
        <v>200</v>
      </c>
      <c r="G934" s="344"/>
      <c r="H934" s="344"/>
      <c r="I934" s="344"/>
      <c r="J934" s="344"/>
      <c r="K934" s="344"/>
    </row>
    <row r="935" spans="1:11" s="343" customFormat="1" ht="31.5" x14ac:dyDescent="0.25">
      <c r="A935" s="345" t="s">
        <v>191</v>
      </c>
      <c r="B935" s="346" t="s">
        <v>203</v>
      </c>
      <c r="C935" s="346" t="s">
        <v>116</v>
      </c>
      <c r="D935" s="346" t="s">
        <v>1358</v>
      </c>
      <c r="E935" s="346" t="s">
        <v>192</v>
      </c>
      <c r="F935" s="295">
        <f>F936</f>
        <v>200</v>
      </c>
      <c r="G935" s="344"/>
      <c r="H935" s="344"/>
      <c r="I935" s="344"/>
      <c r="J935" s="344"/>
      <c r="K935" s="344"/>
    </row>
    <row r="936" spans="1:11" s="343" customFormat="1" ht="15.75" x14ac:dyDescent="0.25">
      <c r="A936" s="345" t="s">
        <v>193</v>
      </c>
      <c r="B936" s="346" t="s">
        <v>203</v>
      </c>
      <c r="C936" s="346" t="s">
        <v>116</v>
      </c>
      <c r="D936" s="346" t="s">
        <v>1358</v>
      </c>
      <c r="E936" s="346" t="s">
        <v>194</v>
      </c>
      <c r="F936" s="295">
        <f>'Пр.4 ведом.22'!G449</f>
        <v>200</v>
      </c>
      <c r="G936" s="344"/>
      <c r="H936" s="344"/>
      <c r="I936" s="344"/>
      <c r="J936" s="344"/>
      <c r="K936" s="344"/>
    </row>
    <row r="937" spans="1:11" ht="47.25" x14ac:dyDescent="0.25">
      <c r="A937" s="139" t="s">
        <v>469</v>
      </c>
      <c r="B937" s="299" t="s">
        <v>203</v>
      </c>
      <c r="C937" s="299" t="s">
        <v>116</v>
      </c>
      <c r="D937" s="299" t="s">
        <v>748</v>
      </c>
      <c r="E937" s="299"/>
      <c r="F937" s="294">
        <f>F938+F943</f>
        <v>2554.4</v>
      </c>
    </row>
    <row r="938" spans="1:11" s="128" customFormat="1" ht="94.5" x14ac:dyDescent="0.25">
      <c r="A938" s="22" t="s">
        <v>200</v>
      </c>
      <c r="B938" s="346" t="s">
        <v>203</v>
      </c>
      <c r="C938" s="346" t="s">
        <v>116</v>
      </c>
      <c r="D938" s="346" t="s">
        <v>898</v>
      </c>
      <c r="E938" s="346"/>
      <c r="F938" s="295">
        <f>F939+F941</f>
        <v>2100.5</v>
      </c>
      <c r="G938" s="344"/>
      <c r="H938" s="344"/>
      <c r="I938" s="344"/>
      <c r="J938" s="344"/>
      <c r="K938" s="344"/>
    </row>
    <row r="939" spans="1:11" s="128" customFormat="1" ht="78.75" x14ac:dyDescent="0.25">
      <c r="A939" s="345" t="s">
        <v>119</v>
      </c>
      <c r="B939" s="346" t="s">
        <v>203</v>
      </c>
      <c r="C939" s="346" t="s">
        <v>116</v>
      </c>
      <c r="D939" s="346" t="s">
        <v>898</v>
      </c>
      <c r="E939" s="346" t="s">
        <v>120</v>
      </c>
      <c r="F939" s="295">
        <f>F940</f>
        <v>1204.3</v>
      </c>
      <c r="G939" s="344"/>
      <c r="H939" s="344"/>
      <c r="I939" s="344"/>
      <c r="J939" s="344"/>
      <c r="K939" s="344"/>
    </row>
    <row r="940" spans="1:11" s="128" customFormat="1" ht="15.75" x14ac:dyDescent="0.25">
      <c r="A940" s="345" t="s">
        <v>155</v>
      </c>
      <c r="B940" s="346" t="s">
        <v>203</v>
      </c>
      <c r="C940" s="346" t="s">
        <v>116</v>
      </c>
      <c r="D940" s="346" t="s">
        <v>898</v>
      </c>
      <c r="E940" s="346" t="s">
        <v>156</v>
      </c>
      <c r="F940" s="295">
        <f>'Пр.4 ведом.22'!G453</f>
        <v>1204.3</v>
      </c>
      <c r="G940" s="344"/>
      <c r="H940" s="344"/>
      <c r="I940" s="344"/>
      <c r="J940" s="344"/>
      <c r="K940" s="344"/>
    </row>
    <row r="941" spans="1:11" s="343" customFormat="1" ht="31.5" x14ac:dyDescent="0.25">
      <c r="A941" s="345" t="s">
        <v>191</v>
      </c>
      <c r="B941" s="346" t="s">
        <v>203</v>
      </c>
      <c r="C941" s="346" t="s">
        <v>116</v>
      </c>
      <c r="D941" s="346" t="s">
        <v>898</v>
      </c>
      <c r="E941" s="346" t="s">
        <v>192</v>
      </c>
      <c r="F941" s="295">
        <f>F942</f>
        <v>896.19999999999993</v>
      </c>
      <c r="G941" s="344"/>
      <c r="H941" s="344"/>
      <c r="I941" s="344"/>
      <c r="J941" s="344"/>
      <c r="K941" s="344"/>
    </row>
    <row r="942" spans="1:11" s="343" customFormat="1" ht="15.75" x14ac:dyDescent="0.25">
      <c r="A942" s="345" t="s">
        <v>193</v>
      </c>
      <c r="B942" s="346" t="s">
        <v>203</v>
      </c>
      <c r="C942" s="346" t="s">
        <v>116</v>
      </c>
      <c r="D942" s="346" t="s">
        <v>898</v>
      </c>
      <c r="E942" s="346" t="s">
        <v>194</v>
      </c>
      <c r="F942" s="295">
        <f>'Пр.4 ведом.22'!G455</f>
        <v>896.19999999999993</v>
      </c>
      <c r="G942" s="344"/>
      <c r="H942" s="344"/>
      <c r="I942" s="344"/>
      <c r="J942" s="344"/>
      <c r="K942" s="344"/>
    </row>
    <row r="943" spans="1:11" s="128" customFormat="1" ht="78.75" x14ac:dyDescent="0.25">
      <c r="A943" s="345" t="s">
        <v>207</v>
      </c>
      <c r="B943" s="346" t="s">
        <v>203</v>
      </c>
      <c r="C943" s="346" t="s">
        <v>116</v>
      </c>
      <c r="D943" s="346" t="s">
        <v>809</v>
      </c>
      <c r="E943" s="346"/>
      <c r="F943" s="300">
        <f>F944</f>
        <v>453.90000000000003</v>
      </c>
      <c r="G943" s="344"/>
      <c r="H943" s="344"/>
      <c r="I943" s="344"/>
      <c r="J943" s="344"/>
      <c r="K943" s="344"/>
    </row>
    <row r="944" spans="1:11" s="128" customFormat="1" ht="78.75" x14ac:dyDescent="0.25">
      <c r="A944" s="345" t="s">
        <v>119</v>
      </c>
      <c r="B944" s="346" t="s">
        <v>203</v>
      </c>
      <c r="C944" s="346" t="s">
        <v>116</v>
      </c>
      <c r="D944" s="346" t="s">
        <v>809</v>
      </c>
      <c r="E944" s="346" t="s">
        <v>120</v>
      </c>
      <c r="F944" s="300">
        <f>F945</f>
        <v>453.90000000000003</v>
      </c>
      <c r="G944" s="344"/>
      <c r="H944" s="344"/>
      <c r="I944" s="344"/>
      <c r="J944" s="344"/>
      <c r="K944" s="344"/>
    </row>
    <row r="945" spans="1:11" s="128" customFormat="1" ht="15.75" x14ac:dyDescent="0.25">
      <c r="A945" s="345" t="s">
        <v>155</v>
      </c>
      <c r="B945" s="346" t="s">
        <v>203</v>
      </c>
      <c r="C945" s="346" t="s">
        <v>116</v>
      </c>
      <c r="D945" s="346" t="s">
        <v>809</v>
      </c>
      <c r="E945" s="346" t="s">
        <v>156</v>
      </c>
      <c r="F945" s="300">
        <f>'Пр.4 ведом.22'!G458</f>
        <v>453.90000000000003</v>
      </c>
      <c r="G945" s="344"/>
      <c r="H945" s="344"/>
      <c r="I945" s="344"/>
      <c r="J945" s="344"/>
      <c r="K945" s="344"/>
    </row>
    <row r="946" spans="1:11" s="128" customFormat="1" ht="31.5" x14ac:dyDescent="0.25">
      <c r="A946" s="298" t="s">
        <v>471</v>
      </c>
      <c r="B946" s="299" t="s">
        <v>203</v>
      </c>
      <c r="C946" s="299" t="s">
        <v>116</v>
      </c>
      <c r="D946" s="299" t="s">
        <v>751</v>
      </c>
      <c r="E946" s="299"/>
      <c r="F946" s="294">
        <f>F947</f>
        <v>307.10000000000002</v>
      </c>
      <c r="G946" s="344"/>
      <c r="H946" s="344"/>
      <c r="I946" s="344"/>
      <c r="J946" s="344"/>
      <c r="K946" s="344"/>
    </row>
    <row r="947" spans="1:11" s="128" customFormat="1" ht="31.5" x14ac:dyDescent="0.25">
      <c r="A947" s="345" t="s">
        <v>397</v>
      </c>
      <c r="B947" s="346" t="s">
        <v>203</v>
      </c>
      <c r="C947" s="346" t="s">
        <v>116</v>
      </c>
      <c r="D947" s="346" t="s">
        <v>752</v>
      </c>
      <c r="E947" s="346"/>
      <c r="F947" s="295">
        <f>F948</f>
        <v>307.10000000000002</v>
      </c>
      <c r="G947" s="344"/>
      <c r="H947" s="344"/>
      <c r="I947" s="344"/>
      <c r="J947" s="344"/>
      <c r="K947" s="344"/>
    </row>
    <row r="948" spans="1:11" s="128" customFormat="1" ht="31.5" x14ac:dyDescent="0.25">
      <c r="A948" s="345" t="s">
        <v>123</v>
      </c>
      <c r="B948" s="346" t="s">
        <v>203</v>
      </c>
      <c r="C948" s="346" t="s">
        <v>116</v>
      </c>
      <c r="D948" s="346" t="s">
        <v>752</v>
      </c>
      <c r="E948" s="346" t="s">
        <v>124</v>
      </c>
      <c r="F948" s="295">
        <f>F949</f>
        <v>307.10000000000002</v>
      </c>
      <c r="G948" s="344"/>
      <c r="H948" s="344"/>
      <c r="I948" s="344"/>
      <c r="J948" s="344"/>
      <c r="K948" s="344"/>
    </row>
    <row r="949" spans="1:11" s="128" customFormat="1" ht="47.25" x14ac:dyDescent="0.25">
      <c r="A949" s="345" t="s">
        <v>125</v>
      </c>
      <c r="B949" s="346" t="s">
        <v>203</v>
      </c>
      <c r="C949" s="346" t="s">
        <v>116</v>
      </c>
      <c r="D949" s="346" t="s">
        <v>752</v>
      </c>
      <c r="E949" s="346" t="s">
        <v>126</v>
      </c>
      <c r="F949" s="295">
        <f>'Пр.4 ведом.22'!G462</f>
        <v>307.10000000000002</v>
      </c>
      <c r="G949" s="344"/>
      <c r="H949" s="344"/>
      <c r="I949" s="344"/>
      <c r="J949" s="344"/>
      <c r="K949" s="344"/>
    </row>
    <row r="950" spans="1:11" s="128" customFormat="1" ht="31.5" x14ac:dyDescent="0.25">
      <c r="A950" s="298" t="s">
        <v>571</v>
      </c>
      <c r="B950" s="299" t="s">
        <v>203</v>
      </c>
      <c r="C950" s="299" t="s">
        <v>116</v>
      </c>
      <c r="D950" s="299" t="s">
        <v>753</v>
      </c>
      <c r="E950" s="299"/>
      <c r="F950" s="294">
        <f>F951+F954</f>
        <v>60.5</v>
      </c>
      <c r="G950" s="344"/>
      <c r="H950" s="344"/>
      <c r="I950" s="344"/>
      <c r="J950" s="344"/>
      <c r="K950" s="344"/>
    </row>
    <row r="951" spans="1:11" s="128" customFormat="1" ht="31.5" x14ac:dyDescent="0.25">
      <c r="A951" s="345" t="s">
        <v>966</v>
      </c>
      <c r="B951" s="346" t="s">
        <v>203</v>
      </c>
      <c r="C951" s="346" t="s">
        <v>116</v>
      </c>
      <c r="D951" s="346" t="s">
        <v>754</v>
      </c>
      <c r="E951" s="346"/>
      <c r="F951" s="295">
        <f>F952</f>
        <v>3.5</v>
      </c>
      <c r="G951" s="344"/>
      <c r="H951" s="344"/>
      <c r="I951" s="344"/>
      <c r="J951" s="344"/>
      <c r="K951" s="344"/>
    </row>
    <row r="952" spans="1:11" s="128" customFormat="1" ht="31.5" x14ac:dyDescent="0.25">
      <c r="A952" s="345" t="s">
        <v>123</v>
      </c>
      <c r="B952" s="346" t="s">
        <v>203</v>
      </c>
      <c r="C952" s="346" t="s">
        <v>116</v>
      </c>
      <c r="D952" s="346" t="s">
        <v>754</v>
      </c>
      <c r="E952" s="346" t="s">
        <v>124</v>
      </c>
      <c r="F952" s="295">
        <f>F953</f>
        <v>3.5</v>
      </c>
      <c r="G952" s="344"/>
      <c r="H952" s="344"/>
      <c r="I952" s="344"/>
      <c r="J952" s="344"/>
      <c r="K952" s="344"/>
    </row>
    <row r="953" spans="1:11" s="128" customFormat="1" ht="47.25" x14ac:dyDescent="0.25">
      <c r="A953" s="345" t="s">
        <v>125</v>
      </c>
      <c r="B953" s="346" t="s">
        <v>203</v>
      </c>
      <c r="C953" s="346" t="s">
        <v>116</v>
      </c>
      <c r="D953" s="346" t="s">
        <v>754</v>
      </c>
      <c r="E953" s="346" t="s">
        <v>126</v>
      </c>
      <c r="F953" s="295">
        <f>'Пр.4 ведом.22'!G466</f>
        <v>3.5</v>
      </c>
      <c r="G953" s="344"/>
      <c r="H953" s="344"/>
      <c r="I953" s="344"/>
      <c r="J953" s="344"/>
      <c r="K953" s="344"/>
    </row>
    <row r="954" spans="1:11" s="343" customFormat="1" ht="31.5" x14ac:dyDescent="0.25">
      <c r="A954" s="345" t="s">
        <v>1155</v>
      </c>
      <c r="B954" s="346" t="s">
        <v>203</v>
      </c>
      <c r="C954" s="346" t="s">
        <v>116</v>
      </c>
      <c r="D954" s="346" t="s">
        <v>1156</v>
      </c>
      <c r="E954" s="346"/>
      <c r="F954" s="295">
        <f>F955</f>
        <v>57</v>
      </c>
      <c r="G954" s="344"/>
      <c r="H954" s="344"/>
      <c r="I954" s="344"/>
      <c r="J954" s="344"/>
      <c r="K954" s="344"/>
    </row>
    <row r="955" spans="1:11" s="343" customFormat="1" ht="31.5" x14ac:dyDescent="0.25">
      <c r="A955" s="345" t="s">
        <v>123</v>
      </c>
      <c r="B955" s="346" t="s">
        <v>203</v>
      </c>
      <c r="C955" s="346" t="s">
        <v>116</v>
      </c>
      <c r="D955" s="346" t="s">
        <v>1156</v>
      </c>
      <c r="E955" s="346" t="s">
        <v>124</v>
      </c>
      <c r="F955" s="295">
        <f>F956</f>
        <v>57</v>
      </c>
      <c r="G955" s="344"/>
      <c r="H955" s="344"/>
      <c r="I955" s="344"/>
      <c r="J955" s="344"/>
      <c r="K955" s="344"/>
    </row>
    <row r="956" spans="1:11" s="343" customFormat="1" ht="47.25" x14ac:dyDescent="0.25">
      <c r="A956" s="345" t="s">
        <v>125</v>
      </c>
      <c r="B956" s="346" t="s">
        <v>203</v>
      </c>
      <c r="C956" s="346" t="s">
        <v>116</v>
      </c>
      <c r="D956" s="346" t="s">
        <v>1156</v>
      </c>
      <c r="E956" s="346" t="s">
        <v>126</v>
      </c>
      <c r="F956" s="295">
        <f>'Пр.4 ведом.22'!G469</f>
        <v>57</v>
      </c>
      <c r="G956" s="344"/>
      <c r="H956" s="344"/>
      <c r="I956" s="344"/>
      <c r="J956" s="344"/>
      <c r="K956" s="344"/>
    </row>
    <row r="957" spans="1:11" s="293" customFormat="1" ht="31.5" hidden="1" x14ac:dyDescent="0.25">
      <c r="A957" s="24" t="s">
        <v>1049</v>
      </c>
      <c r="B957" s="299" t="s">
        <v>203</v>
      </c>
      <c r="C957" s="299" t="s">
        <v>116</v>
      </c>
      <c r="D957" s="299" t="s">
        <v>1051</v>
      </c>
      <c r="E957" s="299"/>
      <c r="F957" s="294">
        <f>F958</f>
        <v>0</v>
      </c>
      <c r="G957" s="344"/>
      <c r="H957" s="344"/>
      <c r="I957" s="344"/>
      <c r="J957" s="344"/>
      <c r="K957" s="344"/>
    </row>
    <row r="958" spans="1:11" s="293" customFormat="1" ht="63" hidden="1" x14ac:dyDescent="0.25">
      <c r="A958" s="22" t="s">
        <v>1050</v>
      </c>
      <c r="B958" s="346" t="s">
        <v>203</v>
      </c>
      <c r="C958" s="346" t="s">
        <v>116</v>
      </c>
      <c r="D958" s="346" t="s">
        <v>1052</v>
      </c>
      <c r="E958" s="346"/>
      <c r="F958" s="295">
        <f>F959</f>
        <v>0</v>
      </c>
      <c r="G958" s="344"/>
      <c r="H958" s="344"/>
      <c r="I958" s="344"/>
      <c r="J958" s="344"/>
      <c r="K958" s="344"/>
    </row>
    <row r="959" spans="1:11" s="293" customFormat="1" ht="31.5" hidden="1" x14ac:dyDescent="0.25">
      <c r="A959" s="345" t="s">
        <v>123</v>
      </c>
      <c r="B959" s="346" t="s">
        <v>203</v>
      </c>
      <c r="C959" s="346" t="s">
        <v>116</v>
      </c>
      <c r="D959" s="346" t="s">
        <v>1052</v>
      </c>
      <c r="E959" s="346" t="s">
        <v>124</v>
      </c>
      <c r="F959" s="295">
        <f>F960</f>
        <v>0</v>
      </c>
      <c r="G959" s="344"/>
      <c r="H959" s="344"/>
      <c r="I959" s="344"/>
      <c r="J959" s="344"/>
      <c r="K959" s="344"/>
    </row>
    <row r="960" spans="1:11" s="293" customFormat="1" ht="47.25" hidden="1" x14ac:dyDescent="0.25">
      <c r="A960" s="345" t="s">
        <v>125</v>
      </c>
      <c r="B960" s="346" t="s">
        <v>203</v>
      </c>
      <c r="C960" s="346" t="s">
        <v>116</v>
      </c>
      <c r="D960" s="346" t="s">
        <v>1052</v>
      </c>
      <c r="E960" s="346" t="s">
        <v>126</v>
      </c>
      <c r="F960" s="295">
        <f>'Пр.4 ведом.22'!G473</f>
        <v>0</v>
      </c>
      <c r="G960" s="344"/>
      <c r="H960" s="344"/>
      <c r="I960" s="344"/>
      <c r="J960" s="344"/>
      <c r="K960" s="344"/>
    </row>
    <row r="961" spans="1:11" s="343" customFormat="1" ht="31.5" x14ac:dyDescent="0.25">
      <c r="A961" s="298" t="s">
        <v>1332</v>
      </c>
      <c r="B961" s="299" t="s">
        <v>203</v>
      </c>
      <c r="C961" s="299" t="s">
        <v>116</v>
      </c>
      <c r="D961" s="299" t="s">
        <v>1333</v>
      </c>
      <c r="E961" s="299"/>
      <c r="F961" s="294">
        <f>F962</f>
        <v>2538.3000000000002</v>
      </c>
      <c r="G961" s="344"/>
      <c r="H961" s="344"/>
      <c r="I961" s="344"/>
      <c r="J961" s="344"/>
      <c r="K961" s="344"/>
    </row>
    <row r="962" spans="1:11" s="343" customFormat="1" ht="47.25" x14ac:dyDescent="0.25">
      <c r="A962" s="345" t="s">
        <v>1334</v>
      </c>
      <c r="B962" s="346" t="s">
        <v>203</v>
      </c>
      <c r="C962" s="346" t="s">
        <v>116</v>
      </c>
      <c r="D962" s="346" t="s">
        <v>1335</v>
      </c>
      <c r="E962" s="346"/>
      <c r="F962" s="295">
        <f>F963</f>
        <v>2538.3000000000002</v>
      </c>
      <c r="G962" s="344"/>
      <c r="H962" s="344"/>
      <c r="I962" s="344"/>
      <c r="J962" s="344"/>
      <c r="K962" s="344"/>
    </row>
    <row r="963" spans="1:11" s="343" customFormat="1" ht="31.5" x14ac:dyDescent="0.25">
      <c r="A963" s="345" t="s">
        <v>191</v>
      </c>
      <c r="B963" s="346" t="s">
        <v>203</v>
      </c>
      <c r="C963" s="346" t="s">
        <v>116</v>
      </c>
      <c r="D963" s="346" t="s">
        <v>1335</v>
      </c>
      <c r="E963" s="346" t="s">
        <v>192</v>
      </c>
      <c r="F963" s="295">
        <f>F964</f>
        <v>2538.3000000000002</v>
      </c>
      <c r="G963" s="344"/>
      <c r="H963" s="344"/>
      <c r="I963" s="344"/>
      <c r="J963" s="344"/>
      <c r="K963" s="344"/>
    </row>
    <row r="964" spans="1:11" s="343" customFormat="1" ht="15.75" x14ac:dyDescent="0.25">
      <c r="A964" s="345" t="s">
        <v>193</v>
      </c>
      <c r="B964" s="346" t="s">
        <v>203</v>
      </c>
      <c r="C964" s="346" t="s">
        <v>116</v>
      </c>
      <c r="D964" s="346" t="s">
        <v>1335</v>
      </c>
      <c r="E964" s="346" t="s">
        <v>194</v>
      </c>
      <c r="F964" s="295">
        <f>'Пр.4 ведом.22'!G477</f>
        <v>2538.3000000000002</v>
      </c>
      <c r="G964" s="344"/>
      <c r="H964" s="344"/>
      <c r="I964" s="344"/>
      <c r="J964" s="344"/>
      <c r="K964" s="344"/>
    </row>
    <row r="965" spans="1:11" s="128" customFormat="1" ht="31.5" x14ac:dyDescent="0.25">
      <c r="A965" s="339" t="s">
        <v>723</v>
      </c>
      <c r="B965" s="299" t="s">
        <v>203</v>
      </c>
      <c r="C965" s="299" t="s">
        <v>116</v>
      </c>
      <c r="D965" s="299" t="s">
        <v>749</v>
      </c>
      <c r="E965" s="299"/>
      <c r="F965" s="297">
        <f>F969</f>
        <v>10178.300020000001</v>
      </c>
      <c r="G965" s="344"/>
      <c r="H965" s="344"/>
      <c r="I965" s="344"/>
      <c r="J965" s="344"/>
      <c r="K965" s="344"/>
    </row>
    <row r="966" spans="1:11" s="343" customFormat="1" ht="47.25" hidden="1" x14ac:dyDescent="0.25">
      <c r="A966" s="327" t="s">
        <v>1113</v>
      </c>
      <c r="B966" s="346" t="s">
        <v>203</v>
      </c>
      <c r="C966" s="346" t="s">
        <v>116</v>
      </c>
      <c r="D966" s="346" t="s">
        <v>1112</v>
      </c>
      <c r="E966" s="346"/>
      <c r="F966" s="300">
        <f>F967</f>
        <v>0</v>
      </c>
      <c r="G966" s="344"/>
      <c r="H966" s="344"/>
      <c r="I966" s="344"/>
      <c r="J966" s="344"/>
      <c r="K966" s="344"/>
    </row>
    <row r="967" spans="1:11" s="343" customFormat="1" ht="31.5" hidden="1" x14ac:dyDescent="0.25">
      <c r="A967" s="345" t="s">
        <v>123</v>
      </c>
      <c r="B967" s="346" t="s">
        <v>203</v>
      </c>
      <c r="C967" s="346" t="s">
        <v>116</v>
      </c>
      <c r="D967" s="346" t="s">
        <v>1112</v>
      </c>
      <c r="E967" s="346" t="s">
        <v>124</v>
      </c>
      <c r="F967" s="300">
        <f>F968</f>
        <v>0</v>
      </c>
      <c r="G967" s="344"/>
      <c r="H967" s="344"/>
      <c r="I967" s="344"/>
      <c r="J967" s="344"/>
      <c r="K967" s="344"/>
    </row>
    <row r="968" spans="1:11" s="343" customFormat="1" ht="47.25" hidden="1" x14ac:dyDescent="0.25">
      <c r="A968" s="345" t="s">
        <v>125</v>
      </c>
      <c r="B968" s="346" t="s">
        <v>203</v>
      </c>
      <c r="C968" s="346" t="s">
        <v>116</v>
      </c>
      <c r="D968" s="346" t="s">
        <v>1112</v>
      </c>
      <c r="E968" s="346" t="s">
        <v>126</v>
      </c>
      <c r="F968" s="300">
        <f>'Пр.4 ведом.22'!G481</f>
        <v>0</v>
      </c>
      <c r="G968" s="344"/>
      <c r="H968" s="344"/>
      <c r="I968" s="344"/>
      <c r="J968" s="344"/>
      <c r="K968" s="344"/>
    </row>
    <row r="969" spans="1:11" s="343" customFormat="1" ht="15.75" x14ac:dyDescent="0.25">
      <c r="A969" s="342" t="s">
        <v>1152</v>
      </c>
      <c r="B969" s="346" t="s">
        <v>203</v>
      </c>
      <c r="C969" s="346" t="s">
        <v>116</v>
      </c>
      <c r="D969" s="346" t="s">
        <v>1153</v>
      </c>
      <c r="E969" s="299"/>
      <c r="F969" s="300">
        <f>F970</f>
        <v>10178.300020000001</v>
      </c>
      <c r="G969" s="344"/>
      <c r="H969" s="344"/>
      <c r="I969" s="344"/>
      <c r="J969" s="344"/>
      <c r="K969" s="344"/>
    </row>
    <row r="970" spans="1:11" s="343" customFormat="1" ht="31.5" x14ac:dyDescent="0.25">
      <c r="A970" s="345" t="s">
        <v>191</v>
      </c>
      <c r="B970" s="346" t="s">
        <v>203</v>
      </c>
      <c r="C970" s="346" t="s">
        <v>116</v>
      </c>
      <c r="D970" s="346" t="s">
        <v>1153</v>
      </c>
      <c r="E970" s="346" t="s">
        <v>192</v>
      </c>
      <c r="F970" s="300">
        <f>F971</f>
        <v>10178.300020000001</v>
      </c>
      <c r="G970" s="344"/>
      <c r="H970" s="344"/>
      <c r="I970" s="344"/>
      <c r="J970" s="344"/>
      <c r="K970" s="344"/>
    </row>
    <row r="971" spans="1:11" s="343" customFormat="1" ht="15.75" x14ac:dyDescent="0.25">
      <c r="A971" s="345" t="s">
        <v>193</v>
      </c>
      <c r="B971" s="346" t="s">
        <v>203</v>
      </c>
      <c r="C971" s="346" t="s">
        <v>116</v>
      </c>
      <c r="D971" s="346" t="s">
        <v>1153</v>
      </c>
      <c r="E971" s="346" t="s">
        <v>194</v>
      </c>
      <c r="F971" s="300">
        <f>'Пр.4 ведом.22'!G484</f>
        <v>10178.300020000001</v>
      </c>
      <c r="G971" s="344"/>
      <c r="H971" s="344"/>
      <c r="I971" s="344"/>
      <c r="J971" s="344"/>
      <c r="K971" s="344"/>
    </row>
    <row r="972" spans="1:11" s="343" customFormat="1" ht="31.5" x14ac:dyDescent="0.25">
      <c r="A972" s="298" t="s">
        <v>1216</v>
      </c>
      <c r="B972" s="299" t="s">
        <v>203</v>
      </c>
      <c r="C972" s="299" t="s">
        <v>116</v>
      </c>
      <c r="D972" s="299" t="s">
        <v>1214</v>
      </c>
      <c r="E972" s="299"/>
      <c r="F972" s="297">
        <f>F973</f>
        <v>113.4</v>
      </c>
      <c r="G972" s="344"/>
      <c r="H972" s="344"/>
      <c r="I972" s="344"/>
      <c r="J972" s="344"/>
      <c r="K972" s="344"/>
    </row>
    <row r="973" spans="1:11" s="128" customFormat="1" ht="15.75" x14ac:dyDescent="0.25">
      <c r="A973" s="67" t="s">
        <v>725</v>
      </c>
      <c r="B973" s="346" t="s">
        <v>203</v>
      </c>
      <c r="C973" s="346" t="s">
        <v>116</v>
      </c>
      <c r="D973" s="346" t="s">
        <v>1215</v>
      </c>
      <c r="E973" s="346"/>
      <c r="F973" s="300">
        <f>F974+F976</f>
        <v>113.4</v>
      </c>
      <c r="G973" s="344"/>
      <c r="H973" s="344"/>
      <c r="I973" s="344"/>
      <c r="J973" s="344"/>
      <c r="K973" s="344"/>
    </row>
    <row r="974" spans="1:11" s="128" customFormat="1" ht="31.5" hidden="1" x14ac:dyDescent="0.25">
      <c r="A974" s="345" t="s">
        <v>123</v>
      </c>
      <c r="B974" s="346" t="s">
        <v>203</v>
      </c>
      <c r="C974" s="346" t="s">
        <v>116</v>
      </c>
      <c r="D974" s="346" t="s">
        <v>1215</v>
      </c>
      <c r="E974" s="346" t="s">
        <v>124</v>
      </c>
      <c r="F974" s="300">
        <f>F975</f>
        <v>0</v>
      </c>
      <c r="G974" s="344"/>
      <c r="H974" s="344"/>
      <c r="I974" s="344"/>
      <c r="J974" s="344"/>
      <c r="K974" s="344"/>
    </row>
    <row r="975" spans="1:11" s="128" customFormat="1" ht="47.25" hidden="1" x14ac:dyDescent="0.25">
      <c r="A975" s="345" t="s">
        <v>125</v>
      </c>
      <c r="B975" s="346" t="s">
        <v>203</v>
      </c>
      <c r="C975" s="346" t="s">
        <v>116</v>
      </c>
      <c r="D975" s="346" t="s">
        <v>1215</v>
      </c>
      <c r="E975" s="346" t="s">
        <v>126</v>
      </c>
      <c r="F975" s="300">
        <f>'Пр.4 ведом.22'!G488</f>
        <v>0</v>
      </c>
      <c r="G975" s="344"/>
      <c r="H975" s="344"/>
      <c r="I975" s="344"/>
      <c r="J975" s="344"/>
      <c r="K975" s="344"/>
    </row>
    <row r="976" spans="1:11" s="343" customFormat="1" ht="31.5" x14ac:dyDescent="0.25">
      <c r="A976" s="345" t="s">
        <v>191</v>
      </c>
      <c r="B976" s="346" t="s">
        <v>203</v>
      </c>
      <c r="C976" s="346" t="s">
        <v>116</v>
      </c>
      <c r="D976" s="346" t="s">
        <v>1215</v>
      </c>
      <c r="E976" s="346" t="s">
        <v>192</v>
      </c>
      <c r="F976" s="300">
        <f>F977</f>
        <v>113.4</v>
      </c>
      <c r="G976" s="344"/>
      <c r="H976" s="344"/>
      <c r="I976" s="344"/>
      <c r="J976" s="344"/>
      <c r="K976" s="344"/>
    </row>
    <row r="977" spans="1:11" s="343" customFormat="1" ht="15.75" x14ac:dyDescent="0.25">
      <c r="A977" s="345" t="s">
        <v>193</v>
      </c>
      <c r="B977" s="346" t="s">
        <v>203</v>
      </c>
      <c r="C977" s="346" t="s">
        <v>116</v>
      </c>
      <c r="D977" s="346" t="s">
        <v>1215</v>
      </c>
      <c r="E977" s="346" t="s">
        <v>194</v>
      </c>
      <c r="F977" s="300">
        <f>'Пр.4 ведом.22'!G490</f>
        <v>113.4</v>
      </c>
      <c r="G977" s="344"/>
      <c r="H977" s="344"/>
      <c r="I977" s="344"/>
      <c r="J977" s="344"/>
      <c r="K977" s="344"/>
    </row>
    <row r="978" spans="1:11" ht="47.25" x14ac:dyDescent="0.25">
      <c r="A978" s="24" t="s">
        <v>860</v>
      </c>
      <c r="B978" s="299" t="s">
        <v>203</v>
      </c>
      <c r="C978" s="299" t="s">
        <v>116</v>
      </c>
      <c r="D978" s="299" t="s">
        <v>206</v>
      </c>
      <c r="E978" s="299"/>
      <c r="F978" s="248">
        <f>F979</f>
        <v>42</v>
      </c>
    </row>
    <row r="979" spans="1:11" ht="63" x14ac:dyDescent="0.25">
      <c r="A979" s="24" t="s">
        <v>586</v>
      </c>
      <c r="B979" s="299" t="s">
        <v>203</v>
      </c>
      <c r="C979" s="299" t="s">
        <v>116</v>
      </c>
      <c r="D979" s="299" t="s">
        <v>502</v>
      </c>
      <c r="E979" s="299"/>
      <c r="F979" s="294">
        <f>F980+F983</f>
        <v>42</v>
      </c>
      <c r="H979" s="71"/>
    </row>
    <row r="980" spans="1:11" ht="47.25" x14ac:dyDescent="0.25">
      <c r="A980" s="22" t="s">
        <v>631</v>
      </c>
      <c r="B980" s="346" t="s">
        <v>203</v>
      </c>
      <c r="C980" s="346" t="s">
        <v>116</v>
      </c>
      <c r="D980" s="346" t="s">
        <v>587</v>
      </c>
      <c r="E980" s="346"/>
      <c r="F980" s="295">
        <f>F981</f>
        <v>4</v>
      </c>
    </row>
    <row r="981" spans="1:11" ht="31.5" x14ac:dyDescent="0.25">
      <c r="A981" s="345" t="s">
        <v>123</v>
      </c>
      <c r="B981" s="346" t="s">
        <v>203</v>
      </c>
      <c r="C981" s="346" t="s">
        <v>116</v>
      </c>
      <c r="D981" s="346" t="s">
        <v>587</v>
      </c>
      <c r="E981" s="346" t="s">
        <v>124</v>
      </c>
      <c r="F981" s="295">
        <f>F982</f>
        <v>4</v>
      </c>
    </row>
    <row r="982" spans="1:11" ht="47.25" x14ac:dyDescent="0.25">
      <c r="A982" s="345" t="s">
        <v>125</v>
      </c>
      <c r="B982" s="346" t="s">
        <v>203</v>
      </c>
      <c r="C982" s="346" t="s">
        <v>116</v>
      </c>
      <c r="D982" s="346" t="s">
        <v>587</v>
      </c>
      <c r="E982" s="346" t="s">
        <v>126</v>
      </c>
      <c r="F982" s="295">
        <f>'Пр.4 ведом.22'!G495</f>
        <v>4</v>
      </c>
    </row>
    <row r="983" spans="1:11" s="343" customFormat="1" ht="47.25" x14ac:dyDescent="0.25">
      <c r="A983" s="391" t="s">
        <v>569</v>
      </c>
      <c r="B983" s="346" t="s">
        <v>203</v>
      </c>
      <c r="C983" s="346" t="s">
        <v>116</v>
      </c>
      <c r="D983" s="346" t="s">
        <v>1222</v>
      </c>
      <c r="E983" s="346"/>
      <c r="F983" s="295">
        <f>F984</f>
        <v>38</v>
      </c>
      <c r="G983" s="344"/>
      <c r="H983" s="344"/>
      <c r="I983" s="344"/>
      <c r="J983" s="344"/>
      <c r="K983" s="344"/>
    </row>
    <row r="984" spans="1:11" s="343" customFormat="1" ht="31.5" x14ac:dyDescent="0.25">
      <c r="A984" s="391" t="s">
        <v>191</v>
      </c>
      <c r="B984" s="346" t="s">
        <v>203</v>
      </c>
      <c r="C984" s="346" t="s">
        <v>116</v>
      </c>
      <c r="D984" s="346" t="s">
        <v>1222</v>
      </c>
      <c r="E984" s="346" t="s">
        <v>192</v>
      </c>
      <c r="F984" s="295">
        <f>F985</f>
        <v>38</v>
      </c>
      <c r="G984" s="344"/>
      <c r="H984" s="344"/>
      <c r="I984" s="344"/>
      <c r="J984" s="344"/>
      <c r="K984" s="344"/>
    </row>
    <row r="985" spans="1:11" s="343" customFormat="1" ht="15.75" x14ac:dyDescent="0.25">
      <c r="A985" s="345" t="s">
        <v>193</v>
      </c>
      <c r="B985" s="346" t="s">
        <v>203</v>
      </c>
      <c r="C985" s="346" t="s">
        <v>116</v>
      </c>
      <c r="D985" s="346" t="s">
        <v>1222</v>
      </c>
      <c r="E985" s="346" t="s">
        <v>194</v>
      </c>
      <c r="F985" s="295">
        <f>'Пр.4 ведом.22'!G498</f>
        <v>38</v>
      </c>
      <c r="G985" s="344"/>
      <c r="H985" s="344"/>
      <c r="I985" s="344"/>
      <c r="J985" s="344"/>
      <c r="K985" s="344"/>
    </row>
    <row r="986" spans="1:11" ht="47.25" x14ac:dyDescent="0.25">
      <c r="A986" s="340" t="s">
        <v>856</v>
      </c>
      <c r="B986" s="299" t="s">
        <v>203</v>
      </c>
      <c r="C986" s="299" t="s">
        <v>116</v>
      </c>
      <c r="D986" s="299" t="s">
        <v>339</v>
      </c>
      <c r="E986" s="304"/>
      <c r="F986" s="294">
        <f t="shared" ref="F986" si="80">F987</f>
        <v>1271.4000000000001</v>
      </c>
    </row>
    <row r="987" spans="1:11" ht="47.25" x14ac:dyDescent="0.25">
      <c r="A987" s="340" t="s">
        <v>461</v>
      </c>
      <c r="B987" s="299" t="s">
        <v>203</v>
      </c>
      <c r="C987" s="299" t="s">
        <v>116</v>
      </c>
      <c r="D987" s="299" t="s">
        <v>459</v>
      </c>
      <c r="E987" s="304"/>
      <c r="F987" s="294">
        <f>F988+F991</f>
        <v>1271.4000000000001</v>
      </c>
      <c r="G987" s="109"/>
      <c r="H987" s="302"/>
    </row>
    <row r="988" spans="1:11" ht="47.25" x14ac:dyDescent="0.25">
      <c r="A988" s="67" t="s">
        <v>583</v>
      </c>
      <c r="B988" s="346" t="s">
        <v>203</v>
      </c>
      <c r="C988" s="346" t="s">
        <v>116</v>
      </c>
      <c r="D988" s="346" t="s">
        <v>460</v>
      </c>
      <c r="E988" s="301"/>
      <c r="F988" s="246">
        <f>F989</f>
        <v>869.50000000000011</v>
      </c>
    </row>
    <row r="989" spans="1:11" ht="31.5" x14ac:dyDescent="0.25">
      <c r="A989" s="345" t="s">
        <v>123</v>
      </c>
      <c r="B989" s="346" t="s">
        <v>203</v>
      </c>
      <c r="C989" s="346" t="s">
        <v>116</v>
      </c>
      <c r="D989" s="346" t="s">
        <v>460</v>
      </c>
      <c r="E989" s="301" t="s">
        <v>124</v>
      </c>
      <c r="F989" s="295">
        <f>F990</f>
        <v>869.50000000000011</v>
      </c>
    </row>
    <row r="990" spans="1:11" ht="47.25" x14ac:dyDescent="0.25">
      <c r="A990" s="345" t="s">
        <v>125</v>
      </c>
      <c r="B990" s="346" t="s">
        <v>203</v>
      </c>
      <c r="C990" s="346" t="s">
        <v>116</v>
      </c>
      <c r="D990" s="346" t="s">
        <v>460</v>
      </c>
      <c r="E990" s="301" t="s">
        <v>126</v>
      </c>
      <c r="F990" s="295">
        <f>'Пр.4 ведом.22'!G503</f>
        <v>869.50000000000011</v>
      </c>
    </row>
    <row r="991" spans="1:11" s="343" customFormat="1" ht="47.25" x14ac:dyDescent="0.25">
      <c r="A991" s="391" t="s">
        <v>357</v>
      </c>
      <c r="B991" s="346" t="s">
        <v>203</v>
      </c>
      <c r="C991" s="346" t="s">
        <v>116</v>
      </c>
      <c r="D991" s="346" t="s">
        <v>1223</v>
      </c>
      <c r="E991" s="301"/>
      <c r="F991" s="295">
        <f>F992</f>
        <v>401.9</v>
      </c>
      <c r="G991" s="344"/>
      <c r="H991" s="344"/>
      <c r="I991" s="344"/>
      <c r="J991" s="344"/>
      <c r="K991" s="344"/>
    </row>
    <row r="992" spans="1:11" s="343" customFormat="1" ht="31.5" x14ac:dyDescent="0.25">
      <c r="A992" s="391" t="s">
        <v>191</v>
      </c>
      <c r="B992" s="346" t="s">
        <v>203</v>
      </c>
      <c r="C992" s="346" t="s">
        <v>116</v>
      </c>
      <c r="D992" s="346" t="s">
        <v>1223</v>
      </c>
      <c r="E992" s="301" t="s">
        <v>192</v>
      </c>
      <c r="F992" s="295">
        <f>F993</f>
        <v>401.9</v>
      </c>
      <c r="G992" s="344"/>
      <c r="H992" s="344"/>
      <c r="I992" s="344"/>
      <c r="J992" s="344"/>
      <c r="K992" s="344"/>
    </row>
    <row r="993" spans="1:11" s="343" customFormat="1" ht="15.75" x14ac:dyDescent="0.25">
      <c r="A993" s="345" t="s">
        <v>193</v>
      </c>
      <c r="B993" s="346" t="s">
        <v>203</v>
      </c>
      <c r="C993" s="346" t="s">
        <v>116</v>
      </c>
      <c r="D993" s="346" t="s">
        <v>1223</v>
      </c>
      <c r="E993" s="301" t="s">
        <v>194</v>
      </c>
      <c r="F993" s="295">
        <f>'Пр.4 ведом.22'!G506</f>
        <v>401.9</v>
      </c>
      <c r="G993" s="344"/>
      <c r="H993" s="344"/>
      <c r="I993" s="344"/>
      <c r="J993" s="344"/>
      <c r="K993" s="344"/>
    </row>
    <row r="994" spans="1:11" s="128" customFormat="1" ht="31.5" x14ac:dyDescent="0.25">
      <c r="A994" s="298" t="s">
        <v>208</v>
      </c>
      <c r="B994" s="299" t="s">
        <v>203</v>
      </c>
      <c r="C994" s="299" t="s">
        <v>139</v>
      </c>
      <c r="D994" s="299"/>
      <c r="E994" s="301"/>
      <c r="F994" s="294">
        <f>F995+F1012+F1028</f>
        <v>24473.553439999996</v>
      </c>
      <c r="G994" s="344"/>
      <c r="H994" s="344"/>
      <c r="I994" s="344"/>
      <c r="J994" s="344"/>
      <c r="K994" s="344"/>
    </row>
    <row r="995" spans="1:11" s="128" customFormat="1" ht="31.5" x14ac:dyDescent="0.25">
      <c r="A995" s="298" t="s">
        <v>486</v>
      </c>
      <c r="B995" s="299" t="s">
        <v>203</v>
      </c>
      <c r="C995" s="299" t="s">
        <v>139</v>
      </c>
      <c r="D995" s="299" t="s">
        <v>432</v>
      </c>
      <c r="E995" s="301"/>
      <c r="F995" s="294">
        <f>F996</f>
        <v>12263.384459999997</v>
      </c>
      <c r="G995" s="344"/>
      <c r="H995" s="344"/>
      <c r="I995" s="344"/>
      <c r="J995" s="344"/>
      <c r="K995" s="344"/>
    </row>
    <row r="996" spans="1:11" s="128" customFormat="1" ht="15.75" x14ac:dyDescent="0.25">
      <c r="A996" s="298" t="s">
        <v>487</v>
      </c>
      <c r="B996" s="299" t="s">
        <v>203</v>
      </c>
      <c r="C996" s="299" t="s">
        <v>139</v>
      </c>
      <c r="D996" s="299" t="s">
        <v>433</v>
      </c>
      <c r="E996" s="301"/>
      <c r="F996" s="294">
        <f>F997+F1009+F1004</f>
        <v>12263.384459999997</v>
      </c>
      <c r="G996" s="344"/>
      <c r="H996" s="344"/>
      <c r="I996" s="344"/>
      <c r="J996" s="344"/>
      <c r="K996" s="344"/>
    </row>
    <row r="997" spans="1:11" s="128" customFormat="1" ht="31.5" x14ac:dyDescent="0.25">
      <c r="A997" s="345" t="s">
        <v>466</v>
      </c>
      <c r="B997" s="346" t="s">
        <v>203</v>
      </c>
      <c r="C997" s="346" t="s">
        <v>139</v>
      </c>
      <c r="D997" s="346" t="s">
        <v>434</v>
      </c>
      <c r="E997" s="301"/>
      <c r="F997" s="295">
        <f>F998+F1000+F1002</f>
        <v>11890.978589999999</v>
      </c>
      <c r="G997" s="344"/>
      <c r="H997" s="344"/>
      <c r="I997" s="344"/>
      <c r="J997" s="344"/>
      <c r="K997" s="344"/>
    </row>
    <row r="998" spans="1:11" s="128" customFormat="1" ht="78.75" x14ac:dyDescent="0.25">
      <c r="A998" s="345" t="s">
        <v>119</v>
      </c>
      <c r="B998" s="346" t="s">
        <v>203</v>
      </c>
      <c r="C998" s="346" t="s">
        <v>139</v>
      </c>
      <c r="D998" s="346" t="s">
        <v>434</v>
      </c>
      <c r="E998" s="301" t="s">
        <v>120</v>
      </c>
      <c r="F998" s="295">
        <f>F999</f>
        <v>10795.8</v>
      </c>
      <c r="G998" s="344"/>
      <c r="H998" s="344"/>
      <c r="I998" s="344"/>
      <c r="J998" s="344"/>
      <c r="K998" s="344"/>
    </row>
    <row r="999" spans="1:11" ht="31.5" x14ac:dyDescent="0.25">
      <c r="A999" s="345" t="s">
        <v>121</v>
      </c>
      <c r="B999" s="346" t="s">
        <v>203</v>
      </c>
      <c r="C999" s="346" t="s">
        <v>139</v>
      </c>
      <c r="D999" s="346" t="s">
        <v>434</v>
      </c>
      <c r="E999" s="341" t="s">
        <v>122</v>
      </c>
      <c r="F999" s="295">
        <f>'Пр.4 ведом.22'!G512</f>
        <v>10795.8</v>
      </c>
    </row>
    <row r="1000" spans="1:11" ht="31.5" x14ac:dyDescent="0.25">
      <c r="A1000" s="345" t="s">
        <v>123</v>
      </c>
      <c r="B1000" s="346" t="s">
        <v>203</v>
      </c>
      <c r="C1000" s="346" t="s">
        <v>139</v>
      </c>
      <c r="D1000" s="346" t="s">
        <v>434</v>
      </c>
      <c r="E1000" s="341" t="s">
        <v>124</v>
      </c>
      <c r="F1000" s="295">
        <f>F1001</f>
        <v>1068.5</v>
      </c>
    </row>
    <row r="1001" spans="1:11" ht="47.25" x14ac:dyDescent="0.25">
      <c r="A1001" s="345" t="s">
        <v>125</v>
      </c>
      <c r="B1001" s="346" t="s">
        <v>203</v>
      </c>
      <c r="C1001" s="346" t="s">
        <v>139</v>
      </c>
      <c r="D1001" s="346" t="s">
        <v>434</v>
      </c>
      <c r="E1001" s="341" t="s">
        <v>126</v>
      </c>
      <c r="F1001" s="295">
        <f>'Пр.4 ведом.22'!G514</f>
        <v>1068.5</v>
      </c>
    </row>
    <row r="1002" spans="1:11" s="343" customFormat="1" ht="15.75" x14ac:dyDescent="0.25">
      <c r="A1002" s="345" t="s">
        <v>127</v>
      </c>
      <c r="B1002" s="346" t="s">
        <v>203</v>
      </c>
      <c r="C1002" s="346" t="s">
        <v>139</v>
      </c>
      <c r="D1002" s="346" t="s">
        <v>434</v>
      </c>
      <c r="E1002" s="341" t="s">
        <v>134</v>
      </c>
      <c r="F1002" s="295">
        <f>F1003</f>
        <v>26.678589999999996</v>
      </c>
      <c r="G1002" s="344"/>
      <c r="H1002" s="344"/>
      <c r="I1002" s="344"/>
      <c r="J1002" s="344"/>
      <c r="K1002" s="344"/>
    </row>
    <row r="1003" spans="1:11" s="343" customFormat="1" ht="15.75" x14ac:dyDescent="0.25">
      <c r="A1003" s="345" t="s">
        <v>280</v>
      </c>
      <c r="B1003" s="346" t="s">
        <v>203</v>
      </c>
      <c r="C1003" s="346" t="s">
        <v>139</v>
      </c>
      <c r="D1003" s="346" t="s">
        <v>434</v>
      </c>
      <c r="E1003" s="341" t="s">
        <v>130</v>
      </c>
      <c r="F1003" s="295">
        <f>'Пр.4 ведом.22'!G516</f>
        <v>26.678589999999996</v>
      </c>
      <c r="G1003" s="344"/>
      <c r="H1003" s="344"/>
      <c r="I1003" s="344"/>
      <c r="J1003" s="344"/>
      <c r="K1003" s="344"/>
    </row>
    <row r="1004" spans="1:11" s="343" customFormat="1" ht="31.5" x14ac:dyDescent="0.25">
      <c r="A1004" s="345" t="s">
        <v>415</v>
      </c>
      <c r="B1004" s="346" t="s">
        <v>203</v>
      </c>
      <c r="C1004" s="346" t="s">
        <v>139</v>
      </c>
      <c r="D1004" s="346" t="s">
        <v>435</v>
      </c>
      <c r="E1004" s="341"/>
      <c r="F1004" s="295">
        <f>F1005+F1007</f>
        <v>249.10586999999998</v>
      </c>
      <c r="G1004" s="344"/>
      <c r="H1004" s="344"/>
      <c r="I1004" s="344"/>
      <c r="J1004" s="344"/>
      <c r="K1004" s="344"/>
    </row>
    <row r="1005" spans="1:11" s="343" customFormat="1" ht="78.75" hidden="1" x14ac:dyDescent="0.25">
      <c r="A1005" s="345" t="s">
        <v>119</v>
      </c>
      <c r="B1005" s="346" t="s">
        <v>203</v>
      </c>
      <c r="C1005" s="346" t="s">
        <v>139</v>
      </c>
      <c r="D1005" s="346" t="s">
        <v>435</v>
      </c>
      <c r="E1005" s="341" t="s">
        <v>120</v>
      </c>
      <c r="F1005" s="295">
        <f>F1006</f>
        <v>0</v>
      </c>
      <c r="G1005" s="344"/>
      <c r="H1005" s="344"/>
      <c r="I1005" s="344"/>
      <c r="J1005" s="344"/>
      <c r="K1005" s="344"/>
    </row>
    <row r="1006" spans="1:11" s="343" customFormat="1" ht="31.5" hidden="1" x14ac:dyDescent="0.25">
      <c r="A1006" s="345" t="s">
        <v>121</v>
      </c>
      <c r="B1006" s="346" t="s">
        <v>203</v>
      </c>
      <c r="C1006" s="346" t="s">
        <v>139</v>
      </c>
      <c r="D1006" s="346" t="s">
        <v>435</v>
      </c>
      <c r="E1006" s="341" t="s">
        <v>122</v>
      </c>
      <c r="F1006" s="295">
        <f>'Пр.4 ведом.22'!G519</f>
        <v>0</v>
      </c>
      <c r="G1006" s="344"/>
      <c r="H1006" s="344"/>
      <c r="I1006" s="344"/>
      <c r="J1006" s="344"/>
      <c r="K1006" s="344"/>
    </row>
    <row r="1007" spans="1:11" s="343" customFormat="1" ht="31.5" x14ac:dyDescent="0.25">
      <c r="A1007" s="345" t="s">
        <v>177</v>
      </c>
      <c r="B1007" s="346" t="s">
        <v>203</v>
      </c>
      <c r="C1007" s="346" t="s">
        <v>139</v>
      </c>
      <c r="D1007" s="346" t="s">
        <v>435</v>
      </c>
      <c r="E1007" s="346" t="s">
        <v>178</v>
      </c>
      <c r="F1007" s="295">
        <f>F1008</f>
        <v>249.10586999999998</v>
      </c>
      <c r="G1007" s="344"/>
      <c r="H1007" s="344"/>
      <c r="I1007" s="344"/>
      <c r="J1007" s="344"/>
      <c r="K1007" s="344"/>
    </row>
    <row r="1008" spans="1:11" s="343" customFormat="1" ht="31.5" x14ac:dyDescent="0.25">
      <c r="A1008" s="345" t="s">
        <v>179</v>
      </c>
      <c r="B1008" s="346" t="s">
        <v>203</v>
      </c>
      <c r="C1008" s="346" t="s">
        <v>139</v>
      </c>
      <c r="D1008" s="346" t="s">
        <v>435</v>
      </c>
      <c r="E1008" s="346" t="s">
        <v>180</v>
      </c>
      <c r="F1008" s="295">
        <f>'Пр.4 ведом.22'!G521</f>
        <v>249.10586999999998</v>
      </c>
      <c r="G1008" s="344"/>
      <c r="H1008" s="344"/>
      <c r="I1008" s="344"/>
      <c r="J1008" s="344"/>
      <c r="K1008" s="344"/>
    </row>
    <row r="1009" spans="1:11" ht="47.25" x14ac:dyDescent="0.25">
      <c r="A1009" s="345" t="s">
        <v>414</v>
      </c>
      <c r="B1009" s="346" t="s">
        <v>203</v>
      </c>
      <c r="C1009" s="346" t="s">
        <v>139</v>
      </c>
      <c r="D1009" s="346" t="s">
        <v>436</v>
      </c>
      <c r="E1009" s="341"/>
      <c r="F1009" s="295">
        <f>F1010</f>
        <v>123.30000000000001</v>
      </c>
    </row>
    <row r="1010" spans="1:11" ht="78.75" x14ac:dyDescent="0.25">
      <c r="A1010" s="345" t="s">
        <v>119</v>
      </c>
      <c r="B1010" s="346" t="s">
        <v>203</v>
      </c>
      <c r="C1010" s="346" t="s">
        <v>139</v>
      </c>
      <c r="D1010" s="346" t="s">
        <v>436</v>
      </c>
      <c r="E1010" s="341" t="s">
        <v>120</v>
      </c>
      <c r="F1010" s="295">
        <f t="shared" ref="F1010" si="81">F1011</f>
        <v>123.30000000000001</v>
      </c>
    </row>
    <row r="1011" spans="1:11" ht="31.5" x14ac:dyDescent="0.25">
      <c r="A1011" s="345" t="s">
        <v>121</v>
      </c>
      <c r="B1011" s="346" t="s">
        <v>203</v>
      </c>
      <c r="C1011" s="346" t="s">
        <v>139</v>
      </c>
      <c r="D1011" s="346" t="s">
        <v>436</v>
      </c>
      <c r="E1011" s="341" t="s">
        <v>122</v>
      </c>
      <c r="F1011" s="295">
        <f>'Пр.4 ведом.22'!G524</f>
        <v>123.30000000000001</v>
      </c>
    </row>
    <row r="1012" spans="1:11" ht="15.75" x14ac:dyDescent="0.25">
      <c r="A1012" s="298" t="s">
        <v>495</v>
      </c>
      <c r="B1012" s="299" t="s">
        <v>203</v>
      </c>
      <c r="C1012" s="299" t="s">
        <v>139</v>
      </c>
      <c r="D1012" s="299" t="s">
        <v>440</v>
      </c>
      <c r="E1012" s="341"/>
      <c r="F1012" s="294">
        <f>F1013+F1024</f>
        <v>12023.168979999999</v>
      </c>
    </row>
    <row r="1013" spans="1:11" s="343" customFormat="1" ht="15.75" x14ac:dyDescent="0.25">
      <c r="A1013" s="298" t="s">
        <v>1115</v>
      </c>
      <c r="B1013" s="299" t="s">
        <v>203</v>
      </c>
      <c r="C1013" s="299" t="s">
        <v>139</v>
      </c>
      <c r="D1013" s="299" t="s">
        <v>516</v>
      </c>
      <c r="E1013" s="299"/>
      <c r="F1013" s="295">
        <f>F1014+F1017</f>
        <v>12023.168979999999</v>
      </c>
      <c r="G1013" s="344"/>
      <c r="H1013" s="344"/>
      <c r="I1013" s="344"/>
      <c r="J1013" s="344"/>
      <c r="K1013" s="344"/>
    </row>
    <row r="1014" spans="1:11" s="343" customFormat="1" ht="47.25" x14ac:dyDescent="0.25">
      <c r="A1014" s="345" t="s">
        <v>414</v>
      </c>
      <c r="B1014" s="346" t="s">
        <v>203</v>
      </c>
      <c r="C1014" s="346" t="s">
        <v>139</v>
      </c>
      <c r="D1014" s="346" t="s">
        <v>519</v>
      </c>
      <c r="E1014" s="346"/>
      <c r="F1014" s="295">
        <f>F1015</f>
        <v>419.09997999999996</v>
      </c>
      <c r="G1014" s="344"/>
      <c r="H1014" s="344"/>
      <c r="I1014" s="344"/>
      <c r="J1014" s="344"/>
      <c r="K1014" s="344"/>
    </row>
    <row r="1015" spans="1:11" s="343" customFormat="1" ht="78.75" x14ac:dyDescent="0.25">
      <c r="A1015" s="345" t="s">
        <v>119</v>
      </c>
      <c r="B1015" s="346" t="s">
        <v>203</v>
      </c>
      <c r="C1015" s="346" t="s">
        <v>139</v>
      </c>
      <c r="D1015" s="346" t="s">
        <v>519</v>
      </c>
      <c r="E1015" s="346" t="s">
        <v>120</v>
      </c>
      <c r="F1015" s="295">
        <f>F1016</f>
        <v>419.09997999999996</v>
      </c>
      <c r="G1015" s="344"/>
      <c r="H1015" s="344"/>
      <c r="I1015" s="344"/>
      <c r="J1015" s="344"/>
      <c r="K1015" s="344"/>
    </row>
    <row r="1016" spans="1:11" s="343" customFormat="1" ht="31.5" x14ac:dyDescent="0.25">
      <c r="A1016" s="345" t="s">
        <v>212</v>
      </c>
      <c r="B1016" s="346" t="s">
        <v>203</v>
      </c>
      <c r="C1016" s="346" t="s">
        <v>139</v>
      </c>
      <c r="D1016" s="346" t="s">
        <v>519</v>
      </c>
      <c r="E1016" s="346" t="s">
        <v>156</v>
      </c>
      <c r="F1016" s="295">
        <f>'Пр.4 ведом.22'!G533</f>
        <v>419.09997999999996</v>
      </c>
      <c r="G1016" s="344"/>
      <c r="H1016" s="344"/>
      <c r="I1016" s="344"/>
      <c r="J1016" s="344"/>
      <c r="K1016" s="344"/>
    </row>
    <row r="1017" spans="1:11" s="343" customFormat="1" ht="15.75" x14ac:dyDescent="0.25">
      <c r="A1017" s="345" t="s">
        <v>377</v>
      </c>
      <c r="B1017" s="346" t="s">
        <v>203</v>
      </c>
      <c r="C1017" s="346" t="s">
        <v>139</v>
      </c>
      <c r="D1017" s="346" t="s">
        <v>518</v>
      </c>
      <c r="E1017" s="346"/>
      <c r="F1017" s="295">
        <f>F1018+F1020+F1022</f>
        <v>11604.069</v>
      </c>
      <c r="G1017" s="344"/>
      <c r="H1017" s="344"/>
      <c r="I1017" s="344"/>
      <c r="J1017" s="344"/>
      <c r="K1017" s="344"/>
    </row>
    <row r="1018" spans="1:11" s="343" customFormat="1" ht="78.75" x14ac:dyDescent="0.25">
      <c r="A1018" s="345" t="s">
        <v>119</v>
      </c>
      <c r="B1018" s="346" t="s">
        <v>203</v>
      </c>
      <c r="C1018" s="346" t="s">
        <v>139</v>
      </c>
      <c r="D1018" s="346" t="s">
        <v>518</v>
      </c>
      <c r="E1018" s="346" t="s">
        <v>120</v>
      </c>
      <c r="F1018" s="295">
        <f>F1019</f>
        <v>10605.8</v>
      </c>
      <c r="G1018" s="344"/>
      <c r="H1018" s="344"/>
      <c r="I1018" s="344"/>
      <c r="J1018" s="344"/>
      <c r="K1018" s="344"/>
    </row>
    <row r="1019" spans="1:11" s="343" customFormat="1" ht="31.5" x14ac:dyDescent="0.25">
      <c r="A1019" s="345" t="s">
        <v>212</v>
      </c>
      <c r="B1019" s="346" t="s">
        <v>203</v>
      </c>
      <c r="C1019" s="346" t="s">
        <v>139</v>
      </c>
      <c r="D1019" s="346" t="s">
        <v>518</v>
      </c>
      <c r="E1019" s="346" t="s">
        <v>156</v>
      </c>
      <c r="F1019" s="295">
        <f>'Пр.4 ведом.22'!G536</f>
        <v>10605.8</v>
      </c>
      <c r="G1019" s="344"/>
      <c r="H1019" s="344"/>
      <c r="I1019" s="344"/>
      <c r="J1019" s="344"/>
      <c r="K1019" s="344"/>
    </row>
    <row r="1020" spans="1:11" s="343" customFormat="1" ht="31.5" x14ac:dyDescent="0.25">
      <c r="A1020" s="345" t="s">
        <v>123</v>
      </c>
      <c r="B1020" s="346" t="s">
        <v>203</v>
      </c>
      <c r="C1020" s="346" t="s">
        <v>139</v>
      </c>
      <c r="D1020" s="346" t="s">
        <v>518</v>
      </c>
      <c r="E1020" s="346" t="s">
        <v>124</v>
      </c>
      <c r="F1020" s="295">
        <f>F1021</f>
        <v>998.26899999999989</v>
      </c>
      <c r="G1020" s="344"/>
      <c r="H1020" s="344"/>
      <c r="I1020" s="344"/>
      <c r="J1020" s="344"/>
      <c r="K1020" s="344"/>
    </row>
    <row r="1021" spans="1:11" s="343" customFormat="1" ht="47.25" x14ac:dyDescent="0.25">
      <c r="A1021" s="345" t="s">
        <v>125</v>
      </c>
      <c r="B1021" s="346" t="s">
        <v>203</v>
      </c>
      <c r="C1021" s="346" t="s">
        <v>139</v>
      </c>
      <c r="D1021" s="346" t="s">
        <v>518</v>
      </c>
      <c r="E1021" s="346" t="s">
        <v>126</v>
      </c>
      <c r="F1021" s="295">
        <f>'Пр.4 ведом.22'!G538</f>
        <v>998.26899999999989</v>
      </c>
      <c r="G1021" s="344"/>
      <c r="H1021" s="344"/>
      <c r="I1021" s="344"/>
      <c r="J1021" s="344"/>
      <c r="K1021" s="344"/>
    </row>
    <row r="1022" spans="1:11" s="343" customFormat="1" ht="15.75" x14ac:dyDescent="0.25">
      <c r="A1022" s="345" t="s">
        <v>127</v>
      </c>
      <c r="B1022" s="346" t="s">
        <v>203</v>
      </c>
      <c r="C1022" s="346" t="s">
        <v>139</v>
      </c>
      <c r="D1022" s="346" t="s">
        <v>518</v>
      </c>
      <c r="E1022" s="346" t="s">
        <v>134</v>
      </c>
      <c r="F1022" s="295">
        <f>F1023</f>
        <v>0</v>
      </c>
      <c r="G1022" s="344"/>
      <c r="H1022" s="344"/>
      <c r="I1022" s="344"/>
      <c r="J1022" s="344"/>
      <c r="K1022" s="344"/>
    </row>
    <row r="1023" spans="1:11" s="343" customFormat="1" ht="15.75" x14ac:dyDescent="0.25">
      <c r="A1023" s="345" t="s">
        <v>280</v>
      </c>
      <c r="B1023" s="346" t="s">
        <v>203</v>
      </c>
      <c r="C1023" s="346" t="s">
        <v>139</v>
      </c>
      <c r="D1023" s="346" t="s">
        <v>518</v>
      </c>
      <c r="E1023" s="346" t="s">
        <v>130</v>
      </c>
      <c r="F1023" s="295">
        <f>'Пр.4 ведом.22'!G540</f>
        <v>0</v>
      </c>
      <c r="G1023" s="344"/>
      <c r="H1023" s="344"/>
      <c r="I1023" s="344"/>
      <c r="J1023" s="344"/>
      <c r="K1023" s="344"/>
    </row>
    <row r="1024" spans="1:11" s="293" customFormat="1" ht="31.5" hidden="1" x14ac:dyDescent="0.25">
      <c r="A1024" s="24" t="s">
        <v>444</v>
      </c>
      <c r="B1024" s="299" t="s">
        <v>203</v>
      </c>
      <c r="C1024" s="299" t="s">
        <v>139</v>
      </c>
      <c r="D1024" s="299" t="s">
        <v>439</v>
      </c>
      <c r="E1024" s="6"/>
      <c r="F1024" s="294">
        <f>F1025</f>
        <v>0</v>
      </c>
      <c r="G1024" s="344"/>
      <c r="H1024" s="344"/>
      <c r="I1024" s="344"/>
      <c r="J1024" s="344"/>
      <c r="K1024" s="344"/>
    </row>
    <row r="1025" spans="1:12" s="293" customFormat="1" ht="47.25" hidden="1" x14ac:dyDescent="0.25">
      <c r="A1025" s="22" t="s">
        <v>1067</v>
      </c>
      <c r="B1025" s="346" t="s">
        <v>203</v>
      </c>
      <c r="C1025" s="346" t="s">
        <v>139</v>
      </c>
      <c r="D1025" s="346" t="s">
        <v>1066</v>
      </c>
      <c r="E1025" s="341"/>
      <c r="F1025" s="295">
        <f>F1026</f>
        <v>0</v>
      </c>
      <c r="G1025" s="344"/>
      <c r="H1025" s="344"/>
      <c r="I1025" s="344"/>
      <c r="J1025" s="344"/>
      <c r="K1025" s="344"/>
    </row>
    <row r="1026" spans="1:12" s="293" customFormat="1" ht="31.5" hidden="1" x14ac:dyDescent="0.25">
      <c r="A1026" s="345" t="s">
        <v>123</v>
      </c>
      <c r="B1026" s="346" t="s">
        <v>203</v>
      </c>
      <c r="C1026" s="346" t="s">
        <v>139</v>
      </c>
      <c r="D1026" s="346" t="s">
        <v>1066</v>
      </c>
      <c r="E1026" s="341" t="s">
        <v>124</v>
      </c>
      <c r="F1026" s="295">
        <f>F1027</f>
        <v>0</v>
      </c>
      <c r="G1026" s="344"/>
      <c r="H1026" s="344"/>
      <c r="I1026" s="344"/>
      <c r="J1026" s="344"/>
      <c r="K1026" s="344"/>
    </row>
    <row r="1027" spans="1:12" s="293" customFormat="1" ht="47.25" hidden="1" x14ac:dyDescent="0.25">
      <c r="A1027" s="345" t="s">
        <v>125</v>
      </c>
      <c r="B1027" s="346" t="s">
        <v>203</v>
      </c>
      <c r="C1027" s="346" t="s">
        <v>139</v>
      </c>
      <c r="D1027" s="346" t="s">
        <v>1066</v>
      </c>
      <c r="E1027" s="341" t="s">
        <v>126</v>
      </c>
      <c r="F1027" s="295">
        <f>'Пр.4 ведом.22'!G529</f>
        <v>0</v>
      </c>
      <c r="G1027" s="344"/>
      <c r="H1027" s="344"/>
      <c r="I1027" s="344"/>
      <c r="J1027" s="344"/>
      <c r="K1027" s="344"/>
    </row>
    <row r="1028" spans="1:12" ht="47.25" x14ac:dyDescent="0.25">
      <c r="A1028" s="298" t="s">
        <v>851</v>
      </c>
      <c r="B1028" s="299" t="s">
        <v>203</v>
      </c>
      <c r="C1028" s="299" t="s">
        <v>139</v>
      </c>
      <c r="D1028" s="299" t="s">
        <v>213</v>
      </c>
      <c r="E1028" s="341"/>
      <c r="F1028" s="294">
        <f>F1029</f>
        <v>187</v>
      </c>
    </row>
    <row r="1029" spans="1:12" ht="31.5" x14ac:dyDescent="0.25">
      <c r="A1029" s="298" t="s">
        <v>220</v>
      </c>
      <c r="B1029" s="299" t="s">
        <v>203</v>
      </c>
      <c r="C1029" s="299" t="s">
        <v>139</v>
      </c>
      <c r="D1029" s="299" t="s">
        <v>223</v>
      </c>
      <c r="E1029" s="341"/>
      <c r="F1029" s="294">
        <f>F1030</f>
        <v>187</v>
      </c>
    </row>
    <row r="1030" spans="1:12" ht="31.5" x14ac:dyDescent="0.25">
      <c r="A1030" s="298" t="s">
        <v>558</v>
      </c>
      <c r="B1030" s="299" t="s">
        <v>203</v>
      </c>
      <c r="C1030" s="299" t="s">
        <v>139</v>
      </c>
      <c r="D1030" s="299" t="s">
        <v>755</v>
      </c>
      <c r="E1030" s="341"/>
      <c r="F1030" s="294">
        <f>F1031</f>
        <v>187</v>
      </c>
    </row>
    <row r="1031" spans="1:12" ht="31.5" x14ac:dyDescent="0.25">
      <c r="A1031" s="345" t="s">
        <v>557</v>
      </c>
      <c r="B1031" s="346" t="s">
        <v>203</v>
      </c>
      <c r="C1031" s="346" t="s">
        <v>139</v>
      </c>
      <c r="D1031" s="346" t="s">
        <v>756</v>
      </c>
      <c r="E1031" s="341"/>
      <c r="F1031" s="295">
        <f t="shared" ref="F1031" si="82">F1032</f>
        <v>187</v>
      </c>
    </row>
    <row r="1032" spans="1:12" ht="31.5" x14ac:dyDescent="0.25">
      <c r="A1032" s="345" t="s">
        <v>123</v>
      </c>
      <c r="B1032" s="346" t="s">
        <v>203</v>
      </c>
      <c r="C1032" s="346" t="s">
        <v>139</v>
      </c>
      <c r="D1032" s="346" t="s">
        <v>756</v>
      </c>
      <c r="E1032" s="341" t="s">
        <v>124</v>
      </c>
      <c r="F1032" s="295">
        <f>F1033</f>
        <v>187</v>
      </c>
    </row>
    <row r="1033" spans="1:12" ht="47.25" x14ac:dyDescent="0.25">
      <c r="A1033" s="345" t="s">
        <v>125</v>
      </c>
      <c r="B1033" s="346" t="s">
        <v>203</v>
      </c>
      <c r="C1033" s="346" t="s">
        <v>139</v>
      </c>
      <c r="D1033" s="346" t="s">
        <v>756</v>
      </c>
      <c r="E1033" s="341" t="s">
        <v>126</v>
      </c>
      <c r="F1033" s="295">
        <f>'Пр.4 ведом.22'!G546</f>
        <v>187</v>
      </c>
    </row>
    <row r="1034" spans="1:12" s="128" customFormat="1" ht="47.25" hidden="1" x14ac:dyDescent="0.25">
      <c r="A1034" s="24" t="s">
        <v>860</v>
      </c>
      <c r="B1034" s="299" t="s">
        <v>203</v>
      </c>
      <c r="C1034" s="299" t="s">
        <v>139</v>
      </c>
      <c r="D1034" s="299" t="s">
        <v>206</v>
      </c>
      <c r="E1034" s="299"/>
      <c r="F1034" s="297">
        <f>F1036</f>
        <v>0</v>
      </c>
      <c r="G1034" s="344"/>
      <c r="H1034" s="344"/>
      <c r="I1034" s="344"/>
      <c r="J1034" s="344"/>
      <c r="K1034" s="344"/>
    </row>
    <row r="1035" spans="1:12" s="128" customFormat="1" ht="63" hidden="1" x14ac:dyDescent="0.25">
      <c r="A1035" s="24" t="s">
        <v>586</v>
      </c>
      <c r="B1035" s="299" t="s">
        <v>203</v>
      </c>
      <c r="C1035" s="299" t="s">
        <v>139</v>
      </c>
      <c r="D1035" s="299" t="s">
        <v>502</v>
      </c>
      <c r="E1035" s="299"/>
      <c r="F1035" s="297">
        <f>F1038</f>
        <v>0</v>
      </c>
      <c r="G1035" s="344"/>
      <c r="H1035" s="344"/>
      <c r="I1035" s="344"/>
      <c r="J1035" s="344"/>
      <c r="K1035" s="344"/>
    </row>
    <row r="1036" spans="1:12" s="128" customFormat="1" ht="47.25" hidden="1" x14ac:dyDescent="0.25">
      <c r="A1036" s="22" t="s">
        <v>632</v>
      </c>
      <c r="B1036" s="346" t="s">
        <v>203</v>
      </c>
      <c r="C1036" s="346" t="s">
        <v>139</v>
      </c>
      <c r="D1036" s="346" t="s">
        <v>587</v>
      </c>
      <c r="E1036" s="346"/>
      <c r="F1036" s="300">
        <f>F1037</f>
        <v>0</v>
      </c>
      <c r="G1036" s="344"/>
      <c r="H1036" s="344"/>
      <c r="I1036" s="344"/>
      <c r="J1036" s="344"/>
      <c r="K1036" s="344"/>
    </row>
    <row r="1037" spans="1:12" s="128" customFormat="1" ht="31.5" hidden="1" x14ac:dyDescent="0.25">
      <c r="A1037" s="345" t="s">
        <v>123</v>
      </c>
      <c r="B1037" s="346" t="s">
        <v>203</v>
      </c>
      <c r="C1037" s="346" t="s">
        <v>139</v>
      </c>
      <c r="D1037" s="346" t="s">
        <v>587</v>
      </c>
      <c r="E1037" s="346" t="s">
        <v>124</v>
      </c>
      <c r="F1037" s="300">
        <f>F1038</f>
        <v>0</v>
      </c>
      <c r="G1037" s="344"/>
      <c r="H1037" s="344"/>
      <c r="I1037" s="344"/>
      <c r="J1037" s="344"/>
      <c r="K1037" s="344"/>
    </row>
    <row r="1038" spans="1:12" s="128" customFormat="1" ht="47.25" hidden="1" x14ac:dyDescent="0.25">
      <c r="A1038" s="345" t="s">
        <v>125</v>
      </c>
      <c r="B1038" s="346" t="s">
        <v>203</v>
      </c>
      <c r="C1038" s="346" t="s">
        <v>139</v>
      </c>
      <c r="D1038" s="346" t="s">
        <v>587</v>
      </c>
      <c r="E1038" s="346" t="s">
        <v>126</v>
      </c>
      <c r="F1038" s="300">
        <f>'Пр.4 ведом.22'!G551</f>
        <v>0</v>
      </c>
      <c r="G1038" s="344"/>
      <c r="H1038" s="344"/>
      <c r="I1038" s="344"/>
      <c r="J1038" s="344"/>
      <c r="K1038" s="344"/>
    </row>
    <row r="1039" spans="1:12" s="128" customFormat="1" ht="15.75" x14ac:dyDescent="0.25">
      <c r="A1039" s="298" t="s">
        <v>173</v>
      </c>
      <c r="B1039" s="299" t="s">
        <v>174</v>
      </c>
      <c r="C1039" s="299"/>
      <c r="D1039" s="299"/>
      <c r="E1039" s="299"/>
      <c r="F1039" s="294">
        <f>F1040+F1046+F1080+F1075</f>
        <v>18145.82029</v>
      </c>
      <c r="G1039" s="344">
        <v>17213.900000000001</v>
      </c>
      <c r="H1039" s="71"/>
      <c r="I1039" s="344"/>
      <c r="J1039" s="344"/>
      <c r="K1039" s="149" t="e">
        <f>F1039-'Пр.4 ведом.22'!#REF!-'Пр.4 ведом.22'!#REF!-F1076-F1082</f>
        <v>#REF!</v>
      </c>
      <c r="L1039" s="151" t="e">
        <f>F1072+F1077+F1083-'Пр.4 ведом.22'!#REF!-'Пр.4 ведом.22'!#REF!</f>
        <v>#REF!</v>
      </c>
    </row>
    <row r="1040" spans="1:12" s="128" customFormat="1" ht="15.75" x14ac:dyDescent="0.25">
      <c r="A1040" s="298" t="s">
        <v>175</v>
      </c>
      <c r="B1040" s="299" t="s">
        <v>174</v>
      </c>
      <c r="C1040" s="299" t="s">
        <v>116</v>
      </c>
      <c r="D1040" s="299"/>
      <c r="E1040" s="299"/>
      <c r="F1040" s="294">
        <f>F1041</f>
        <v>12745.0224</v>
      </c>
      <c r="G1040" s="344"/>
      <c r="H1040" s="344"/>
      <c r="I1040" s="344"/>
      <c r="J1040" s="344"/>
      <c r="K1040" s="344"/>
    </row>
    <row r="1041" spans="1:11" s="128" customFormat="1" ht="15.75" x14ac:dyDescent="0.25">
      <c r="A1041" s="298" t="s">
        <v>133</v>
      </c>
      <c r="B1041" s="299" t="s">
        <v>174</v>
      </c>
      <c r="C1041" s="299" t="s">
        <v>116</v>
      </c>
      <c r="D1041" s="299" t="s">
        <v>440</v>
      </c>
      <c r="E1041" s="299"/>
      <c r="F1041" s="294">
        <f>F1042</f>
        <v>12745.0224</v>
      </c>
      <c r="G1041" s="344"/>
      <c r="H1041" s="344"/>
      <c r="I1041" s="344"/>
      <c r="J1041" s="344"/>
      <c r="K1041" s="344"/>
    </row>
    <row r="1042" spans="1:11" s="128" customFormat="1" ht="31.5" x14ac:dyDescent="0.25">
      <c r="A1042" s="298" t="s">
        <v>444</v>
      </c>
      <c r="B1042" s="299" t="s">
        <v>174</v>
      </c>
      <c r="C1042" s="299" t="s">
        <v>116</v>
      </c>
      <c r="D1042" s="299" t="s">
        <v>439</v>
      </c>
      <c r="E1042" s="299"/>
      <c r="F1042" s="294">
        <f>F1043</f>
        <v>12745.0224</v>
      </c>
      <c r="G1042" s="344"/>
      <c r="H1042" s="344"/>
      <c r="I1042" s="344"/>
      <c r="J1042" s="344"/>
      <c r="K1042" s="344"/>
    </row>
    <row r="1043" spans="1:11" s="128" customFormat="1" ht="15.75" x14ac:dyDescent="0.25">
      <c r="A1043" s="345" t="s">
        <v>176</v>
      </c>
      <c r="B1043" s="346" t="s">
        <v>174</v>
      </c>
      <c r="C1043" s="346" t="s">
        <v>116</v>
      </c>
      <c r="D1043" s="346" t="s">
        <v>454</v>
      </c>
      <c r="E1043" s="346"/>
      <c r="F1043" s="295">
        <f>F1044</f>
        <v>12745.0224</v>
      </c>
      <c r="G1043" s="344"/>
      <c r="H1043" s="344"/>
      <c r="I1043" s="344"/>
      <c r="J1043" s="344"/>
      <c r="K1043" s="344"/>
    </row>
    <row r="1044" spans="1:11" s="128" customFormat="1" ht="18" customHeight="1" x14ac:dyDescent="0.25">
      <c r="A1044" s="345" t="s">
        <v>177</v>
      </c>
      <c r="B1044" s="346" t="s">
        <v>174</v>
      </c>
      <c r="C1044" s="346" t="s">
        <v>116</v>
      </c>
      <c r="D1044" s="346" t="s">
        <v>454</v>
      </c>
      <c r="E1044" s="346" t="s">
        <v>178</v>
      </c>
      <c r="F1044" s="295">
        <f>F1045</f>
        <v>12745.0224</v>
      </c>
      <c r="G1044" s="344"/>
      <c r="H1044" s="344"/>
      <c r="I1044" s="344"/>
      <c r="J1044" s="344"/>
      <c r="K1044" s="344"/>
    </row>
    <row r="1045" spans="1:11" s="128" customFormat="1" ht="31.5" x14ac:dyDescent="0.25">
      <c r="A1045" s="345" t="s">
        <v>179</v>
      </c>
      <c r="B1045" s="346" t="s">
        <v>174</v>
      </c>
      <c r="C1045" s="346" t="s">
        <v>116</v>
      </c>
      <c r="D1045" s="346" t="s">
        <v>454</v>
      </c>
      <c r="E1045" s="346" t="s">
        <v>180</v>
      </c>
      <c r="F1045" s="295">
        <f>'Пр.4 ведом.22'!G252</f>
        <v>12745.0224</v>
      </c>
      <c r="G1045" s="344"/>
      <c r="H1045" s="344"/>
      <c r="I1045" s="344"/>
      <c r="J1045" s="344"/>
      <c r="K1045" s="344"/>
    </row>
    <row r="1046" spans="1:11" ht="15.75" x14ac:dyDescent="0.25">
      <c r="A1046" s="298" t="s">
        <v>181</v>
      </c>
      <c r="B1046" s="299" t="s">
        <v>174</v>
      </c>
      <c r="C1046" s="299" t="s">
        <v>159</v>
      </c>
      <c r="D1046" s="299"/>
      <c r="E1046" s="299"/>
      <c r="F1046" s="294">
        <f>F1047+F1070</f>
        <v>1369.2878900000001</v>
      </c>
    </row>
    <row r="1047" spans="1:11" ht="47.25" x14ac:dyDescent="0.25">
      <c r="A1047" s="298" t="s">
        <v>872</v>
      </c>
      <c r="B1047" s="299" t="s">
        <v>174</v>
      </c>
      <c r="C1047" s="299" t="s">
        <v>159</v>
      </c>
      <c r="D1047" s="299" t="s">
        <v>213</v>
      </c>
      <c r="E1047" s="299"/>
      <c r="F1047" s="294">
        <f>F1048+F1053</f>
        <v>1359.2878900000001</v>
      </c>
    </row>
    <row r="1048" spans="1:11" ht="31.5" hidden="1" x14ac:dyDescent="0.25">
      <c r="A1048" s="298" t="s">
        <v>218</v>
      </c>
      <c r="B1048" s="299" t="s">
        <v>174</v>
      </c>
      <c r="C1048" s="299" t="s">
        <v>159</v>
      </c>
      <c r="D1048" s="299" t="s">
        <v>219</v>
      </c>
      <c r="E1048" s="299"/>
      <c r="F1048" s="294">
        <f t="shared" ref="F1048" si="83">F1049</f>
        <v>-1.1041514924592377E-14</v>
      </c>
    </row>
    <row r="1049" spans="1:11" ht="30.2" hidden="1" customHeight="1" x14ac:dyDescent="0.25">
      <c r="A1049" s="298" t="s">
        <v>474</v>
      </c>
      <c r="B1049" s="299" t="s">
        <v>174</v>
      </c>
      <c r="C1049" s="299" t="s">
        <v>159</v>
      </c>
      <c r="D1049" s="299" t="s">
        <v>473</v>
      </c>
      <c r="E1049" s="299"/>
      <c r="F1049" s="294">
        <f>F1050</f>
        <v>-1.1041514924592377E-14</v>
      </c>
    </row>
    <row r="1050" spans="1:11" ht="31.5" hidden="1" x14ac:dyDescent="0.25">
      <c r="A1050" s="345" t="s">
        <v>399</v>
      </c>
      <c r="B1050" s="346" t="s">
        <v>174</v>
      </c>
      <c r="C1050" s="346" t="s">
        <v>159</v>
      </c>
      <c r="D1050" s="346" t="s">
        <v>475</v>
      </c>
      <c r="E1050" s="346"/>
      <c r="F1050" s="295">
        <f>F1051</f>
        <v>-1.1041514924592377E-14</v>
      </c>
    </row>
    <row r="1051" spans="1:11" ht="19.5" hidden="1" customHeight="1" x14ac:dyDescent="0.25">
      <c r="A1051" s="345" t="s">
        <v>177</v>
      </c>
      <c r="B1051" s="346" t="s">
        <v>174</v>
      </c>
      <c r="C1051" s="346" t="s">
        <v>159</v>
      </c>
      <c r="D1051" s="346" t="s">
        <v>475</v>
      </c>
      <c r="E1051" s="346" t="s">
        <v>178</v>
      </c>
      <c r="F1051" s="295">
        <f t="shared" ref="F1051" si="84">F1052</f>
        <v>-1.1041514924592377E-14</v>
      </c>
    </row>
    <row r="1052" spans="1:11" ht="31.5" hidden="1" x14ac:dyDescent="0.25">
      <c r="A1052" s="345" t="s">
        <v>179</v>
      </c>
      <c r="B1052" s="346" t="s">
        <v>174</v>
      </c>
      <c r="C1052" s="346" t="s">
        <v>159</v>
      </c>
      <c r="D1052" s="346" t="s">
        <v>475</v>
      </c>
      <c r="E1052" s="346" t="s">
        <v>180</v>
      </c>
      <c r="F1052" s="295">
        <f>'Пр.4 ведом.22'!G559</f>
        <v>-1.1041514924592377E-14</v>
      </c>
    </row>
    <row r="1053" spans="1:11" ht="37.5" customHeight="1" x14ac:dyDescent="0.25">
      <c r="A1053" s="298" t="s">
        <v>220</v>
      </c>
      <c r="B1053" s="296">
        <v>10</v>
      </c>
      <c r="C1053" s="299" t="s">
        <v>159</v>
      </c>
      <c r="D1053" s="299" t="s">
        <v>223</v>
      </c>
      <c r="E1053" s="299"/>
      <c r="F1053" s="294">
        <f>F1054+F1060+F1066</f>
        <v>1359.2878900000001</v>
      </c>
    </row>
    <row r="1054" spans="1:11" ht="31.5" x14ac:dyDescent="0.25">
      <c r="A1054" s="298" t="s">
        <v>598</v>
      </c>
      <c r="B1054" s="299" t="s">
        <v>174</v>
      </c>
      <c r="C1054" s="299" t="s">
        <v>159</v>
      </c>
      <c r="D1054" s="299" t="s">
        <v>482</v>
      </c>
      <c r="E1054" s="299"/>
      <c r="F1054" s="297">
        <f>F1055</f>
        <v>774.98788999999999</v>
      </c>
    </row>
    <row r="1055" spans="1:11" ht="47.25" x14ac:dyDescent="0.25">
      <c r="A1055" s="67" t="s">
        <v>599</v>
      </c>
      <c r="B1055" s="346" t="s">
        <v>174</v>
      </c>
      <c r="C1055" s="346" t="s">
        <v>159</v>
      </c>
      <c r="D1055" s="346" t="s">
        <v>758</v>
      </c>
      <c r="E1055" s="346"/>
      <c r="F1055" s="300">
        <f>F1058+F1056</f>
        <v>774.98788999999999</v>
      </c>
    </row>
    <row r="1056" spans="1:11" s="128" customFormat="1" ht="31.5" x14ac:dyDescent="0.25">
      <c r="A1056" s="345" t="s">
        <v>123</v>
      </c>
      <c r="B1056" s="346" t="s">
        <v>174</v>
      </c>
      <c r="C1056" s="346" t="s">
        <v>159</v>
      </c>
      <c r="D1056" s="346" t="s">
        <v>758</v>
      </c>
      <c r="E1056" s="346" t="s">
        <v>124</v>
      </c>
      <c r="F1056" s="300">
        <f>F1057</f>
        <v>125.18789000000001</v>
      </c>
      <c r="G1056" s="344"/>
      <c r="H1056" s="344"/>
      <c r="I1056" s="344"/>
      <c r="J1056" s="344"/>
      <c r="K1056" s="344"/>
    </row>
    <row r="1057" spans="1:11" s="128" customFormat="1" ht="47.25" x14ac:dyDescent="0.25">
      <c r="A1057" s="345" t="s">
        <v>125</v>
      </c>
      <c r="B1057" s="346" t="s">
        <v>174</v>
      </c>
      <c r="C1057" s="346" t="s">
        <v>159</v>
      </c>
      <c r="D1057" s="346" t="s">
        <v>758</v>
      </c>
      <c r="E1057" s="346" t="s">
        <v>126</v>
      </c>
      <c r="F1057" s="300">
        <f>'Пр.4 ведом.22'!G564</f>
        <v>125.18789000000001</v>
      </c>
      <c r="G1057" s="344"/>
      <c r="H1057" s="344"/>
      <c r="I1057" s="344"/>
      <c r="J1057" s="344"/>
      <c r="K1057" s="344"/>
    </row>
    <row r="1058" spans="1:11" ht="18.75" customHeight="1" x14ac:dyDescent="0.25">
      <c r="A1058" s="345" t="s">
        <v>177</v>
      </c>
      <c r="B1058" s="346" t="s">
        <v>174</v>
      </c>
      <c r="C1058" s="346" t="s">
        <v>159</v>
      </c>
      <c r="D1058" s="346" t="s">
        <v>758</v>
      </c>
      <c r="E1058" s="346" t="s">
        <v>178</v>
      </c>
      <c r="F1058" s="300">
        <f>F1059</f>
        <v>649.79999999999995</v>
      </c>
    </row>
    <row r="1059" spans="1:11" ht="31.7" customHeight="1" x14ac:dyDescent="0.25">
      <c r="A1059" s="345" t="s">
        <v>216</v>
      </c>
      <c r="B1059" s="346" t="s">
        <v>174</v>
      </c>
      <c r="C1059" s="346" t="s">
        <v>159</v>
      </c>
      <c r="D1059" s="346" t="s">
        <v>758</v>
      </c>
      <c r="E1059" s="346" t="s">
        <v>217</v>
      </c>
      <c r="F1059" s="300">
        <f>'Пр.4 ведом.22'!G566</f>
        <v>649.79999999999995</v>
      </c>
    </row>
    <row r="1060" spans="1:11" ht="31.5" x14ac:dyDescent="0.25">
      <c r="A1060" s="298" t="s">
        <v>762</v>
      </c>
      <c r="B1060" s="296">
        <v>10</v>
      </c>
      <c r="C1060" s="299" t="s">
        <v>159</v>
      </c>
      <c r="D1060" s="299" t="s">
        <v>760</v>
      </c>
      <c r="E1060" s="299"/>
      <c r="F1060" s="297">
        <f>F1061</f>
        <v>192.1</v>
      </c>
    </row>
    <row r="1061" spans="1:11" ht="35.450000000000003" customHeight="1" x14ac:dyDescent="0.25">
      <c r="A1061" s="345" t="s">
        <v>759</v>
      </c>
      <c r="B1061" s="346" t="s">
        <v>174</v>
      </c>
      <c r="C1061" s="346" t="s">
        <v>159</v>
      </c>
      <c r="D1061" s="346" t="s">
        <v>761</v>
      </c>
      <c r="E1061" s="346"/>
      <c r="F1061" s="300">
        <f>F1063+F1065</f>
        <v>192.1</v>
      </c>
    </row>
    <row r="1062" spans="1:11" ht="36" hidden="1" customHeight="1" x14ac:dyDescent="0.25">
      <c r="A1062" s="345" t="s">
        <v>123</v>
      </c>
      <c r="B1062" s="346" t="s">
        <v>174</v>
      </c>
      <c r="C1062" s="346" t="s">
        <v>159</v>
      </c>
      <c r="D1062" s="346" t="s">
        <v>761</v>
      </c>
      <c r="E1062" s="346" t="s">
        <v>124</v>
      </c>
      <c r="F1062" s="300">
        <f>F1063</f>
        <v>0</v>
      </c>
    </row>
    <row r="1063" spans="1:11" ht="39.75" hidden="1" customHeight="1" x14ac:dyDescent="0.25">
      <c r="A1063" s="345" t="s">
        <v>125</v>
      </c>
      <c r="B1063" s="346" t="s">
        <v>174</v>
      </c>
      <c r="C1063" s="346" t="s">
        <v>159</v>
      </c>
      <c r="D1063" s="346" t="s">
        <v>761</v>
      </c>
      <c r="E1063" s="346" t="s">
        <v>126</v>
      </c>
      <c r="F1063" s="300">
        <f>'Пр.4 ведом.22'!G570</f>
        <v>0</v>
      </c>
    </row>
    <row r="1064" spans="1:11" ht="19.5" customHeight="1" x14ac:dyDescent="0.25">
      <c r="A1064" s="345" t="s">
        <v>177</v>
      </c>
      <c r="B1064" s="346" t="s">
        <v>174</v>
      </c>
      <c r="C1064" s="346" t="s">
        <v>159</v>
      </c>
      <c r="D1064" s="346" t="s">
        <v>761</v>
      </c>
      <c r="E1064" s="346" t="s">
        <v>178</v>
      </c>
      <c r="F1064" s="300">
        <f>F1065</f>
        <v>192.1</v>
      </c>
    </row>
    <row r="1065" spans="1:11" ht="31.5" x14ac:dyDescent="0.25">
      <c r="A1065" s="345" t="s">
        <v>216</v>
      </c>
      <c r="B1065" s="346" t="s">
        <v>174</v>
      </c>
      <c r="C1065" s="346" t="s">
        <v>159</v>
      </c>
      <c r="D1065" s="346" t="s">
        <v>761</v>
      </c>
      <c r="E1065" s="346" t="s">
        <v>217</v>
      </c>
      <c r="F1065" s="300">
        <f>'Пр.4 ведом.22'!G572</f>
        <v>192.1</v>
      </c>
    </row>
    <row r="1066" spans="1:11" ht="31.5" x14ac:dyDescent="0.25">
      <c r="A1066" s="298" t="s">
        <v>558</v>
      </c>
      <c r="B1066" s="296">
        <v>10</v>
      </c>
      <c r="C1066" s="299" t="s">
        <v>159</v>
      </c>
      <c r="D1066" s="299" t="s">
        <v>755</v>
      </c>
      <c r="E1066" s="299"/>
      <c r="F1066" s="297">
        <f>F1067</f>
        <v>392.2</v>
      </c>
    </row>
    <row r="1067" spans="1:11" ht="15.75" x14ac:dyDescent="0.25">
      <c r="A1067" s="345" t="s">
        <v>596</v>
      </c>
      <c r="B1067" s="346" t="s">
        <v>174</v>
      </c>
      <c r="C1067" s="346" t="s">
        <v>159</v>
      </c>
      <c r="D1067" s="346" t="s">
        <v>757</v>
      </c>
      <c r="E1067" s="346"/>
      <c r="F1067" s="300">
        <f>F1068</f>
        <v>392.2</v>
      </c>
    </row>
    <row r="1068" spans="1:11" s="128" customFormat="1" ht="21.75" customHeight="1" x14ac:dyDescent="0.25">
      <c r="A1068" s="345" t="s">
        <v>177</v>
      </c>
      <c r="B1068" s="346" t="s">
        <v>174</v>
      </c>
      <c r="C1068" s="346" t="s">
        <v>159</v>
      </c>
      <c r="D1068" s="346" t="s">
        <v>757</v>
      </c>
      <c r="E1068" s="346" t="s">
        <v>178</v>
      </c>
      <c r="F1068" s="300">
        <f>F1069</f>
        <v>392.2</v>
      </c>
      <c r="G1068" s="344"/>
      <c r="H1068" s="344"/>
      <c r="I1068" s="344"/>
      <c r="J1068" s="344"/>
      <c r="K1068" s="344"/>
    </row>
    <row r="1069" spans="1:11" s="128" customFormat="1" ht="31.5" x14ac:dyDescent="0.25">
      <c r="A1069" s="345" t="s">
        <v>216</v>
      </c>
      <c r="B1069" s="346" t="s">
        <v>174</v>
      </c>
      <c r="C1069" s="346" t="s">
        <v>159</v>
      </c>
      <c r="D1069" s="346" t="s">
        <v>757</v>
      </c>
      <c r="E1069" s="346" t="s">
        <v>217</v>
      </c>
      <c r="F1069" s="300">
        <f>'Пр.4 ведом.22'!G576</f>
        <v>392.2</v>
      </c>
      <c r="G1069" s="344"/>
      <c r="H1069" s="344"/>
      <c r="I1069" s="344"/>
      <c r="J1069" s="344"/>
      <c r="K1069" s="344"/>
    </row>
    <row r="1070" spans="1:11" ht="69" customHeight="1" x14ac:dyDescent="0.25">
      <c r="A1070" s="298" t="s">
        <v>850</v>
      </c>
      <c r="B1070" s="299" t="s">
        <v>174</v>
      </c>
      <c r="C1070" s="299" t="s">
        <v>159</v>
      </c>
      <c r="D1070" s="299" t="s">
        <v>182</v>
      </c>
      <c r="E1070" s="299"/>
      <c r="F1070" s="294">
        <f t="shared" ref="F1070:F1072" si="85">F1071</f>
        <v>10</v>
      </c>
    </row>
    <row r="1071" spans="1:11" ht="47.25" x14ac:dyDescent="0.25">
      <c r="A1071" s="298" t="s">
        <v>457</v>
      </c>
      <c r="B1071" s="299" t="s">
        <v>174</v>
      </c>
      <c r="C1071" s="299" t="s">
        <v>159</v>
      </c>
      <c r="D1071" s="299" t="s">
        <v>455</v>
      </c>
      <c r="E1071" s="299"/>
      <c r="F1071" s="294">
        <f>F1072</f>
        <v>10</v>
      </c>
    </row>
    <row r="1072" spans="1:11" ht="31.5" x14ac:dyDescent="0.25">
      <c r="A1072" s="345" t="s">
        <v>456</v>
      </c>
      <c r="B1072" s="346" t="s">
        <v>174</v>
      </c>
      <c r="C1072" s="346" t="s">
        <v>159</v>
      </c>
      <c r="D1072" s="346" t="s">
        <v>726</v>
      </c>
      <c r="E1072" s="346"/>
      <c r="F1072" s="295">
        <f t="shared" si="85"/>
        <v>10</v>
      </c>
    </row>
    <row r="1073" spans="1:11" ht="19.5" customHeight="1" x14ac:dyDescent="0.25">
      <c r="A1073" s="345" t="s">
        <v>177</v>
      </c>
      <c r="B1073" s="346" t="s">
        <v>174</v>
      </c>
      <c r="C1073" s="346" t="s">
        <v>159</v>
      </c>
      <c r="D1073" s="346" t="s">
        <v>726</v>
      </c>
      <c r="E1073" s="346" t="s">
        <v>178</v>
      </c>
      <c r="F1073" s="295">
        <v>10</v>
      </c>
    </row>
    <row r="1074" spans="1:11" ht="31.5" x14ac:dyDescent="0.25">
      <c r="A1074" s="345" t="s">
        <v>179</v>
      </c>
      <c r="B1074" s="346" t="s">
        <v>174</v>
      </c>
      <c r="C1074" s="346" t="s">
        <v>159</v>
      </c>
      <c r="D1074" s="346" t="s">
        <v>726</v>
      </c>
      <c r="E1074" s="346" t="s">
        <v>180</v>
      </c>
      <c r="F1074" s="295">
        <f>'Пр.4 ведом.22'!G258</f>
        <v>10</v>
      </c>
    </row>
    <row r="1075" spans="1:11" s="128" customFormat="1" ht="15.75" x14ac:dyDescent="0.25">
      <c r="A1075" s="298" t="s">
        <v>234</v>
      </c>
      <c r="B1075" s="299" t="s">
        <v>174</v>
      </c>
      <c r="C1075" s="299" t="s">
        <v>139</v>
      </c>
      <c r="D1075" s="299"/>
      <c r="E1075" s="299"/>
      <c r="F1075" s="294">
        <f>F1076</f>
        <v>16.600000000000001</v>
      </c>
      <c r="G1075" s="344"/>
      <c r="H1075" s="344"/>
      <c r="I1075" s="344"/>
      <c r="J1075" s="344"/>
      <c r="K1075" s="344"/>
    </row>
    <row r="1076" spans="1:11" s="128" customFormat="1" ht="31.5" x14ac:dyDescent="0.25">
      <c r="A1076" s="298" t="s">
        <v>458</v>
      </c>
      <c r="B1076" s="299" t="s">
        <v>174</v>
      </c>
      <c r="C1076" s="299" t="s">
        <v>139</v>
      </c>
      <c r="D1076" s="299" t="s">
        <v>437</v>
      </c>
      <c r="E1076" s="346"/>
      <c r="F1076" s="297">
        <f>F1077</f>
        <v>16.600000000000001</v>
      </c>
      <c r="G1076" s="344"/>
      <c r="H1076" s="344"/>
      <c r="I1076" s="344"/>
      <c r="J1076" s="344"/>
      <c r="K1076" s="344"/>
    </row>
    <row r="1077" spans="1:11" s="128" customFormat="1" ht="47.25" x14ac:dyDescent="0.25">
      <c r="A1077" s="345" t="s">
        <v>719</v>
      </c>
      <c r="B1077" s="346" t="s">
        <v>174</v>
      </c>
      <c r="C1077" s="346" t="s">
        <v>139</v>
      </c>
      <c r="D1077" s="346" t="s">
        <v>718</v>
      </c>
      <c r="E1077" s="346"/>
      <c r="F1077" s="300">
        <f>F1078</f>
        <v>16.600000000000001</v>
      </c>
      <c r="G1077" s="344"/>
      <c r="H1077" s="344"/>
      <c r="I1077" s="344"/>
      <c r="J1077" s="344"/>
      <c r="K1077" s="344"/>
    </row>
    <row r="1078" spans="1:11" s="128" customFormat="1" ht="31.5" x14ac:dyDescent="0.25">
      <c r="A1078" s="345" t="s">
        <v>123</v>
      </c>
      <c r="B1078" s="346" t="s">
        <v>174</v>
      </c>
      <c r="C1078" s="346" t="s">
        <v>139</v>
      </c>
      <c r="D1078" s="346" t="s">
        <v>718</v>
      </c>
      <c r="E1078" s="346" t="s">
        <v>124</v>
      </c>
      <c r="F1078" s="300">
        <f>F1079</f>
        <v>16.600000000000001</v>
      </c>
      <c r="G1078" s="344"/>
      <c r="H1078" s="344"/>
      <c r="I1078" s="344"/>
      <c r="J1078" s="344"/>
      <c r="K1078" s="344"/>
    </row>
    <row r="1079" spans="1:11" s="128" customFormat="1" ht="47.25" x14ac:dyDescent="0.25">
      <c r="A1079" s="345" t="s">
        <v>125</v>
      </c>
      <c r="B1079" s="346" t="s">
        <v>174</v>
      </c>
      <c r="C1079" s="346" t="s">
        <v>139</v>
      </c>
      <c r="D1079" s="346" t="s">
        <v>718</v>
      </c>
      <c r="E1079" s="346" t="s">
        <v>126</v>
      </c>
      <c r="F1079" s="300">
        <f>'Пр.4 ведом.22'!G1333</f>
        <v>16.600000000000001</v>
      </c>
      <c r="G1079" s="344"/>
      <c r="H1079" s="344"/>
      <c r="I1079" s="344"/>
      <c r="J1079" s="344"/>
      <c r="K1079" s="344"/>
    </row>
    <row r="1080" spans="1:11" s="128" customFormat="1" ht="15.75" x14ac:dyDescent="0.25">
      <c r="A1080" s="298" t="s">
        <v>183</v>
      </c>
      <c r="B1080" s="299" t="s">
        <v>174</v>
      </c>
      <c r="C1080" s="299" t="s">
        <v>118</v>
      </c>
      <c r="D1080" s="299"/>
      <c r="E1080" s="299"/>
      <c r="F1080" s="294">
        <f>F1081+F1088+F1093</f>
        <v>4014.9100000000003</v>
      </c>
      <c r="G1080" s="344"/>
      <c r="H1080" s="344"/>
      <c r="I1080" s="344"/>
      <c r="J1080" s="344"/>
      <c r="K1080" s="344"/>
    </row>
    <row r="1081" spans="1:11" s="128" customFormat="1" ht="31.5" x14ac:dyDescent="0.25">
      <c r="A1081" s="298" t="s">
        <v>486</v>
      </c>
      <c r="B1081" s="299" t="s">
        <v>174</v>
      </c>
      <c r="C1081" s="299" t="s">
        <v>118</v>
      </c>
      <c r="D1081" s="299" t="s">
        <v>432</v>
      </c>
      <c r="E1081" s="299"/>
      <c r="F1081" s="294">
        <f>F1082</f>
        <v>3551.5</v>
      </c>
      <c r="G1081" s="344"/>
      <c r="H1081" s="344"/>
      <c r="I1081" s="344"/>
      <c r="J1081" s="344"/>
      <c r="K1081" s="344"/>
    </row>
    <row r="1082" spans="1:11" ht="31.5" x14ac:dyDescent="0.25">
      <c r="A1082" s="298" t="s">
        <v>458</v>
      </c>
      <c r="B1082" s="299" t="s">
        <v>174</v>
      </c>
      <c r="C1082" s="299" t="s">
        <v>118</v>
      </c>
      <c r="D1082" s="299" t="s">
        <v>437</v>
      </c>
      <c r="E1082" s="299"/>
      <c r="F1082" s="294">
        <f>F1083</f>
        <v>3551.5</v>
      </c>
    </row>
    <row r="1083" spans="1:11" ht="43.5" customHeight="1" x14ac:dyDescent="0.25">
      <c r="A1083" s="22" t="s">
        <v>184</v>
      </c>
      <c r="B1083" s="346" t="s">
        <v>174</v>
      </c>
      <c r="C1083" s="346" t="s">
        <v>118</v>
      </c>
      <c r="D1083" s="346" t="s">
        <v>494</v>
      </c>
      <c r="E1083" s="346"/>
      <c r="F1083" s="295">
        <f>F1084+F1086</f>
        <v>3551.5</v>
      </c>
    </row>
    <row r="1084" spans="1:11" ht="78.75" x14ac:dyDescent="0.25">
      <c r="A1084" s="345" t="s">
        <v>119</v>
      </c>
      <c r="B1084" s="346" t="s">
        <v>174</v>
      </c>
      <c r="C1084" s="346" t="s">
        <v>118</v>
      </c>
      <c r="D1084" s="346" t="s">
        <v>494</v>
      </c>
      <c r="E1084" s="346" t="s">
        <v>120</v>
      </c>
      <c r="F1084" s="295">
        <f t="shared" ref="F1084" si="86">F1085</f>
        <v>3426.1</v>
      </c>
    </row>
    <row r="1085" spans="1:11" ht="31.5" x14ac:dyDescent="0.25">
      <c r="A1085" s="345" t="s">
        <v>121</v>
      </c>
      <c r="B1085" s="346" t="s">
        <v>174</v>
      </c>
      <c r="C1085" s="346" t="s">
        <v>118</v>
      </c>
      <c r="D1085" s="346" t="s">
        <v>494</v>
      </c>
      <c r="E1085" s="346" t="s">
        <v>122</v>
      </c>
      <c r="F1085" s="295">
        <f>'Пр.4 ведом.22'!G264</f>
        <v>3426.1</v>
      </c>
    </row>
    <row r="1086" spans="1:11" ht="32.25" customHeight="1" x14ac:dyDescent="0.25">
      <c r="A1086" s="345" t="s">
        <v>123</v>
      </c>
      <c r="B1086" s="346" t="s">
        <v>174</v>
      </c>
      <c r="C1086" s="346" t="s">
        <v>118</v>
      </c>
      <c r="D1086" s="346" t="s">
        <v>494</v>
      </c>
      <c r="E1086" s="346" t="s">
        <v>124</v>
      </c>
      <c r="F1086" s="295">
        <f t="shared" ref="F1086" si="87">F1087</f>
        <v>125.4</v>
      </c>
    </row>
    <row r="1087" spans="1:11" ht="31.7" customHeight="1" x14ac:dyDescent="0.25">
      <c r="A1087" s="345" t="s">
        <v>125</v>
      </c>
      <c r="B1087" s="346" t="s">
        <v>174</v>
      </c>
      <c r="C1087" s="346" t="s">
        <v>118</v>
      </c>
      <c r="D1087" s="346" t="s">
        <v>494</v>
      </c>
      <c r="E1087" s="346" t="s">
        <v>126</v>
      </c>
      <c r="F1087" s="295">
        <f>'Пр.4 ведом.22'!G266</f>
        <v>125.4</v>
      </c>
    </row>
    <row r="1088" spans="1:11" s="128" customFormat="1" ht="15" customHeight="1" x14ac:dyDescent="0.25">
      <c r="A1088" s="298" t="s">
        <v>133</v>
      </c>
      <c r="B1088" s="299" t="s">
        <v>174</v>
      </c>
      <c r="C1088" s="299" t="s">
        <v>118</v>
      </c>
      <c r="D1088" s="299" t="s">
        <v>440</v>
      </c>
      <c r="E1088" s="299"/>
      <c r="F1088" s="294">
        <f>F1089</f>
        <v>7.5100000000000016</v>
      </c>
      <c r="G1088" s="344"/>
      <c r="H1088" s="344"/>
      <c r="I1088" s="344"/>
      <c r="J1088" s="344"/>
      <c r="K1088" s="344"/>
    </row>
    <row r="1089" spans="1:12" ht="37.5" customHeight="1" x14ac:dyDescent="0.25">
      <c r="A1089" s="298" t="s">
        <v>444</v>
      </c>
      <c r="B1089" s="299" t="s">
        <v>174</v>
      </c>
      <c r="C1089" s="299" t="s">
        <v>118</v>
      </c>
      <c r="D1089" s="299" t="s">
        <v>439</v>
      </c>
      <c r="E1089" s="299"/>
      <c r="F1089" s="294">
        <f>F1090</f>
        <v>7.5100000000000016</v>
      </c>
    </row>
    <row r="1090" spans="1:12" ht="15.75" customHeight="1" x14ac:dyDescent="0.25">
      <c r="A1090" s="345" t="s">
        <v>283</v>
      </c>
      <c r="B1090" s="346" t="s">
        <v>174</v>
      </c>
      <c r="C1090" s="346" t="s">
        <v>118</v>
      </c>
      <c r="D1090" s="346" t="s">
        <v>548</v>
      </c>
      <c r="E1090" s="346"/>
      <c r="F1090" s="295">
        <f>F1091</f>
        <v>7.5100000000000016</v>
      </c>
    </row>
    <row r="1091" spans="1:12" ht="31.7" customHeight="1" x14ac:dyDescent="0.25">
      <c r="A1091" s="345" t="s">
        <v>123</v>
      </c>
      <c r="B1091" s="346" t="s">
        <v>174</v>
      </c>
      <c r="C1091" s="346" t="s">
        <v>118</v>
      </c>
      <c r="D1091" s="346" t="s">
        <v>548</v>
      </c>
      <c r="E1091" s="346" t="s">
        <v>124</v>
      </c>
      <c r="F1091" s="295">
        <f>F1092</f>
        <v>7.5100000000000016</v>
      </c>
    </row>
    <row r="1092" spans="1:12" ht="35.450000000000003" customHeight="1" x14ac:dyDescent="0.25">
      <c r="A1092" s="345" t="s">
        <v>125</v>
      </c>
      <c r="B1092" s="346" t="s">
        <v>174</v>
      </c>
      <c r="C1092" s="346" t="s">
        <v>118</v>
      </c>
      <c r="D1092" s="346" t="s">
        <v>548</v>
      </c>
      <c r="E1092" s="346" t="s">
        <v>126</v>
      </c>
      <c r="F1092" s="295">
        <f>'Пр.4 ведом.22'!G1340</f>
        <v>7.5100000000000016</v>
      </c>
    </row>
    <row r="1093" spans="1:12" s="343" customFormat="1" ht="47.25" x14ac:dyDescent="0.25">
      <c r="A1093" s="340" t="s">
        <v>845</v>
      </c>
      <c r="B1093" s="299" t="s">
        <v>174</v>
      </c>
      <c r="C1093" s="299" t="s">
        <v>118</v>
      </c>
      <c r="D1093" s="299" t="s">
        <v>339</v>
      </c>
      <c r="E1093" s="346"/>
      <c r="F1093" s="294">
        <f>F1094</f>
        <v>455.90000000000003</v>
      </c>
      <c r="G1093" s="344"/>
      <c r="H1093" s="344"/>
      <c r="I1093" s="344"/>
      <c r="J1093" s="344"/>
      <c r="K1093" s="344"/>
    </row>
    <row r="1094" spans="1:12" s="343" customFormat="1" ht="31.5" x14ac:dyDescent="0.25">
      <c r="A1094" s="303" t="s">
        <v>1027</v>
      </c>
      <c r="B1094" s="299" t="s">
        <v>174</v>
      </c>
      <c r="C1094" s="299" t="s">
        <v>118</v>
      </c>
      <c r="D1094" s="299" t="s">
        <v>1028</v>
      </c>
      <c r="E1094" s="304"/>
      <c r="F1094" s="294">
        <f>F1098</f>
        <v>455.90000000000003</v>
      </c>
      <c r="G1094" s="344"/>
      <c r="H1094" s="344"/>
      <c r="I1094" s="344"/>
      <c r="J1094" s="344"/>
      <c r="K1094" s="344"/>
    </row>
    <row r="1095" spans="1:12" s="343" customFormat="1" ht="15.75" hidden="1" x14ac:dyDescent="0.25">
      <c r="A1095" s="345" t="s">
        <v>165</v>
      </c>
      <c r="B1095" s="346" t="s">
        <v>174</v>
      </c>
      <c r="C1095" s="346" t="s">
        <v>118</v>
      </c>
      <c r="D1095" s="346" t="s">
        <v>1029</v>
      </c>
      <c r="E1095" s="301"/>
      <c r="F1095" s="295"/>
      <c r="G1095" s="344"/>
      <c r="H1095" s="344"/>
      <c r="I1095" s="344"/>
      <c r="J1095" s="344"/>
      <c r="K1095" s="344"/>
    </row>
    <row r="1096" spans="1:12" s="343" customFormat="1" ht="31.5" hidden="1" x14ac:dyDescent="0.25">
      <c r="A1096" s="345" t="s">
        <v>123</v>
      </c>
      <c r="B1096" s="346" t="s">
        <v>174</v>
      </c>
      <c r="C1096" s="346" t="s">
        <v>118</v>
      </c>
      <c r="D1096" s="346" t="s">
        <v>1029</v>
      </c>
      <c r="E1096" s="301" t="s">
        <v>124</v>
      </c>
      <c r="F1096" s="295"/>
      <c r="G1096" s="344"/>
      <c r="H1096" s="344"/>
      <c r="I1096" s="344"/>
      <c r="J1096" s="344"/>
      <c r="K1096" s="344"/>
    </row>
    <row r="1097" spans="1:12" s="343" customFormat="1" ht="47.25" hidden="1" x14ac:dyDescent="0.25">
      <c r="A1097" s="345" t="s">
        <v>125</v>
      </c>
      <c r="B1097" s="346" t="s">
        <v>174</v>
      </c>
      <c r="C1097" s="346" t="s">
        <v>118</v>
      </c>
      <c r="D1097" s="346" t="s">
        <v>1029</v>
      </c>
      <c r="E1097" s="301" t="s">
        <v>126</v>
      </c>
      <c r="F1097" s="295"/>
      <c r="G1097" s="344"/>
      <c r="H1097" s="344"/>
      <c r="I1097" s="344"/>
      <c r="J1097" s="344"/>
      <c r="K1097" s="344"/>
    </row>
    <row r="1098" spans="1:12" s="343" customFormat="1" ht="47.25" x14ac:dyDescent="0.25">
      <c r="A1098" s="345" t="s">
        <v>1338</v>
      </c>
      <c r="B1098" s="346" t="s">
        <v>174</v>
      </c>
      <c r="C1098" s="346" t="s">
        <v>118</v>
      </c>
      <c r="D1098" s="346" t="s">
        <v>1063</v>
      </c>
      <c r="E1098" s="301"/>
      <c r="F1098" s="295">
        <f>F1099</f>
        <v>455.90000000000003</v>
      </c>
      <c r="G1098" s="344"/>
      <c r="H1098" s="344"/>
      <c r="I1098" s="344"/>
      <c r="J1098" s="344"/>
      <c r="K1098" s="344"/>
    </row>
    <row r="1099" spans="1:12" s="343" customFormat="1" ht="31.5" x14ac:dyDescent="0.25">
      <c r="A1099" s="345" t="s">
        <v>177</v>
      </c>
      <c r="B1099" s="346" t="s">
        <v>174</v>
      </c>
      <c r="C1099" s="346" t="s">
        <v>118</v>
      </c>
      <c r="D1099" s="346" t="s">
        <v>1063</v>
      </c>
      <c r="E1099" s="301" t="s">
        <v>178</v>
      </c>
      <c r="F1099" s="295">
        <f>F1100</f>
        <v>455.90000000000003</v>
      </c>
      <c r="G1099" s="344"/>
      <c r="H1099" s="344"/>
      <c r="I1099" s="344"/>
      <c r="J1099" s="344"/>
      <c r="K1099" s="344"/>
    </row>
    <row r="1100" spans="1:12" s="343" customFormat="1" ht="31.5" x14ac:dyDescent="0.25">
      <c r="A1100" s="345" t="s">
        <v>179</v>
      </c>
      <c r="B1100" s="346" t="s">
        <v>174</v>
      </c>
      <c r="C1100" s="346" t="s">
        <v>118</v>
      </c>
      <c r="D1100" s="346" t="s">
        <v>1063</v>
      </c>
      <c r="E1100" s="301" t="s">
        <v>180</v>
      </c>
      <c r="F1100" s="295">
        <f>'Пр.4 ведом.22'!G274</f>
        <v>455.90000000000003</v>
      </c>
      <c r="G1100" s="344"/>
      <c r="H1100" s="344"/>
      <c r="I1100" s="344"/>
      <c r="J1100" s="344"/>
      <c r="K1100" s="344"/>
    </row>
    <row r="1101" spans="1:12" ht="15.75" x14ac:dyDescent="0.25">
      <c r="A1101" s="340" t="s">
        <v>250</v>
      </c>
      <c r="B1101" s="6" t="s">
        <v>251</v>
      </c>
      <c r="C1101" s="341"/>
      <c r="D1101" s="341"/>
      <c r="E1101" s="341"/>
      <c r="F1101" s="294">
        <f>F1102+F1153</f>
        <v>82692.24500000001</v>
      </c>
      <c r="G1101" s="344">
        <v>64422.1</v>
      </c>
      <c r="H1101" s="71">
        <f>G1101-F1101</f>
        <v>-18270.145000000011</v>
      </c>
      <c r="K1101" s="149" t="e">
        <f>F1101-F1128-'Пр.4 ведом.22'!#REF!</f>
        <v>#REF!</v>
      </c>
      <c r="L1101" s="151" t="e">
        <f>F1128+F1145-'Пр.4 ведом.22'!#REF!</f>
        <v>#REF!</v>
      </c>
    </row>
    <row r="1102" spans="1:12" ht="15.75" x14ac:dyDescent="0.25">
      <c r="A1102" s="298" t="s">
        <v>252</v>
      </c>
      <c r="B1102" s="299" t="s">
        <v>251</v>
      </c>
      <c r="C1102" s="299" t="s">
        <v>116</v>
      </c>
      <c r="D1102" s="346"/>
      <c r="E1102" s="346"/>
      <c r="F1102" s="294">
        <f>F1103+F1148</f>
        <v>64240.086360000008</v>
      </c>
      <c r="G1102" s="71"/>
      <c r="H1102" s="71"/>
      <c r="I1102" s="71"/>
      <c r="J1102" s="71"/>
    </row>
    <row r="1103" spans="1:12" ht="47.25" x14ac:dyDescent="0.25">
      <c r="A1103" s="298" t="s">
        <v>870</v>
      </c>
      <c r="B1103" s="299" t="s">
        <v>251</v>
      </c>
      <c r="C1103" s="299" t="s">
        <v>116</v>
      </c>
      <c r="D1103" s="299" t="s">
        <v>249</v>
      </c>
      <c r="E1103" s="299"/>
      <c r="F1103" s="294">
        <f>F1104+F1108+F1121+F1128+F1132+F1136+F1144+F1140</f>
        <v>63660.98636000001</v>
      </c>
      <c r="H1103" s="71"/>
    </row>
    <row r="1104" spans="1:12" ht="31.5" x14ac:dyDescent="0.25">
      <c r="A1104" s="298" t="s">
        <v>505</v>
      </c>
      <c r="B1104" s="299" t="s">
        <v>251</v>
      </c>
      <c r="C1104" s="299" t="s">
        <v>116</v>
      </c>
      <c r="D1104" s="299" t="s">
        <v>788</v>
      </c>
      <c r="E1104" s="299"/>
      <c r="F1104" s="294">
        <f>F1105</f>
        <v>55300.286360000006</v>
      </c>
    </row>
    <row r="1105" spans="1:11" ht="31.5" x14ac:dyDescent="0.25">
      <c r="A1105" s="345" t="s">
        <v>811</v>
      </c>
      <c r="B1105" s="346" t="s">
        <v>251</v>
      </c>
      <c r="C1105" s="346" t="s">
        <v>116</v>
      </c>
      <c r="D1105" s="346" t="s">
        <v>789</v>
      </c>
      <c r="E1105" s="346"/>
      <c r="F1105" s="295">
        <f>F1106</f>
        <v>55300.286360000006</v>
      </c>
    </row>
    <row r="1106" spans="1:11" ht="31.5" x14ac:dyDescent="0.25">
      <c r="A1106" s="345" t="s">
        <v>191</v>
      </c>
      <c r="B1106" s="346" t="s">
        <v>251</v>
      </c>
      <c r="C1106" s="346" t="s">
        <v>116</v>
      </c>
      <c r="D1106" s="346" t="s">
        <v>789</v>
      </c>
      <c r="E1106" s="346" t="s">
        <v>192</v>
      </c>
      <c r="F1106" s="295">
        <f>F1107</f>
        <v>55300.286360000006</v>
      </c>
    </row>
    <row r="1107" spans="1:11" ht="15.75" x14ac:dyDescent="0.25">
      <c r="A1107" s="345" t="s">
        <v>193</v>
      </c>
      <c r="B1107" s="346" t="s">
        <v>251</v>
      </c>
      <c r="C1107" s="346" t="s">
        <v>116</v>
      </c>
      <c r="D1107" s="346" t="s">
        <v>789</v>
      </c>
      <c r="E1107" s="346" t="s">
        <v>194</v>
      </c>
      <c r="F1107" s="295">
        <f>'Пр.4 ведом.22'!G951</f>
        <v>55300.286360000006</v>
      </c>
      <c r="H1107" s="71"/>
    </row>
    <row r="1108" spans="1:11" ht="31.5" x14ac:dyDescent="0.25">
      <c r="A1108" s="298" t="s">
        <v>511</v>
      </c>
      <c r="B1108" s="299" t="s">
        <v>251</v>
      </c>
      <c r="C1108" s="299" t="s">
        <v>116</v>
      </c>
      <c r="D1108" s="299" t="s">
        <v>790</v>
      </c>
      <c r="E1108" s="299"/>
      <c r="F1108" s="294">
        <f>F1109+F1112+F1115+F1118</f>
        <v>436</v>
      </c>
    </row>
    <row r="1109" spans="1:11" ht="31.5" hidden="1" x14ac:dyDescent="0.25">
      <c r="A1109" s="345" t="s">
        <v>195</v>
      </c>
      <c r="B1109" s="346" t="s">
        <v>251</v>
      </c>
      <c r="C1109" s="346" t="s">
        <v>116</v>
      </c>
      <c r="D1109" s="346" t="s">
        <v>832</v>
      </c>
      <c r="E1109" s="346"/>
      <c r="F1109" s="295">
        <f t="shared" ref="F1109" si="88">F1110</f>
        <v>0</v>
      </c>
    </row>
    <row r="1110" spans="1:11" ht="31.5" hidden="1" x14ac:dyDescent="0.25">
      <c r="A1110" s="345" t="s">
        <v>191</v>
      </c>
      <c r="B1110" s="346" t="s">
        <v>251</v>
      </c>
      <c r="C1110" s="346" t="s">
        <v>116</v>
      </c>
      <c r="D1110" s="346" t="s">
        <v>832</v>
      </c>
      <c r="E1110" s="346" t="s">
        <v>192</v>
      </c>
      <c r="F1110" s="295">
        <f>'Пр.4 ведом.22'!G955</f>
        <v>0</v>
      </c>
    </row>
    <row r="1111" spans="1:11" ht="20.25" hidden="1" customHeight="1" x14ac:dyDescent="0.25">
      <c r="A1111" s="345" t="s">
        <v>193</v>
      </c>
      <c r="B1111" s="346" t="s">
        <v>251</v>
      </c>
      <c r="C1111" s="346" t="s">
        <v>116</v>
      </c>
      <c r="D1111" s="346" t="s">
        <v>832</v>
      </c>
      <c r="E1111" s="346" t="s">
        <v>194</v>
      </c>
      <c r="F1111" s="295">
        <f>'Пр.4 ведом.22'!G955</f>
        <v>0</v>
      </c>
    </row>
    <row r="1112" spans="1:11" ht="33" customHeight="1" x14ac:dyDescent="0.25">
      <c r="A1112" s="345" t="s">
        <v>196</v>
      </c>
      <c r="B1112" s="346" t="s">
        <v>251</v>
      </c>
      <c r="C1112" s="346" t="s">
        <v>116</v>
      </c>
      <c r="D1112" s="346" t="s">
        <v>833</v>
      </c>
      <c r="E1112" s="346"/>
      <c r="F1112" s="295">
        <f t="shared" ref="F1112" si="89">F1113</f>
        <v>400</v>
      </c>
    </row>
    <row r="1113" spans="1:11" ht="37.5" customHeight="1" x14ac:dyDescent="0.25">
      <c r="A1113" s="345" t="s">
        <v>191</v>
      </c>
      <c r="B1113" s="346" t="s">
        <v>251</v>
      </c>
      <c r="C1113" s="346" t="s">
        <v>116</v>
      </c>
      <c r="D1113" s="346" t="s">
        <v>833</v>
      </c>
      <c r="E1113" s="346" t="s">
        <v>192</v>
      </c>
      <c r="F1113" s="295">
        <f>'Пр.4 ведом.22'!G958</f>
        <v>400</v>
      </c>
    </row>
    <row r="1114" spans="1:11" s="128" customFormat="1" ht="15.75" customHeight="1" x14ac:dyDescent="0.25">
      <c r="A1114" s="345" t="s">
        <v>193</v>
      </c>
      <c r="B1114" s="346" t="s">
        <v>251</v>
      </c>
      <c r="C1114" s="346" t="s">
        <v>116</v>
      </c>
      <c r="D1114" s="346" t="s">
        <v>833</v>
      </c>
      <c r="E1114" s="346" t="s">
        <v>194</v>
      </c>
      <c r="F1114" s="295">
        <f>'Пр.4 ведом.22'!G958</f>
        <v>400</v>
      </c>
      <c r="G1114" s="344"/>
      <c r="H1114" s="344"/>
      <c r="I1114" s="344"/>
      <c r="J1114" s="344"/>
      <c r="K1114" s="344"/>
    </row>
    <row r="1115" spans="1:11" s="128" customFormat="1" ht="20.25" customHeight="1" x14ac:dyDescent="0.25">
      <c r="A1115" s="345" t="s">
        <v>405</v>
      </c>
      <c r="B1115" s="346" t="s">
        <v>251</v>
      </c>
      <c r="C1115" s="346" t="s">
        <v>116</v>
      </c>
      <c r="D1115" s="346" t="s">
        <v>791</v>
      </c>
      <c r="E1115" s="346"/>
      <c r="F1115" s="295">
        <f>F1116</f>
        <v>36</v>
      </c>
      <c r="G1115" s="344"/>
      <c r="H1115" s="344"/>
      <c r="I1115" s="344"/>
      <c r="J1115" s="344"/>
      <c r="K1115" s="344"/>
    </row>
    <row r="1116" spans="1:11" s="128" customFormat="1" ht="33" customHeight="1" x14ac:dyDescent="0.25">
      <c r="A1116" s="345" t="s">
        <v>191</v>
      </c>
      <c r="B1116" s="346" t="s">
        <v>251</v>
      </c>
      <c r="C1116" s="346" t="s">
        <v>116</v>
      </c>
      <c r="D1116" s="346" t="s">
        <v>791</v>
      </c>
      <c r="E1116" s="346" t="s">
        <v>192</v>
      </c>
      <c r="F1116" s="295">
        <f>'Пр.4 ведом.22'!G961</f>
        <v>36</v>
      </c>
      <c r="G1116" s="344"/>
      <c r="H1116" s="344"/>
      <c r="I1116" s="344"/>
      <c r="J1116" s="344"/>
      <c r="K1116" s="344"/>
    </row>
    <row r="1117" spans="1:11" ht="20.25" customHeight="1" x14ac:dyDescent="0.25">
      <c r="A1117" s="345" t="s">
        <v>193</v>
      </c>
      <c r="B1117" s="346" t="s">
        <v>251</v>
      </c>
      <c r="C1117" s="346" t="s">
        <v>116</v>
      </c>
      <c r="D1117" s="346" t="s">
        <v>791</v>
      </c>
      <c r="E1117" s="346" t="s">
        <v>194</v>
      </c>
      <c r="F1117" s="295">
        <f>'Пр.4 ведом.22'!G961</f>
        <v>36</v>
      </c>
    </row>
    <row r="1118" spans="1:11" s="293" customFormat="1" ht="39.75" hidden="1" customHeight="1" x14ac:dyDescent="0.25">
      <c r="A1118" s="345" t="s">
        <v>199</v>
      </c>
      <c r="B1118" s="346" t="s">
        <v>251</v>
      </c>
      <c r="C1118" s="346" t="s">
        <v>116</v>
      </c>
      <c r="D1118" s="346" t="s">
        <v>1089</v>
      </c>
      <c r="E1118" s="346"/>
      <c r="F1118" s="295">
        <f>F1119</f>
        <v>0</v>
      </c>
      <c r="G1118" s="344"/>
      <c r="H1118" s="344"/>
      <c r="I1118" s="344"/>
      <c r="J1118" s="344"/>
      <c r="K1118" s="344"/>
    </row>
    <row r="1119" spans="1:11" s="293" customFormat="1" ht="35.25" hidden="1" customHeight="1" x14ac:dyDescent="0.25">
      <c r="A1119" s="345" t="s">
        <v>191</v>
      </c>
      <c r="B1119" s="346" t="s">
        <v>251</v>
      </c>
      <c r="C1119" s="346" t="s">
        <v>116</v>
      </c>
      <c r="D1119" s="346" t="s">
        <v>1089</v>
      </c>
      <c r="E1119" s="346" t="s">
        <v>192</v>
      </c>
      <c r="F1119" s="295">
        <f>F1120</f>
        <v>0</v>
      </c>
      <c r="G1119" s="344"/>
      <c r="H1119" s="344"/>
      <c r="I1119" s="344"/>
      <c r="J1119" s="344"/>
      <c r="K1119" s="344"/>
    </row>
    <row r="1120" spans="1:11" s="293" customFormat="1" ht="20.25" hidden="1" customHeight="1" x14ac:dyDescent="0.25">
      <c r="A1120" s="345" t="s">
        <v>193</v>
      </c>
      <c r="B1120" s="346" t="s">
        <v>251</v>
      </c>
      <c r="C1120" s="346" t="s">
        <v>116</v>
      </c>
      <c r="D1120" s="346" t="s">
        <v>1089</v>
      </c>
      <c r="E1120" s="346" t="s">
        <v>194</v>
      </c>
      <c r="F1120" s="295">
        <f>'Пр.4 ведом.22'!G964</f>
        <v>0</v>
      </c>
      <c r="G1120" s="344"/>
      <c r="H1120" s="344"/>
      <c r="I1120" s="344"/>
      <c r="J1120" s="344"/>
      <c r="K1120" s="344"/>
    </row>
    <row r="1121" spans="1:11" ht="33" customHeight="1" x14ac:dyDescent="0.25">
      <c r="A1121" s="298" t="s">
        <v>512</v>
      </c>
      <c r="B1121" s="299" t="s">
        <v>251</v>
      </c>
      <c r="C1121" s="299" t="s">
        <v>116</v>
      </c>
      <c r="D1121" s="299" t="s">
        <v>792</v>
      </c>
      <c r="E1121" s="299"/>
      <c r="F1121" s="294">
        <f>F1122+F1125</f>
        <v>1290</v>
      </c>
    </row>
    <row r="1122" spans="1:11" ht="39.200000000000003" hidden="1" customHeight="1" x14ac:dyDescent="0.25">
      <c r="A1122" s="345" t="s">
        <v>367</v>
      </c>
      <c r="B1122" s="346" t="s">
        <v>251</v>
      </c>
      <c r="C1122" s="346" t="s">
        <v>116</v>
      </c>
      <c r="D1122" s="346" t="s">
        <v>820</v>
      </c>
      <c r="E1122" s="346"/>
      <c r="F1122" s="295">
        <f>'Пр.4 ведом.22'!G968</f>
        <v>0</v>
      </c>
    </row>
    <row r="1123" spans="1:11" ht="40.700000000000003" hidden="1" customHeight="1" x14ac:dyDescent="0.25">
      <c r="A1123" s="345" t="s">
        <v>191</v>
      </c>
      <c r="B1123" s="346" t="s">
        <v>251</v>
      </c>
      <c r="C1123" s="346" t="s">
        <v>116</v>
      </c>
      <c r="D1123" s="346" t="s">
        <v>820</v>
      </c>
      <c r="E1123" s="346" t="s">
        <v>192</v>
      </c>
      <c r="F1123" s="295">
        <f t="shared" ref="F1123" si="90">F1124</f>
        <v>0</v>
      </c>
    </row>
    <row r="1124" spans="1:11" ht="15.75" hidden="1" customHeight="1" x14ac:dyDescent="0.25">
      <c r="A1124" s="345" t="s">
        <v>193</v>
      </c>
      <c r="B1124" s="346" t="s">
        <v>251</v>
      </c>
      <c r="C1124" s="346" t="s">
        <v>116</v>
      </c>
      <c r="D1124" s="346" t="s">
        <v>820</v>
      </c>
      <c r="E1124" s="346" t="s">
        <v>194</v>
      </c>
      <c r="F1124" s="295">
        <f>'Пр.4 ведом.22'!G968</f>
        <v>0</v>
      </c>
    </row>
    <row r="1125" spans="1:11" ht="34.5" customHeight="1" x14ac:dyDescent="0.25">
      <c r="A1125" s="29" t="s">
        <v>342</v>
      </c>
      <c r="B1125" s="346" t="s">
        <v>251</v>
      </c>
      <c r="C1125" s="346" t="s">
        <v>116</v>
      </c>
      <c r="D1125" s="346" t="s">
        <v>793</v>
      </c>
      <c r="E1125" s="346"/>
      <c r="F1125" s="295">
        <f>'Пр.4 ведом.22'!G971</f>
        <v>1290</v>
      </c>
    </row>
    <row r="1126" spans="1:11" ht="39.75" customHeight="1" x14ac:dyDescent="0.25">
      <c r="A1126" s="22" t="s">
        <v>191</v>
      </c>
      <c r="B1126" s="346" t="s">
        <v>251</v>
      </c>
      <c r="C1126" s="346" t="s">
        <v>116</v>
      </c>
      <c r="D1126" s="346" t="s">
        <v>793</v>
      </c>
      <c r="E1126" s="346" t="s">
        <v>192</v>
      </c>
      <c r="F1126" s="295">
        <f>F1127</f>
        <v>1290</v>
      </c>
    </row>
    <row r="1127" spans="1:11" ht="15.75" x14ac:dyDescent="0.25">
      <c r="A1127" s="22" t="s">
        <v>193</v>
      </c>
      <c r="B1127" s="346" t="s">
        <v>251</v>
      </c>
      <c r="C1127" s="346" t="s">
        <v>116</v>
      </c>
      <c r="D1127" s="346" t="s">
        <v>793</v>
      </c>
      <c r="E1127" s="346" t="s">
        <v>194</v>
      </c>
      <c r="F1127" s="295">
        <f>'Пр.4 ведом.22'!G971</f>
        <v>1290</v>
      </c>
    </row>
    <row r="1128" spans="1:11" ht="47.25" x14ac:dyDescent="0.25">
      <c r="A1128" s="298" t="s">
        <v>469</v>
      </c>
      <c r="B1128" s="299" t="s">
        <v>251</v>
      </c>
      <c r="C1128" s="299" t="s">
        <v>116</v>
      </c>
      <c r="D1128" s="299" t="s">
        <v>794</v>
      </c>
      <c r="E1128" s="299"/>
      <c r="F1128" s="294">
        <f>F1129</f>
        <v>883.9</v>
      </c>
    </row>
    <row r="1129" spans="1:11" ht="94.5" x14ac:dyDescent="0.25">
      <c r="A1129" s="22" t="s">
        <v>245</v>
      </c>
      <c r="B1129" s="346" t="s">
        <v>251</v>
      </c>
      <c r="C1129" s="346" t="s">
        <v>116</v>
      </c>
      <c r="D1129" s="346" t="s">
        <v>897</v>
      </c>
      <c r="E1129" s="346"/>
      <c r="F1129" s="295">
        <f>F1130</f>
        <v>883.9</v>
      </c>
    </row>
    <row r="1130" spans="1:11" ht="31.5" x14ac:dyDescent="0.25">
      <c r="A1130" s="345" t="s">
        <v>191</v>
      </c>
      <c r="B1130" s="346" t="s">
        <v>251</v>
      </c>
      <c r="C1130" s="346" t="s">
        <v>116</v>
      </c>
      <c r="D1130" s="346" t="s">
        <v>897</v>
      </c>
      <c r="E1130" s="346" t="s">
        <v>192</v>
      </c>
      <c r="F1130" s="295">
        <f t="shared" ref="F1130:F1148" si="91">F1131</f>
        <v>883.9</v>
      </c>
    </row>
    <row r="1131" spans="1:11" ht="15.75" x14ac:dyDescent="0.25">
      <c r="A1131" s="345" t="s">
        <v>193</v>
      </c>
      <c r="B1131" s="346" t="s">
        <v>251</v>
      </c>
      <c r="C1131" s="346" t="s">
        <v>116</v>
      </c>
      <c r="D1131" s="346" t="s">
        <v>897</v>
      </c>
      <c r="E1131" s="346" t="s">
        <v>194</v>
      </c>
      <c r="F1131" s="295">
        <f>'Пр.4 ведом.22'!G975</f>
        <v>883.9</v>
      </c>
    </row>
    <row r="1132" spans="1:11" s="293" customFormat="1" ht="47.25" x14ac:dyDescent="0.25">
      <c r="A1132" s="298" t="s">
        <v>1070</v>
      </c>
      <c r="B1132" s="299" t="s">
        <v>251</v>
      </c>
      <c r="C1132" s="299" t="s">
        <v>116</v>
      </c>
      <c r="D1132" s="299" t="s">
        <v>1068</v>
      </c>
      <c r="E1132" s="299"/>
      <c r="F1132" s="294">
        <f>F1133</f>
        <v>5022.3</v>
      </c>
      <c r="G1132" s="344"/>
      <c r="H1132" s="344"/>
      <c r="I1132" s="344"/>
      <c r="J1132" s="344"/>
      <c r="K1132" s="344"/>
    </row>
    <row r="1133" spans="1:11" s="293" customFormat="1" ht="55.5" customHeight="1" x14ac:dyDescent="0.25">
      <c r="A1133" s="22" t="s">
        <v>1071</v>
      </c>
      <c r="B1133" s="346" t="s">
        <v>251</v>
      </c>
      <c r="C1133" s="346" t="s">
        <v>116</v>
      </c>
      <c r="D1133" s="346" t="s">
        <v>1069</v>
      </c>
      <c r="E1133" s="346"/>
      <c r="F1133" s="295">
        <f>F1134</f>
        <v>5022.3</v>
      </c>
      <c r="G1133" s="344"/>
      <c r="H1133" s="344"/>
      <c r="I1133" s="344"/>
      <c r="J1133" s="344"/>
      <c r="K1133" s="344"/>
    </row>
    <row r="1134" spans="1:11" s="293" customFormat="1" ht="31.5" x14ac:dyDescent="0.25">
      <c r="A1134" s="345" t="s">
        <v>191</v>
      </c>
      <c r="B1134" s="346" t="s">
        <v>251</v>
      </c>
      <c r="C1134" s="346" t="s">
        <v>116</v>
      </c>
      <c r="D1134" s="346" t="s">
        <v>1069</v>
      </c>
      <c r="E1134" s="346" t="s">
        <v>192</v>
      </c>
      <c r="F1134" s="295">
        <f t="shared" si="91"/>
        <v>5022.3</v>
      </c>
      <c r="G1134" s="344"/>
      <c r="H1134" s="344"/>
      <c r="I1134" s="344"/>
      <c r="J1134" s="344"/>
      <c r="K1134" s="344"/>
    </row>
    <row r="1135" spans="1:11" s="293" customFormat="1" ht="15.75" x14ac:dyDescent="0.25">
      <c r="A1135" s="345" t="s">
        <v>193</v>
      </c>
      <c r="B1135" s="346" t="s">
        <v>251</v>
      </c>
      <c r="C1135" s="346" t="s">
        <v>116</v>
      </c>
      <c r="D1135" s="346" t="s">
        <v>1069</v>
      </c>
      <c r="E1135" s="346" t="s">
        <v>194</v>
      </c>
      <c r="F1135" s="295">
        <f>'Пр.4 ведом.22'!G978</f>
        <v>5022.3</v>
      </c>
      <c r="G1135" s="344"/>
      <c r="H1135" s="344"/>
      <c r="I1135" s="344"/>
      <c r="J1135" s="344"/>
      <c r="K1135" s="344"/>
    </row>
    <row r="1136" spans="1:11" s="343" customFormat="1" ht="31.5" x14ac:dyDescent="0.25">
      <c r="A1136" s="340" t="s">
        <v>1139</v>
      </c>
      <c r="B1136" s="299" t="s">
        <v>251</v>
      </c>
      <c r="C1136" s="299" t="s">
        <v>116</v>
      </c>
      <c r="D1136" s="299" t="s">
        <v>1140</v>
      </c>
      <c r="E1136" s="299"/>
      <c r="F1136" s="294">
        <f>F1137</f>
        <v>430.1</v>
      </c>
      <c r="G1136" s="344"/>
      <c r="H1136" s="344"/>
      <c r="I1136" s="344"/>
      <c r="J1136" s="344"/>
      <c r="K1136" s="344"/>
    </row>
    <row r="1137" spans="1:11" s="343" customFormat="1" ht="31.5" x14ac:dyDescent="0.25">
      <c r="A1137" s="20" t="s">
        <v>1142</v>
      </c>
      <c r="B1137" s="346" t="s">
        <v>251</v>
      </c>
      <c r="C1137" s="346" t="s">
        <v>116</v>
      </c>
      <c r="D1137" s="346" t="s">
        <v>1141</v>
      </c>
      <c r="E1137" s="346"/>
      <c r="F1137" s="295">
        <f>F1138</f>
        <v>430.1</v>
      </c>
      <c r="G1137" s="344"/>
      <c r="H1137" s="344"/>
      <c r="I1137" s="344"/>
      <c r="J1137" s="344"/>
      <c r="K1137" s="344"/>
    </row>
    <row r="1138" spans="1:11" s="343" customFormat="1" ht="31.5" x14ac:dyDescent="0.25">
      <c r="A1138" s="345" t="s">
        <v>191</v>
      </c>
      <c r="B1138" s="346" t="s">
        <v>251</v>
      </c>
      <c r="C1138" s="346" t="s">
        <v>116</v>
      </c>
      <c r="D1138" s="346" t="s">
        <v>1141</v>
      </c>
      <c r="E1138" s="346" t="s">
        <v>192</v>
      </c>
      <c r="F1138" s="295">
        <f>F1139</f>
        <v>430.1</v>
      </c>
      <c r="G1138" s="344"/>
      <c r="H1138" s="344"/>
      <c r="I1138" s="344"/>
      <c r="J1138" s="344"/>
      <c r="K1138" s="344"/>
    </row>
    <row r="1139" spans="1:11" s="343" customFormat="1" ht="15.75" x14ac:dyDescent="0.25">
      <c r="A1139" s="345" t="s">
        <v>193</v>
      </c>
      <c r="B1139" s="346" t="s">
        <v>251</v>
      </c>
      <c r="C1139" s="346" t="s">
        <v>116</v>
      </c>
      <c r="D1139" s="346" t="s">
        <v>1141</v>
      </c>
      <c r="E1139" s="346" t="s">
        <v>194</v>
      </c>
      <c r="F1139" s="295">
        <f>'Пр.4 ведом.22'!G983</f>
        <v>430.1</v>
      </c>
      <c r="G1139" s="344"/>
      <c r="H1139" s="344"/>
      <c r="I1139" s="344"/>
      <c r="J1139" s="344"/>
      <c r="K1139" s="344"/>
    </row>
    <row r="1140" spans="1:11" s="343" customFormat="1" ht="31.5" x14ac:dyDescent="0.25">
      <c r="A1140" s="298" t="s">
        <v>1323</v>
      </c>
      <c r="B1140" s="299" t="s">
        <v>251</v>
      </c>
      <c r="C1140" s="299" t="s">
        <v>116</v>
      </c>
      <c r="D1140" s="299" t="s">
        <v>1324</v>
      </c>
      <c r="E1140" s="299"/>
      <c r="F1140" s="294">
        <f>F1141</f>
        <v>298.39999999999998</v>
      </c>
      <c r="G1140" s="344"/>
      <c r="H1140" s="344"/>
      <c r="I1140" s="344"/>
      <c r="J1140" s="344"/>
      <c r="K1140" s="344"/>
    </row>
    <row r="1141" spans="1:11" s="343" customFormat="1" ht="31.5" x14ac:dyDescent="0.25">
      <c r="A1141" s="345" t="s">
        <v>1322</v>
      </c>
      <c r="B1141" s="346" t="s">
        <v>251</v>
      </c>
      <c r="C1141" s="346" t="s">
        <v>116</v>
      </c>
      <c r="D1141" s="346" t="s">
        <v>1325</v>
      </c>
      <c r="E1141" s="346"/>
      <c r="F1141" s="295">
        <f>F1142</f>
        <v>298.39999999999998</v>
      </c>
      <c r="G1141" s="344"/>
      <c r="H1141" s="344"/>
      <c r="I1141" s="344"/>
      <c r="J1141" s="344"/>
      <c r="K1141" s="344"/>
    </row>
    <row r="1142" spans="1:11" s="343" customFormat="1" ht="31.5" x14ac:dyDescent="0.25">
      <c r="A1142" s="345" t="s">
        <v>191</v>
      </c>
      <c r="B1142" s="346" t="s">
        <v>251</v>
      </c>
      <c r="C1142" s="346" t="s">
        <v>116</v>
      </c>
      <c r="D1142" s="346" t="s">
        <v>1325</v>
      </c>
      <c r="E1142" s="346" t="s">
        <v>192</v>
      </c>
      <c r="F1142" s="295">
        <f>F1143</f>
        <v>298.39999999999998</v>
      </c>
      <c r="G1142" s="344"/>
      <c r="H1142" s="344"/>
      <c r="I1142" s="344"/>
      <c r="J1142" s="344"/>
      <c r="K1142" s="344"/>
    </row>
    <row r="1143" spans="1:11" s="343" customFormat="1" ht="15.75" x14ac:dyDescent="0.25">
      <c r="A1143" s="345" t="s">
        <v>193</v>
      </c>
      <c r="B1143" s="346" t="s">
        <v>251</v>
      </c>
      <c r="C1143" s="346" t="s">
        <v>116</v>
      </c>
      <c r="D1143" s="346" t="s">
        <v>1325</v>
      </c>
      <c r="E1143" s="346" t="s">
        <v>194</v>
      </c>
      <c r="F1143" s="295">
        <f>'Пр.4 ведом.22'!G987</f>
        <v>298.39999999999998</v>
      </c>
      <c r="G1143" s="344"/>
      <c r="H1143" s="344"/>
      <c r="I1143" s="344"/>
      <c r="J1143" s="344"/>
      <c r="K1143" s="344"/>
    </row>
    <row r="1144" spans="1:11" s="128" customFormat="1" ht="63" hidden="1" x14ac:dyDescent="0.25">
      <c r="A1144" s="298" t="s">
        <v>730</v>
      </c>
      <c r="B1144" s="299" t="s">
        <v>251</v>
      </c>
      <c r="C1144" s="299" t="s">
        <v>116</v>
      </c>
      <c r="D1144" s="299" t="s">
        <v>795</v>
      </c>
      <c r="E1144" s="299"/>
      <c r="F1144" s="294">
        <f>F1145</f>
        <v>0</v>
      </c>
      <c r="G1144" s="344"/>
      <c r="H1144" s="344"/>
      <c r="I1144" s="344"/>
      <c r="J1144" s="344"/>
      <c r="K1144" s="344"/>
    </row>
    <row r="1145" spans="1:11" s="128" customFormat="1" ht="63" hidden="1" x14ac:dyDescent="0.25">
      <c r="A1145" s="345" t="s">
        <v>732</v>
      </c>
      <c r="B1145" s="346" t="s">
        <v>251</v>
      </c>
      <c r="C1145" s="346" t="s">
        <v>116</v>
      </c>
      <c r="D1145" s="346" t="s">
        <v>834</v>
      </c>
      <c r="E1145" s="346"/>
      <c r="F1145" s="295">
        <f>F1146</f>
        <v>0</v>
      </c>
      <c r="G1145" s="344"/>
      <c r="H1145" s="344"/>
      <c r="I1145" s="344"/>
      <c r="J1145" s="344"/>
      <c r="K1145" s="344"/>
    </row>
    <row r="1146" spans="1:11" s="128" customFormat="1" ht="31.5" hidden="1" x14ac:dyDescent="0.25">
      <c r="A1146" s="345" t="s">
        <v>191</v>
      </c>
      <c r="B1146" s="346" t="s">
        <v>251</v>
      </c>
      <c r="C1146" s="346" t="s">
        <v>116</v>
      </c>
      <c r="D1146" s="346" t="s">
        <v>834</v>
      </c>
      <c r="E1146" s="346" t="s">
        <v>192</v>
      </c>
      <c r="F1146" s="295">
        <f>F1147</f>
        <v>0</v>
      </c>
      <c r="G1146" s="344"/>
      <c r="H1146" s="344"/>
      <c r="I1146" s="344"/>
      <c r="J1146" s="344"/>
      <c r="K1146" s="344"/>
    </row>
    <row r="1147" spans="1:11" s="128" customFormat="1" ht="15.75" hidden="1" x14ac:dyDescent="0.25">
      <c r="A1147" s="345" t="s">
        <v>193</v>
      </c>
      <c r="B1147" s="346" t="s">
        <v>251</v>
      </c>
      <c r="C1147" s="346" t="s">
        <v>116</v>
      </c>
      <c r="D1147" s="346" t="s">
        <v>834</v>
      </c>
      <c r="E1147" s="346" t="s">
        <v>194</v>
      </c>
      <c r="F1147" s="295">
        <f>'Пр.4 ведом.22'!G991</f>
        <v>0</v>
      </c>
      <c r="G1147" s="344"/>
      <c r="H1147" s="344"/>
      <c r="I1147" s="344"/>
      <c r="J1147" s="344"/>
      <c r="K1147" s="344"/>
    </row>
    <row r="1148" spans="1:11" ht="47.25" x14ac:dyDescent="0.25">
      <c r="A1148" s="340" t="s">
        <v>856</v>
      </c>
      <c r="B1148" s="299" t="s">
        <v>251</v>
      </c>
      <c r="C1148" s="299" t="s">
        <v>116</v>
      </c>
      <c r="D1148" s="299" t="s">
        <v>339</v>
      </c>
      <c r="E1148" s="304"/>
      <c r="F1148" s="294">
        <f t="shared" si="91"/>
        <v>579.1</v>
      </c>
    </row>
    <row r="1149" spans="1:11" ht="47.25" x14ac:dyDescent="0.25">
      <c r="A1149" s="340" t="s">
        <v>461</v>
      </c>
      <c r="B1149" s="299" t="s">
        <v>251</v>
      </c>
      <c r="C1149" s="299" t="s">
        <v>116</v>
      </c>
      <c r="D1149" s="299" t="s">
        <v>459</v>
      </c>
      <c r="E1149" s="304"/>
      <c r="F1149" s="294">
        <f>F1150</f>
        <v>579.1</v>
      </c>
    </row>
    <row r="1150" spans="1:11" ht="47.25" x14ac:dyDescent="0.25">
      <c r="A1150" s="67" t="s">
        <v>357</v>
      </c>
      <c r="B1150" s="346" t="s">
        <v>251</v>
      </c>
      <c r="C1150" s="346" t="s">
        <v>116</v>
      </c>
      <c r="D1150" s="346" t="s">
        <v>504</v>
      </c>
      <c r="E1150" s="301"/>
      <c r="F1150" s="295">
        <f>F1151</f>
        <v>579.1</v>
      </c>
    </row>
    <row r="1151" spans="1:11" ht="31.5" x14ac:dyDescent="0.25">
      <c r="A1151" s="20" t="s">
        <v>191</v>
      </c>
      <c r="B1151" s="346" t="s">
        <v>251</v>
      </c>
      <c r="C1151" s="346" t="s">
        <v>116</v>
      </c>
      <c r="D1151" s="346" t="s">
        <v>504</v>
      </c>
      <c r="E1151" s="301" t="s">
        <v>192</v>
      </c>
      <c r="F1151" s="295">
        <f>F1152</f>
        <v>579.1</v>
      </c>
    </row>
    <row r="1152" spans="1:11" ht="15.75" x14ac:dyDescent="0.25">
      <c r="A1152" s="108" t="s">
        <v>193</v>
      </c>
      <c r="B1152" s="346" t="s">
        <v>251</v>
      </c>
      <c r="C1152" s="346" t="s">
        <v>116</v>
      </c>
      <c r="D1152" s="346" t="s">
        <v>504</v>
      </c>
      <c r="E1152" s="301" t="s">
        <v>194</v>
      </c>
      <c r="F1152" s="295">
        <f>'Пр.4 ведом.22'!G996</f>
        <v>579.1</v>
      </c>
    </row>
    <row r="1153" spans="1:11" ht="31.5" x14ac:dyDescent="0.25">
      <c r="A1153" s="298" t="s">
        <v>254</v>
      </c>
      <c r="B1153" s="299" t="s">
        <v>251</v>
      </c>
      <c r="C1153" s="299" t="s">
        <v>168</v>
      </c>
      <c r="D1153" s="299"/>
      <c r="E1153" s="299"/>
      <c r="F1153" s="294">
        <f>F1154+F1173+F1185</f>
        <v>18452.158640000001</v>
      </c>
    </row>
    <row r="1154" spans="1:11" ht="31.5" x14ac:dyDescent="0.25">
      <c r="A1154" s="298" t="s">
        <v>486</v>
      </c>
      <c r="B1154" s="299" t="s">
        <v>251</v>
      </c>
      <c r="C1154" s="299" t="s">
        <v>168</v>
      </c>
      <c r="D1154" s="299" t="s">
        <v>432</v>
      </c>
      <c r="E1154" s="299"/>
      <c r="F1154" s="294">
        <f>F1155</f>
        <v>9836.3596699999998</v>
      </c>
    </row>
    <row r="1155" spans="1:11" ht="15.75" x14ac:dyDescent="0.25">
      <c r="A1155" s="298" t="s">
        <v>487</v>
      </c>
      <c r="B1155" s="299" t="s">
        <v>251</v>
      </c>
      <c r="C1155" s="299" t="s">
        <v>168</v>
      </c>
      <c r="D1155" s="299" t="s">
        <v>433</v>
      </c>
      <c r="E1155" s="299"/>
      <c r="F1155" s="294">
        <f>F1156+F1170+F1161</f>
        <v>9836.3596699999998</v>
      </c>
    </row>
    <row r="1156" spans="1:11" ht="31.5" x14ac:dyDescent="0.25">
      <c r="A1156" s="345" t="s">
        <v>466</v>
      </c>
      <c r="B1156" s="346" t="s">
        <v>251</v>
      </c>
      <c r="C1156" s="346" t="s">
        <v>168</v>
      </c>
      <c r="D1156" s="346" t="s">
        <v>434</v>
      </c>
      <c r="E1156" s="346"/>
      <c r="F1156" s="295">
        <f>F1157+F1159</f>
        <v>6765.0027499999997</v>
      </c>
    </row>
    <row r="1157" spans="1:11" ht="78.75" x14ac:dyDescent="0.25">
      <c r="A1157" s="345" t="s">
        <v>119</v>
      </c>
      <c r="B1157" s="346" t="s">
        <v>251</v>
      </c>
      <c r="C1157" s="346" t="s">
        <v>168</v>
      </c>
      <c r="D1157" s="346" t="s">
        <v>434</v>
      </c>
      <c r="E1157" s="346" t="s">
        <v>120</v>
      </c>
      <c r="F1157" s="295">
        <f>F1158</f>
        <v>6631.66</v>
      </c>
    </row>
    <row r="1158" spans="1:11" ht="31.5" x14ac:dyDescent="0.25">
      <c r="A1158" s="345" t="s">
        <v>121</v>
      </c>
      <c r="B1158" s="346" t="s">
        <v>251</v>
      </c>
      <c r="C1158" s="346" t="s">
        <v>168</v>
      </c>
      <c r="D1158" s="346" t="s">
        <v>434</v>
      </c>
      <c r="E1158" s="346" t="s">
        <v>122</v>
      </c>
      <c r="F1158" s="295">
        <f>'Пр.4 ведом.22'!G1002</f>
        <v>6631.66</v>
      </c>
    </row>
    <row r="1159" spans="1:11" s="343" customFormat="1" ht="31.5" x14ac:dyDescent="0.25">
      <c r="A1159" s="345" t="s">
        <v>123</v>
      </c>
      <c r="B1159" s="346" t="s">
        <v>251</v>
      </c>
      <c r="C1159" s="346" t="s">
        <v>168</v>
      </c>
      <c r="D1159" s="346" t="s">
        <v>434</v>
      </c>
      <c r="E1159" s="346" t="s">
        <v>124</v>
      </c>
      <c r="F1159" s="295">
        <f>F1160</f>
        <v>133.34275</v>
      </c>
      <c r="G1159" s="344"/>
      <c r="H1159" s="344"/>
      <c r="I1159" s="344"/>
      <c r="J1159" s="344"/>
      <c r="K1159" s="344"/>
    </row>
    <row r="1160" spans="1:11" s="343" customFormat="1" ht="47.25" x14ac:dyDescent="0.25">
      <c r="A1160" s="345" t="s">
        <v>125</v>
      </c>
      <c r="B1160" s="346" t="s">
        <v>251</v>
      </c>
      <c r="C1160" s="346" t="s">
        <v>168</v>
      </c>
      <c r="D1160" s="346" t="s">
        <v>434</v>
      </c>
      <c r="E1160" s="346" t="s">
        <v>126</v>
      </c>
      <c r="F1160" s="295">
        <f>'Пр.4 ведом.22'!G1004</f>
        <v>133.34275</v>
      </c>
      <c r="G1160" s="344"/>
      <c r="H1160" s="344"/>
      <c r="I1160" s="344"/>
      <c r="J1160" s="344"/>
      <c r="K1160" s="344"/>
    </row>
    <row r="1161" spans="1:11" s="343" customFormat="1" ht="31.5" x14ac:dyDescent="0.25">
      <c r="A1161" s="345" t="s">
        <v>415</v>
      </c>
      <c r="B1161" s="346" t="s">
        <v>251</v>
      </c>
      <c r="C1161" s="346" t="s">
        <v>168</v>
      </c>
      <c r="D1161" s="346" t="s">
        <v>435</v>
      </c>
      <c r="E1161" s="346"/>
      <c r="F1161" s="295">
        <f>F1162+F1164+F1168+F1166</f>
        <v>2750.72192</v>
      </c>
      <c r="G1161" s="344"/>
      <c r="H1161" s="344"/>
      <c r="I1161" s="344"/>
      <c r="J1161" s="344"/>
      <c r="K1161" s="344"/>
    </row>
    <row r="1162" spans="1:11" s="343" customFormat="1" ht="78.75" x14ac:dyDescent="0.25">
      <c r="A1162" s="345" t="s">
        <v>119</v>
      </c>
      <c r="B1162" s="346" t="s">
        <v>251</v>
      </c>
      <c r="C1162" s="346" t="s">
        <v>168</v>
      </c>
      <c r="D1162" s="346" t="s">
        <v>435</v>
      </c>
      <c r="E1162" s="346" t="s">
        <v>120</v>
      </c>
      <c r="F1162" s="295">
        <f>F1163</f>
        <v>2059.3226300000001</v>
      </c>
      <c r="G1162" s="344"/>
      <c r="H1162" s="344"/>
      <c r="I1162" s="344"/>
      <c r="J1162" s="344"/>
      <c r="K1162" s="344"/>
    </row>
    <row r="1163" spans="1:11" s="343" customFormat="1" ht="31.5" x14ac:dyDescent="0.25">
      <c r="A1163" s="345" t="s">
        <v>121</v>
      </c>
      <c r="B1163" s="346" t="s">
        <v>251</v>
      </c>
      <c r="C1163" s="346" t="s">
        <v>168</v>
      </c>
      <c r="D1163" s="346" t="s">
        <v>435</v>
      </c>
      <c r="E1163" s="346" t="s">
        <v>122</v>
      </c>
      <c r="F1163" s="295">
        <f>'Пр.4 ведом.22'!G1009</f>
        <v>2059.3226300000001</v>
      </c>
      <c r="G1163" s="344"/>
      <c r="H1163" s="344"/>
      <c r="I1163" s="344"/>
      <c r="J1163" s="344"/>
      <c r="K1163" s="344"/>
    </row>
    <row r="1164" spans="1:11" s="343" customFormat="1" ht="31.5" x14ac:dyDescent="0.25">
      <c r="A1164" s="345" t="s">
        <v>123</v>
      </c>
      <c r="B1164" s="346" t="s">
        <v>251</v>
      </c>
      <c r="C1164" s="346" t="s">
        <v>168</v>
      </c>
      <c r="D1164" s="346" t="s">
        <v>435</v>
      </c>
      <c r="E1164" s="346" t="s">
        <v>124</v>
      </c>
      <c r="F1164" s="295">
        <f>F1165</f>
        <v>86.407249999999976</v>
      </c>
      <c r="G1164" s="344"/>
      <c r="H1164" s="344"/>
      <c r="I1164" s="344"/>
      <c r="J1164" s="344"/>
      <c r="K1164" s="344"/>
    </row>
    <row r="1165" spans="1:11" s="343" customFormat="1" ht="47.25" x14ac:dyDescent="0.25">
      <c r="A1165" s="345" t="s">
        <v>125</v>
      </c>
      <c r="B1165" s="346" t="s">
        <v>251</v>
      </c>
      <c r="C1165" s="346" t="s">
        <v>168</v>
      </c>
      <c r="D1165" s="346" t="s">
        <v>435</v>
      </c>
      <c r="E1165" s="346" t="s">
        <v>126</v>
      </c>
      <c r="F1165" s="295">
        <f>'Пр.4 ведом.22'!G1011</f>
        <v>86.407249999999976</v>
      </c>
      <c r="G1165" s="344"/>
      <c r="H1165" s="344"/>
      <c r="I1165" s="344"/>
      <c r="J1165" s="344"/>
      <c r="K1165" s="344"/>
    </row>
    <row r="1166" spans="1:11" s="343" customFormat="1" ht="31.5" x14ac:dyDescent="0.25">
      <c r="A1166" s="345" t="s">
        <v>177</v>
      </c>
      <c r="B1166" s="346" t="s">
        <v>251</v>
      </c>
      <c r="C1166" s="346" t="s">
        <v>168</v>
      </c>
      <c r="D1166" s="346" t="s">
        <v>435</v>
      </c>
      <c r="E1166" s="346" t="s">
        <v>178</v>
      </c>
      <c r="F1166" s="295">
        <f>F1167</f>
        <v>604.87764000000004</v>
      </c>
      <c r="G1166" s="344"/>
      <c r="H1166" s="344"/>
      <c r="I1166" s="344"/>
      <c r="J1166" s="344"/>
      <c r="K1166" s="344"/>
    </row>
    <row r="1167" spans="1:11" s="343" customFormat="1" ht="31.5" x14ac:dyDescent="0.25">
      <c r="A1167" s="345" t="s">
        <v>179</v>
      </c>
      <c r="B1167" s="346" t="s">
        <v>251</v>
      </c>
      <c r="C1167" s="346" t="s">
        <v>168</v>
      </c>
      <c r="D1167" s="346" t="s">
        <v>435</v>
      </c>
      <c r="E1167" s="346" t="s">
        <v>180</v>
      </c>
      <c r="F1167" s="295">
        <f>'Пр.4 ведом.22'!G1013</f>
        <v>604.87764000000004</v>
      </c>
      <c r="G1167" s="344"/>
      <c r="H1167" s="344"/>
      <c r="I1167" s="344"/>
      <c r="J1167" s="344"/>
      <c r="K1167" s="344"/>
    </row>
    <row r="1168" spans="1:11" s="343" customFormat="1" ht="15.75" x14ac:dyDescent="0.25">
      <c r="A1168" s="345" t="s">
        <v>127</v>
      </c>
      <c r="B1168" s="346" t="s">
        <v>251</v>
      </c>
      <c r="C1168" s="346" t="s">
        <v>168</v>
      </c>
      <c r="D1168" s="346" t="s">
        <v>435</v>
      </c>
      <c r="E1168" s="346" t="s">
        <v>134</v>
      </c>
      <c r="F1168" s="295">
        <f>F1169</f>
        <v>0.11440000000000339</v>
      </c>
      <c r="G1168" s="344"/>
      <c r="H1168" s="344"/>
      <c r="I1168" s="344"/>
      <c r="J1168" s="344"/>
      <c r="K1168" s="344"/>
    </row>
    <row r="1169" spans="1:11" s="343" customFormat="1" ht="15.75" x14ac:dyDescent="0.25">
      <c r="A1169" s="345" t="s">
        <v>280</v>
      </c>
      <c r="B1169" s="346" t="s">
        <v>251</v>
      </c>
      <c r="C1169" s="346" t="s">
        <v>168</v>
      </c>
      <c r="D1169" s="346" t="s">
        <v>435</v>
      </c>
      <c r="E1169" s="346" t="s">
        <v>130</v>
      </c>
      <c r="F1169" s="295">
        <f>'Пр.4 ведом.22'!G1015</f>
        <v>0.11440000000000339</v>
      </c>
      <c r="G1169" s="344"/>
      <c r="H1169" s="344"/>
      <c r="I1169" s="344"/>
      <c r="J1169" s="344"/>
      <c r="K1169" s="344"/>
    </row>
    <row r="1170" spans="1:11" ht="47.25" x14ac:dyDescent="0.25">
      <c r="A1170" s="345" t="s">
        <v>414</v>
      </c>
      <c r="B1170" s="346" t="s">
        <v>251</v>
      </c>
      <c r="C1170" s="346" t="s">
        <v>168</v>
      </c>
      <c r="D1170" s="346" t="s">
        <v>436</v>
      </c>
      <c r="E1170" s="346"/>
      <c r="F1170" s="295">
        <f>F1171</f>
        <v>320.63499999999999</v>
      </c>
    </row>
    <row r="1171" spans="1:11" ht="78.75" x14ac:dyDescent="0.25">
      <c r="A1171" s="345" t="s">
        <v>119</v>
      </c>
      <c r="B1171" s="346" t="s">
        <v>251</v>
      </c>
      <c r="C1171" s="346" t="s">
        <v>168</v>
      </c>
      <c r="D1171" s="346" t="s">
        <v>436</v>
      </c>
      <c r="E1171" s="346" t="s">
        <v>120</v>
      </c>
      <c r="F1171" s="295">
        <f>F1172</f>
        <v>320.63499999999999</v>
      </c>
    </row>
    <row r="1172" spans="1:11" ht="31.5" x14ac:dyDescent="0.25">
      <c r="A1172" s="345" t="s">
        <v>121</v>
      </c>
      <c r="B1172" s="346" t="s">
        <v>251</v>
      </c>
      <c r="C1172" s="346" t="s">
        <v>168</v>
      </c>
      <c r="D1172" s="346" t="s">
        <v>436</v>
      </c>
      <c r="E1172" s="346" t="s">
        <v>122</v>
      </c>
      <c r="F1172" s="295">
        <f>'Пр.4 ведом.22'!G1018</f>
        <v>320.63499999999999</v>
      </c>
    </row>
    <row r="1173" spans="1:11" ht="15.75" x14ac:dyDescent="0.25">
      <c r="A1173" s="298" t="s">
        <v>133</v>
      </c>
      <c r="B1173" s="299" t="s">
        <v>251</v>
      </c>
      <c r="C1173" s="299" t="s">
        <v>168</v>
      </c>
      <c r="D1173" s="299" t="s">
        <v>440</v>
      </c>
      <c r="E1173" s="299"/>
      <c r="F1173" s="294">
        <f>F1174</f>
        <v>5915.7989699999998</v>
      </c>
    </row>
    <row r="1174" spans="1:11" s="343" customFormat="1" ht="15.75" x14ac:dyDescent="0.25">
      <c r="A1174" s="298" t="s">
        <v>1115</v>
      </c>
      <c r="B1174" s="299" t="s">
        <v>251</v>
      </c>
      <c r="C1174" s="299" t="s">
        <v>168</v>
      </c>
      <c r="D1174" s="299" t="s">
        <v>516</v>
      </c>
      <c r="E1174" s="299"/>
      <c r="F1174" s="295">
        <f>F1175+F1178</f>
        <v>5915.7989699999998</v>
      </c>
      <c r="G1174" s="344"/>
      <c r="H1174" s="344"/>
      <c r="I1174" s="344"/>
      <c r="J1174" s="344"/>
      <c r="K1174" s="344"/>
    </row>
    <row r="1175" spans="1:11" s="343" customFormat="1" ht="47.25" x14ac:dyDescent="0.25">
      <c r="A1175" s="345" t="s">
        <v>414</v>
      </c>
      <c r="B1175" s="346" t="s">
        <v>251</v>
      </c>
      <c r="C1175" s="346" t="s">
        <v>168</v>
      </c>
      <c r="D1175" s="346" t="s">
        <v>519</v>
      </c>
      <c r="E1175" s="346"/>
      <c r="F1175" s="295">
        <f>F1176</f>
        <v>83.585999999999999</v>
      </c>
      <c r="G1175" s="344"/>
      <c r="H1175" s="344"/>
      <c r="I1175" s="344"/>
      <c r="J1175" s="344"/>
      <c r="K1175" s="344"/>
    </row>
    <row r="1176" spans="1:11" s="343" customFormat="1" ht="78.75" x14ac:dyDescent="0.25">
      <c r="A1176" s="345" t="s">
        <v>119</v>
      </c>
      <c r="B1176" s="346" t="s">
        <v>251</v>
      </c>
      <c r="C1176" s="346" t="s">
        <v>168</v>
      </c>
      <c r="D1176" s="346" t="s">
        <v>519</v>
      </c>
      <c r="E1176" s="346" t="s">
        <v>120</v>
      </c>
      <c r="F1176" s="295">
        <f>F1177</f>
        <v>83.585999999999999</v>
      </c>
      <c r="G1176" s="344"/>
      <c r="H1176" s="344"/>
      <c r="I1176" s="344"/>
      <c r="J1176" s="344"/>
      <c r="K1176" s="344"/>
    </row>
    <row r="1177" spans="1:11" s="343" customFormat="1" ht="31.5" x14ac:dyDescent="0.25">
      <c r="A1177" s="345" t="s">
        <v>212</v>
      </c>
      <c r="B1177" s="346" t="s">
        <v>251</v>
      </c>
      <c r="C1177" s="346" t="s">
        <v>168</v>
      </c>
      <c r="D1177" s="346" t="s">
        <v>519</v>
      </c>
      <c r="E1177" s="346" t="s">
        <v>156</v>
      </c>
      <c r="F1177" s="295">
        <v>83.585999999999999</v>
      </c>
      <c r="G1177" s="344"/>
      <c r="H1177" s="344"/>
      <c r="I1177" s="344"/>
      <c r="J1177" s="344"/>
      <c r="K1177" s="344"/>
    </row>
    <row r="1178" spans="1:11" s="343" customFormat="1" ht="15.75" x14ac:dyDescent="0.25">
      <c r="A1178" s="345" t="s">
        <v>377</v>
      </c>
      <c r="B1178" s="346" t="s">
        <v>251</v>
      </c>
      <c r="C1178" s="346" t="s">
        <v>168</v>
      </c>
      <c r="D1178" s="346" t="s">
        <v>518</v>
      </c>
      <c r="E1178" s="346"/>
      <c r="F1178" s="295">
        <f>F1179+F1181+F1183</f>
        <v>5832.2129699999996</v>
      </c>
      <c r="G1178" s="344"/>
      <c r="H1178" s="344"/>
      <c r="I1178" s="344"/>
      <c r="J1178" s="344"/>
      <c r="K1178" s="344"/>
    </row>
    <row r="1179" spans="1:11" s="343" customFormat="1" ht="78.75" x14ac:dyDescent="0.25">
      <c r="A1179" s="345" t="s">
        <v>119</v>
      </c>
      <c r="B1179" s="346" t="s">
        <v>251</v>
      </c>
      <c r="C1179" s="346" t="s">
        <v>168</v>
      </c>
      <c r="D1179" s="346" t="s">
        <v>518</v>
      </c>
      <c r="E1179" s="346" t="s">
        <v>120</v>
      </c>
      <c r="F1179" s="295">
        <f>F1180</f>
        <v>5634.7773699999998</v>
      </c>
      <c r="G1179" s="344"/>
      <c r="H1179" s="344"/>
      <c r="I1179" s="344"/>
      <c r="J1179" s="344"/>
      <c r="K1179" s="344"/>
    </row>
    <row r="1180" spans="1:11" s="343" customFormat="1" ht="31.5" x14ac:dyDescent="0.25">
      <c r="A1180" s="345" t="s">
        <v>212</v>
      </c>
      <c r="B1180" s="346" t="s">
        <v>251</v>
      </c>
      <c r="C1180" s="346" t="s">
        <v>168</v>
      </c>
      <c r="D1180" s="346" t="s">
        <v>518</v>
      </c>
      <c r="E1180" s="346" t="s">
        <v>156</v>
      </c>
      <c r="F1180" s="295">
        <f>'Пр.4 ведом.22'!G1026</f>
        <v>5634.7773699999998</v>
      </c>
      <c r="G1180" s="344"/>
      <c r="H1180" s="344"/>
      <c r="I1180" s="344"/>
      <c r="J1180" s="344"/>
      <c r="K1180" s="344"/>
    </row>
    <row r="1181" spans="1:11" s="343" customFormat="1" ht="31.5" x14ac:dyDescent="0.25">
      <c r="A1181" s="345" t="s">
        <v>123</v>
      </c>
      <c r="B1181" s="346" t="s">
        <v>251</v>
      </c>
      <c r="C1181" s="346" t="s">
        <v>168</v>
      </c>
      <c r="D1181" s="346" t="s">
        <v>518</v>
      </c>
      <c r="E1181" s="346" t="s">
        <v>124</v>
      </c>
      <c r="F1181" s="295">
        <f>F1182</f>
        <v>192.55</v>
      </c>
      <c r="G1181" s="344"/>
      <c r="H1181" s="344"/>
      <c r="I1181" s="344"/>
      <c r="J1181" s="344"/>
      <c r="K1181" s="344"/>
    </row>
    <row r="1182" spans="1:11" s="343" customFormat="1" ht="47.25" x14ac:dyDescent="0.25">
      <c r="A1182" s="345" t="s">
        <v>125</v>
      </c>
      <c r="B1182" s="346" t="s">
        <v>251</v>
      </c>
      <c r="C1182" s="346" t="s">
        <v>168</v>
      </c>
      <c r="D1182" s="346" t="s">
        <v>518</v>
      </c>
      <c r="E1182" s="346" t="s">
        <v>126</v>
      </c>
      <c r="F1182" s="295">
        <f>'Пр.4 ведом.22'!G1028</f>
        <v>192.55</v>
      </c>
      <c r="G1182" s="344"/>
      <c r="H1182" s="344"/>
      <c r="I1182" s="344"/>
      <c r="J1182" s="344"/>
      <c r="K1182" s="344"/>
    </row>
    <row r="1183" spans="1:11" s="343" customFormat="1" ht="15.75" x14ac:dyDescent="0.25">
      <c r="A1183" s="345" t="s">
        <v>127</v>
      </c>
      <c r="B1183" s="346" t="s">
        <v>251</v>
      </c>
      <c r="C1183" s="346" t="s">
        <v>168</v>
      </c>
      <c r="D1183" s="346" t="s">
        <v>518</v>
      </c>
      <c r="E1183" s="346" t="s">
        <v>134</v>
      </c>
      <c r="F1183" s="295">
        <f>F1184</f>
        <v>4.8855999999999966</v>
      </c>
      <c r="G1183" s="344"/>
      <c r="H1183" s="344"/>
      <c r="I1183" s="344"/>
      <c r="J1183" s="344"/>
      <c r="K1183" s="344"/>
    </row>
    <row r="1184" spans="1:11" s="343" customFormat="1" ht="15.75" x14ac:dyDescent="0.25">
      <c r="A1184" s="345" t="s">
        <v>280</v>
      </c>
      <c r="B1184" s="346" t="s">
        <v>251</v>
      </c>
      <c r="C1184" s="346" t="s">
        <v>168</v>
      </c>
      <c r="D1184" s="346" t="s">
        <v>518</v>
      </c>
      <c r="E1184" s="346" t="s">
        <v>130</v>
      </c>
      <c r="F1184" s="295">
        <f>'Пр.4 ведом.22'!G1030</f>
        <v>4.8855999999999966</v>
      </c>
      <c r="G1184" s="344"/>
      <c r="H1184" s="344"/>
      <c r="I1184" s="344"/>
      <c r="J1184" s="344"/>
      <c r="K1184" s="344"/>
    </row>
    <row r="1185" spans="1:6" ht="47.25" x14ac:dyDescent="0.25">
      <c r="A1185" s="340" t="s">
        <v>870</v>
      </c>
      <c r="B1185" s="299" t="s">
        <v>251</v>
      </c>
      <c r="C1185" s="299" t="s">
        <v>168</v>
      </c>
      <c r="D1185" s="6" t="s">
        <v>249</v>
      </c>
      <c r="E1185" s="299"/>
      <c r="F1185" s="294">
        <f>F1186</f>
        <v>2700</v>
      </c>
    </row>
    <row r="1186" spans="1:6" ht="33.75" customHeight="1" x14ac:dyDescent="0.25">
      <c r="A1186" s="34" t="s">
        <v>514</v>
      </c>
      <c r="B1186" s="299" t="s">
        <v>251</v>
      </c>
      <c r="C1186" s="299" t="s">
        <v>168</v>
      </c>
      <c r="D1186" s="6" t="s">
        <v>796</v>
      </c>
      <c r="E1186" s="299"/>
      <c r="F1186" s="294">
        <f>F1187</f>
        <v>2700</v>
      </c>
    </row>
    <row r="1187" spans="1:6" ht="15.75" x14ac:dyDescent="0.25">
      <c r="A1187" s="20" t="s">
        <v>515</v>
      </c>
      <c r="B1187" s="346" t="s">
        <v>251</v>
      </c>
      <c r="C1187" s="346" t="s">
        <v>168</v>
      </c>
      <c r="D1187" s="341" t="s">
        <v>797</v>
      </c>
      <c r="E1187" s="346"/>
      <c r="F1187" s="246">
        <f>F1188+F1190</f>
        <v>2700</v>
      </c>
    </row>
    <row r="1188" spans="1:6" ht="78.75" x14ac:dyDescent="0.25">
      <c r="A1188" s="345" t="s">
        <v>119</v>
      </c>
      <c r="B1188" s="346" t="s">
        <v>251</v>
      </c>
      <c r="C1188" s="346" t="s">
        <v>168</v>
      </c>
      <c r="D1188" s="341" t="s">
        <v>797</v>
      </c>
      <c r="E1188" s="346" t="s">
        <v>120</v>
      </c>
      <c r="F1188" s="246">
        <f>F1189</f>
        <v>2200</v>
      </c>
    </row>
    <row r="1189" spans="1:6" ht="21.75" customHeight="1" x14ac:dyDescent="0.25">
      <c r="A1189" s="345" t="s">
        <v>212</v>
      </c>
      <c r="B1189" s="346" t="s">
        <v>251</v>
      </c>
      <c r="C1189" s="346" t="s">
        <v>168</v>
      </c>
      <c r="D1189" s="341" t="s">
        <v>797</v>
      </c>
      <c r="E1189" s="346" t="s">
        <v>156</v>
      </c>
      <c r="F1189" s="246">
        <f>'Пр.4 ведом.22'!G1046</f>
        <v>2200</v>
      </c>
    </row>
    <row r="1190" spans="1:6" ht="36" customHeight="1" x14ac:dyDescent="0.25">
      <c r="A1190" s="20" t="s">
        <v>123</v>
      </c>
      <c r="B1190" s="346" t="s">
        <v>251</v>
      </c>
      <c r="C1190" s="346" t="s">
        <v>168</v>
      </c>
      <c r="D1190" s="341" t="s">
        <v>797</v>
      </c>
      <c r="E1190" s="346" t="s">
        <v>124</v>
      </c>
      <c r="F1190" s="246">
        <f>F1191</f>
        <v>500</v>
      </c>
    </row>
    <row r="1191" spans="1:6" ht="47.25" x14ac:dyDescent="0.25">
      <c r="A1191" s="20" t="s">
        <v>125</v>
      </c>
      <c r="B1191" s="346" t="s">
        <v>251</v>
      </c>
      <c r="C1191" s="346" t="s">
        <v>168</v>
      </c>
      <c r="D1191" s="341" t="s">
        <v>797</v>
      </c>
      <c r="E1191" s="346" t="s">
        <v>126</v>
      </c>
      <c r="F1191" s="295">
        <f>'Пр.4 ведом.22'!G1048</f>
        <v>500</v>
      </c>
    </row>
    <row r="1192" spans="1:6" ht="15.75" x14ac:dyDescent="0.25">
      <c r="A1192" s="340" t="s">
        <v>288</v>
      </c>
      <c r="B1192" s="6" t="s">
        <v>171</v>
      </c>
      <c r="C1192" s="341"/>
      <c r="D1192" s="341"/>
      <c r="E1192" s="341"/>
      <c r="F1192" s="294">
        <f t="shared" ref="F1192" si="92">F1193</f>
        <v>5749.9749700000011</v>
      </c>
    </row>
    <row r="1193" spans="1:6" ht="15.75" x14ac:dyDescent="0.25">
      <c r="A1193" s="340" t="s">
        <v>289</v>
      </c>
      <c r="B1193" s="6" t="s">
        <v>171</v>
      </c>
      <c r="C1193" s="6" t="s">
        <v>158</v>
      </c>
      <c r="D1193" s="6"/>
      <c r="E1193" s="6"/>
      <c r="F1193" s="294">
        <f>F1194+F1206</f>
        <v>5749.9749700000011</v>
      </c>
    </row>
    <row r="1194" spans="1:6" ht="15.75" x14ac:dyDescent="0.25">
      <c r="A1194" s="298" t="s">
        <v>133</v>
      </c>
      <c r="B1194" s="299" t="s">
        <v>171</v>
      </c>
      <c r="C1194" s="299" t="s">
        <v>158</v>
      </c>
      <c r="D1194" s="299" t="s">
        <v>189</v>
      </c>
      <c r="E1194" s="299"/>
      <c r="F1194" s="294">
        <f>F1195</f>
        <v>5671.9749700000011</v>
      </c>
    </row>
    <row r="1195" spans="1:6" ht="15.75" x14ac:dyDescent="0.25">
      <c r="A1195" s="298" t="s">
        <v>517</v>
      </c>
      <c r="B1195" s="299" t="s">
        <v>171</v>
      </c>
      <c r="C1195" s="299" t="s">
        <v>158</v>
      </c>
      <c r="D1195" s="299" t="s">
        <v>741</v>
      </c>
      <c r="E1195" s="299"/>
      <c r="F1195" s="294">
        <f>F1196+F1203</f>
        <v>5671.9749700000011</v>
      </c>
    </row>
    <row r="1196" spans="1:6" ht="15.75" x14ac:dyDescent="0.25">
      <c r="A1196" s="345" t="s">
        <v>377</v>
      </c>
      <c r="B1196" s="346" t="s">
        <v>171</v>
      </c>
      <c r="C1196" s="346" t="s">
        <v>158</v>
      </c>
      <c r="D1196" s="346" t="s">
        <v>742</v>
      </c>
      <c r="E1196" s="346"/>
      <c r="F1196" s="295">
        <f>F1197+F1199+F1201</f>
        <v>5671.9749700000011</v>
      </c>
    </row>
    <row r="1197" spans="1:6" ht="78.75" x14ac:dyDescent="0.25">
      <c r="A1197" s="345" t="s">
        <v>119</v>
      </c>
      <c r="B1197" s="346" t="s">
        <v>171</v>
      </c>
      <c r="C1197" s="346" t="s">
        <v>158</v>
      </c>
      <c r="D1197" s="346" t="s">
        <v>742</v>
      </c>
      <c r="E1197" s="346" t="s">
        <v>120</v>
      </c>
      <c r="F1197" s="295">
        <f>F1198</f>
        <v>4735.3232400000006</v>
      </c>
    </row>
    <row r="1198" spans="1:6" ht="15.75" x14ac:dyDescent="0.25">
      <c r="A1198" s="345" t="s">
        <v>155</v>
      </c>
      <c r="B1198" s="346" t="s">
        <v>171</v>
      </c>
      <c r="C1198" s="346" t="s">
        <v>158</v>
      </c>
      <c r="D1198" s="346" t="s">
        <v>742</v>
      </c>
      <c r="E1198" s="346" t="s">
        <v>156</v>
      </c>
      <c r="F1198" s="295">
        <f>'Пр.4 ведом.22'!G583</f>
        <v>4735.3232400000006</v>
      </c>
    </row>
    <row r="1199" spans="1:6" ht="31.5" x14ac:dyDescent="0.25">
      <c r="A1199" s="345" t="s">
        <v>123</v>
      </c>
      <c r="B1199" s="346" t="s">
        <v>171</v>
      </c>
      <c r="C1199" s="346" t="s">
        <v>158</v>
      </c>
      <c r="D1199" s="346" t="s">
        <v>742</v>
      </c>
      <c r="E1199" s="346" t="s">
        <v>124</v>
      </c>
      <c r="F1199" s="295">
        <f t="shared" ref="F1199" si="93">F1200</f>
        <v>753.14800000000002</v>
      </c>
    </row>
    <row r="1200" spans="1:6" ht="47.25" x14ac:dyDescent="0.25">
      <c r="A1200" s="345" t="s">
        <v>125</v>
      </c>
      <c r="B1200" s="346" t="s">
        <v>171</v>
      </c>
      <c r="C1200" s="346" t="s">
        <v>158</v>
      </c>
      <c r="D1200" s="346" t="s">
        <v>742</v>
      </c>
      <c r="E1200" s="346" t="s">
        <v>126</v>
      </c>
      <c r="F1200" s="295">
        <f>'Пр.4 ведом.22'!G585</f>
        <v>753.14800000000002</v>
      </c>
    </row>
    <row r="1201" spans="1:11" ht="15.75" x14ac:dyDescent="0.25">
      <c r="A1201" s="345" t="s">
        <v>127</v>
      </c>
      <c r="B1201" s="346" t="s">
        <v>171</v>
      </c>
      <c r="C1201" s="346" t="s">
        <v>158</v>
      </c>
      <c r="D1201" s="346" t="s">
        <v>742</v>
      </c>
      <c r="E1201" s="346" t="s">
        <v>134</v>
      </c>
      <c r="F1201" s="246">
        <f t="shared" ref="F1201" si="94">F1202</f>
        <v>183.50372999999999</v>
      </c>
    </row>
    <row r="1202" spans="1:11" ht="15.75" x14ac:dyDescent="0.25">
      <c r="A1202" s="345" t="s">
        <v>280</v>
      </c>
      <c r="B1202" s="346" t="s">
        <v>171</v>
      </c>
      <c r="C1202" s="346" t="s">
        <v>158</v>
      </c>
      <c r="D1202" s="346" t="s">
        <v>742</v>
      </c>
      <c r="E1202" s="346" t="s">
        <v>130</v>
      </c>
      <c r="F1202" s="246">
        <f>'Пр.4 ведом.22'!G587</f>
        <v>183.50372999999999</v>
      </c>
    </row>
    <row r="1203" spans="1:11" ht="47.25" hidden="1" x14ac:dyDescent="0.25">
      <c r="A1203" s="345" t="s">
        <v>414</v>
      </c>
      <c r="B1203" s="346" t="s">
        <v>171</v>
      </c>
      <c r="C1203" s="346" t="s">
        <v>158</v>
      </c>
      <c r="D1203" s="346" t="s">
        <v>824</v>
      </c>
      <c r="E1203" s="346"/>
      <c r="F1203" s="295">
        <f>F1204</f>
        <v>0</v>
      </c>
    </row>
    <row r="1204" spans="1:11" ht="78.75" hidden="1" x14ac:dyDescent="0.25">
      <c r="A1204" s="345" t="s">
        <v>119</v>
      </c>
      <c r="B1204" s="346" t="s">
        <v>171</v>
      </c>
      <c r="C1204" s="346" t="s">
        <v>158</v>
      </c>
      <c r="D1204" s="346" t="s">
        <v>824</v>
      </c>
      <c r="E1204" s="346" t="s">
        <v>120</v>
      </c>
      <c r="F1204" s="295">
        <f>F1205</f>
        <v>0</v>
      </c>
    </row>
    <row r="1205" spans="1:11" ht="31.5" hidden="1" x14ac:dyDescent="0.25">
      <c r="A1205" s="345" t="s">
        <v>121</v>
      </c>
      <c r="B1205" s="346" t="s">
        <v>171</v>
      </c>
      <c r="C1205" s="346" t="s">
        <v>158</v>
      </c>
      <c r="D1205" s="346" t="s">
        <v>824</v>
      </c>
      <c r="E1205" s="346" t="s">
        <v>156</v>
      </c>
      <c r="F1205" s="295">
        <f>'Пр.4 ведом.22'!G591</f>
        <v>0</v>
      </c>
    </row>
    <row r="1206" spans="1:11" ht="47.25" x14ac:dyDescent="0.25">
      <c r="A1206" s="340" t="s">
        <v>856</v>
      </c>
      <c r="B1206" s="299" t="s">
        <v>171</v>
      </c>
      <c r="C1206" s="299" t="s">
        <v>158</v>
      </c>
      <c r="D1206" s="299" t="s">
        <v>339</v>
      </c>
      <c r="E1206" s="304"/>
      <c r="F1206" s="294">
        <f>F1207</f>
        <v>78</v>
      </c>
    </row>
    <row r="1207" spans="1:11" s="128" customFormat="1" ht="47.25" x14ac:dyDescent="0.25">
      <c r="A1207" s="340" t="s">
        <v>461</v>
      </c>
      <c r="B1207" s="299" t="s">
        <v>171</v>
      </c>
      <c r="C1207" s="299" t="s">
        <v>158</v>
      </c>
      <c r="D1207" s="299" t="s">
        <v>459</v>
      </c>
      <c r="E1207" s="304"/>
      <c r="F1207" s="294">
        <f>F1208</f>
        <v>78</v>
      </c>
      <c r="G1207" s="344"/>
      <c r="H1207" s="344"/>
      <c r="I1207" s="344"/>
      <c r="J1207" s="344"/>
      <c r="K1207" s="344"/>
    </row>
    <row r="1208" spans="1:11" s="128" customFormat="1" ht="47.25" x14ac:dyDescent="0.25">
      <c r="A1208" s="67" t="s">
        <v>565</v>
      </c>
      <c r="B1208" s="346" t="s">
        <v>171</v>
      </c>
      <c r="C1208" s="346" t="s">
        <v>158</v>
      </c>
      <c r="D1208" s="346" t="s">
        <v>460</v>
      </c>
      <c r="E1208" s="301"/>
      <c r="F1208" s="295">
        <f>F1209</f>
        <v>78</v>
      </c>
      <c r="G1208" s="344"/>
      <c r="H1208" s="344"/>
      <c r="I1208" s="344"/>
      <c r="J1208" s="344"/>
      <c r="K1208" s="344"/>
    </row>
    <row r="1209" spans="1:11" s="128" customFormat="1" ht="31.5" x14ac:dyDescent="0.25">
      <c r="A1209" s="345" t="s">
        <v>123</v>
      </c>
      <c r="B1209" s="346" t="s">
        <v>171</v>
      </c>
      <c r="C1209" s="346" t="s">
        <v>158</v>
      </c>
      <c r="D1209" s="346" t="s">
        <v>460</v>
      </c>
      <c r="E1209" s="301" t="s">
        <v>124</v>
      </c>
      <c r="F1209" s="295">
        <f>F1210</f>
        <v>78</v>
      </c>
      <c r="G1209" s="344"/>
      <c r="H1209" s="344"/>
      <c r="I1209" s="344"/>
      <c r="J1209" s="344"/>
      <c r="K1209" s="344"/>
    </row>
    <row r="1210" spans="1:11" s="128" customFormat="1" ht="47.25" x14ac:dyDescent="0.25">
      <c r="A1210" s="345" t="s">
        <v>125</v>
      </c>
      <c r="B1210" s="346" t="s">
        <v>171</v>
      </c>
      <c r="C1210" s="346" t="s">
        <v>158</v>
      </c>
      <c r="D1210" s="346" t="s">
        <v>460</v>
      </c>
      <c r="E1210" s="301" t="s">
        <v>126</v>
      </c>
      <c r="F1210" s="295">
        <f>'Пр.4 ведом.22'!G596</f>
        <v>78</v>
      </c>
      <c r="G1210" s="344"/>
      <c r="H1210" s="344"/>
      <c r="I1210" s="344"/>
      <c r="J1210" s="344"/>
      <c r="K1210" s="344"/>
    </row>
    <row r="1211" spans="1:11" ht="15.75" x14ac:dyDescent="0.25">
      <c r="A1211" s="37" t="s">
        <v>290</v>
      </c>
      <c r="B1211" s="6"/>
      <c r="C1211" s="6"/>
      <c r="D1211" s="6"/>
      <c r="E1211" s="6"/>
      <c r="F1211" s="250">
        <f>F8+F255+F295+F357+F579+F895+F1101+F1192+F1039+F572</f>
        <v>978688.86240999983</v>
      </c>
      <c r="H1211" s="71"/>
    </row>
    <row r="1212" spans="1:11" x14ac:dyDescent="0.25">
      <c r="A1212" s="655"/>
      <c r="B1212" s="655"/>
      <c r="C1212" s="655"/>
      <c r="D1212" s="655"/>
      <c r="E1212" s="655"/>
      <c r="F1212" s="653">
        <f>'Пр.4 ведом.22'!G1359</f>
        <v>978688.86740999995</v>
      </c>
    </row>
    <row r="1213" spans="1:11" x14ac:dyDescent="0.25">
      <c r="A1213" s="672" t="s">
        <v>1368</v>
      </c>
      <c r="B1213" s="672"/>
      <c r="C1213" s="672"/>
      <c r="D1213" s="672"/>
      <c r="E1213" s="672"/>
      <c r="F1213" s="653">
        <f>F1212-F1211</f>
        <v>5.0000001210719347E-3</v>
      </c>
    </row>
  </sheetData>
  <mergeCells count="5">
    <mergeCell ref="A1213:E1213"/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6"/>
  <sheetViews>
    <sheetView view="pageBreakPreview" zoomScaleNormal="100" zoomScaleSheetLayoutView="100" workbookViewId="0">
      <selection activeCell="K659" sqref="K659"/>
    </sheetView>
  </sheetViews>
  <sheetFormatPr defaultColWidth="9.140625" defaultRowHeight="15" x14ac:dyDescent="0.25"/>
  <cols>
    <col min="1" max="1" width="55.140625" style="344" customWidth="1"/>
    <col min="2" max="2" width="5.85546875" style="344" customWidth="1"/>
    <col min="3" max="3" width="5.42578125" style="344" customWidth="1"/>
    <col min="4" max="4" width="15.85546875" style="344" customWidth="1"/>
    <col min="5" max="5" width="7.140625" style="344" customWidth="1"/>
    <col min="6" max="7" width="14.28515625" style="71" customWidth="1"/>
    <col min="8" max="10" width="9.140625" style="344" customWidth="1"/>
    <col min="11" max="11" width="9.85546875" style="344" bestFit="1" customWidth="1"/>
    <col min="12" max="12" width="9.85546875" style="343" bestFit="1" customWidth="1"/>
    <col min="13" max="16384" width="9.140625" style="343"/>
  </cols>
  <sheetData>
    <row r="1" spans="1:12" ht="15.75" x14ac:dyDescent="0.25">
      <c r="A1" s="33"/>
      <c r="B1" s="33"/>
      <c r="C1" s="33"/>
      <c r="E1" s="429"/>
      <c r="F1" s="670" t="s">
        <v>1211</v>
      </c>
      <c r="G1" s="670"/>
    </row>
    <row r="2" spans="1:12" ht="15.75" x14ac:dyDescent="0.25">
      <c r="A2" s="33"/>
      <c r="B2" s="33"/>
      <c r="C2" s="33"/>
      <c r="E2" s="429"/>
      <c r="F2" s="670" t="s">
        <v>0</v>
      </c>
      <c r="G2" s="670"/>
    </row>
    <row r="3" spans="1:12" ht="18.75" customHeight="1" x14ac:dyDescent="0.25">
      <c r="A3" s="33"/>
      <c r="B3" s="33"/>
      <c r="C3" s="33"/>
      <c r="E3" s="429"/>
      <c r="F3" s="670" t="s">
        <v>1203</v>
      </c>
      <c r="G3" s="670"/>
    </row>
    <row r="4" spans="1:12" x14ac:dyDescent="0.25">
      <c r="A4" s="33"/>
      <c r="B4" s="33"/>
      <c r="C4" s="33"/>
      <c r="D4" s="33"/>
      <c r="E4" s="33"/>
    </row>
    <row r="5" spans="1:12" ht="63.75" customHeight="1" x14ac:dyDescent="0.25">
      <c r="A5" s="673" t="s">
        <v>1209</v>
      </c>
      <c r="B5" s="673"/>
      <c r="C5" s="673"/>
      <c r="D5" s="673"/>
      <c r="E5" s="673"/>
      <c r="F5" s="673"/>
      <c r="G5" s="673"/>
    </row>
    <row r="6" spans="1:12" x14ac:dyDescent="0.25">
      <c r="A6" s="33"/>
      <c r="B6" s="33"/>
      <c r="C6" s="33"/>
      <c r="D6" s="33"/>
      <c r="E6" s="33"/>
      <c r="F6" s="179"/>
      <c r="G6" s="179" t="s">
        <v>1</v>
      </c>
    </row>
    <row r="7" spans="1:12" ht="30.2" customHeight="1" x14ac:dyDescent="0.25">
      <c r="A7" s="146" t="s">
        <v>295</v>
      </c>
      <c r="B7" s="147" t="s">
        <v>110</v>
      </c>
      <c r="C7" s="147" t="s">
        <v>111</v>
      </c>
      <c r="D7" s="147" t="s">
        <v>112</v>
      </c>
      <c r="E7" s="147" t="s">
        <v>113</v>
      </c>
      <c r="F7" s="180" t="s">
        <v>1204</v>
      </c>
      <c r="G7" s="180" t="s">
        <v>1210</v>
      </c>
    </row>
    <row r="8" spans="1:12" ht="22.5" customHeight="1" x14ac:dyDescent="0.25">
      <c r="A8" s="198" t="s">
        <v>905</v>
      </c>
      <c r="B8" s="147"/>
      <c r="C8" s="147"/>
      <c r="D8" s="147"/>
      <c r="E8" s="147"/>
      <c r="F8" s="199">
        <f>'Пр.4.1 ведом.23-24 '!G9</f>
        <v>13679.9</v>
      </c>
      <c r="G8" s="199">
        <f>'Пр.4.1 ведом.23-24 '!H9</f>
        <v>28368.5</v>
      </c>
    </row>
    <row r="9" spans="1:12" ht="15.75" x14ac:dyDescent="0.25">
      <c r="A9" s="340" t="s">
        <v>115</v>
      </c>
      <c r="B9" s="6" t="s">
        <v>116</v>
      </c>
      <c r="C9" s="6"/>
      <c r="D9" s="6"/>
      <c r="E9" s="6"/>
      <c r="F9" s="294">
        <f>F10+F26+F42+F103+F142+F128+F136</f>
        <v>155799.01351000002</v>
      </c>
      <c r="G9" s="294">
        <f>G10+G26+G42+G103+G142+G128+G136</f>
        <v>161023.6</v>
      </c>
      <c r="H9" s="71"/>
      <c r="K9" s="149" t="e">
        <f>F9-F60-'Пр.4 ведом.22'!#REF!-'Пр.4 ведом.22'!#REF!</f>
        <v>#REF!</v>
      </c>
      <c r="L9" s="151" t="e">
        <f>F23+F60+F100+F216-'Пр.4 ведом.22'!#REF!-'Пр.4 ведом.22'!#REF!</f>
        <v>#REF!</v>
      </c>
    </row>
    <row r="10" spans="1:12" ht="47.25" x14ac:dyDescent="0.25">
      <c r="A10" s="340" t="s">
        <v>285</v>
      </c>
      <c r="B10" s="6" t="s">
        <v>116</v>
      </c>
      <c r="C10" s="6" t="s">
        <v>158</v>
      </c>
      <c r="D10" s="6"/>
      <c r="E10" s="6"/>
      <c r="F10" s="294">
        <f>F11+F21</f>
        <v>5300.4</v>
      </c>
      <c r="G10" s="294">
        <f>G11+G21</f>
        <v>5386.4</v>
      </c>
    </row>
    <row r="11" spans="1:12" ht="31.5" x14ac:dyDescent="0.25">
      <c r="A11" s="298" t="s">
        <v>486</v>
      </c>
      <c r="B11" s="6" t="s">
        <v>116</v>
      </c>
      <c r="C11" s="6" t="s">
        <v>158</v>
      </c>
      <c r="D11" s="6" t="s">
        <v>432</v>
      </c>
      <c r="E11" s="6"/>
      <c r="F11" s="294">
        <f>F12</f>
        <v>5299.9</v>
      </c>
      <c r="G11" s="294">
        <f>G12</f>
        <v>5385.9</v>
      </c>
    </row>
    <row r="12" spans="1:12" ht="15.75" x14ac:dyDescent="0.25">
      <c r="A12" s="298" t="s">
        <v>487</v>
      </c>
      <c r="B12" s="6" t="s">
        <v>116</v>
      </c>
      <c r="C12" s="6" t="s">
        <v>158</v>
      </c>
      <c r="D12" s="6" t="s">
        <v>433</v>
      </c>
      <c r="E12" s="6"/>
      <c r="F12" s="294">
        <f>F13+F18</f>
        <v>5299.9</v>
      </c>
      <c r="G12" s="294">
        <f>G13+G18</f>
        <v>5385.9</v>
      </c>
    </row>
    <row r="13" spans="1:12" ht="31.5" x14ac:dyDescent="0.25">
      <c r="A13" s="20" t="s">
        <v>286</v>
      </c>
      <c r="B13" s="341" t="s">
        <v>116</v>
      </c>
      <c r="C13" s="341" t="s">
        <v>158</v>
      </c>
      <c r="D13" s="341" t="s">
        <v>837</v>
      </c>
      <c r="E13" s="341"/>
      <c r="F13" s="295">
        <f t="shared" ref="F13:G13" si="0">F14+F16</f>
        <v>5299.9</v>
      </c>
      <c r="G13" s="295">
        <f t="shared" si="0"/>
        <v>5299.9</v>
      </c>
    </row>
    <row r="14" spans="1:12" ht="78.75" x14ac:dyDescent="0.25">
      <c r="A14" s="20" t="s">
        <v>119</v>
      </c>
      <c r="B14" s="341" t="s">
        <v>116</v>
      </c>
      <c r="C14" s="341" t="s">
        <v>158</v>
      </c>
      <c r="D14" s="341" t="s">
        <v>837</v>
      </c>
      <c r="E14" s="341" t="s">
        <v>120</v>
      </c>
      <c r="F14" s="246">
        <f t="shared" ref="F14:G14" si="1">F15</f>
        <v>5209.8999999999996</v>
      </c>
      <c r="G14" s="246">
        <f t="shared" si="1"/>
        <v>5209.8999999999996</v>
      </c>
    </row>
    <row r="15" spans="1:12" ht="31.5" x14ac:dyDescent="0.25">
      <c r="A15" s="20" t="s">
        <v>121</v>
      </c>
      <c r="B15" s="341" t="s">
        <v>116</v>
      </c>
      <c r="C15" s="341" t="s">
        <v>158</v>
      </c>
      <c r="D15" s="341" t="s">
        <v>837</v>
      </c>
      <c r="E15" s="341" t="s">
        <v>122</v>
      </c>
      <c r="F15" s="246">
        <f>'Пр.4.1 ведом.23-24 '!G38</f>
        <v>5209.8999999999996</v>
      </c>
      <c r="G15" s="246">
        <f>'Пр.4.1 ведом.23-24 '!H38</f>
        <v>5209.8999999999996</v>
      </c>
    </row>
    <row r="16" spans="1:12" ht="31.5" x14ac:dyDescent="0.25">
      <c r="A16" s="20" t="s">
        <v>123</v>
      </c>
      <c r="B16" s="341" t="s">
        <v>116</v>
      </c>
      <c r="C16" s="341" t="s">
        <v>158</v>
      </c>
      <c r="D16" s="341" t="s">
        <v>837</v>
      </c>
      <c r="E16" s="341" t="s">
        <v>124</v>
      </c>
      <c r="F16" s="19">
        <f t="shared" ref="F16:G16" si="2">F17</f>
        <v>90</v>
      </c>
      <c r="G16" s="19">
        <f t="shared" si="2"/>
        <v>90</v>
      </c>
    </row>
    <row r="17" spans="1:7" ht="31.5" x14ac:dyDescent="0.25">
      <c r="A17" s="20" t="s">
        <v>125</v>
      </c>
      <c r="B17" s="341" t="s">
        <v>116</v>
      </c>
      <c r="C17" s="341" t="s">
        <v>158</v>
      </c>
      <c r="D17" s="341" t="s">
        <v>837</v>
      </c>
      <c r="E17" s="341" t="s">
        <v>126</v>
      </c>
      <c r="F17" s="19">
        <f>'Пр.4.1 ведом.23-24 '!G40</f>
        <v>90</v>
      </c>
      <c r="G17" s="19">
        <f>'Пр.4.1 ведом.23-24 '!H40</f>
        <v>90</v>
      </c>
    </row>
    <row r="18" spans="1:7" ht="47.25" x14ac:dyDescent="0.25">
      <c r="A18" s="345" t="s">
        <v>414</v>
      </c>
      <c r="B18" s="341" t="s">
        <v>116</v>
      </c>
      <c r="C18" s="341" t="s">
        <v>158</v>
      </c>
      <c r="D18" s="341" t="s">
        <v>436</v>
      </c>
      <c r="E18" s="341"/>
      <c r="F18" s="19">
        <f>F19</f>
        <v>0</v>
      </c>
      <c r="G18" s="19">
        <f>G19</f>
        <v>86</v>
      </c>
    </row>
    <row r="19" spans="1:7" ht="78.75" x14ac:dyDescent="0.25">
      <c r="A19" s="345" t="s">
        <v>119</v>
      </c>
      <c r="B19" s="341" t="s">
        <v>116</v>
      </c>
      <c r="C19" s="341" t="s">
        <v>158</v>
      </c>
      <c r="D19" s="341" t="s">
        <v>436</v>
      </c>
      <c r="E19" s="341" t="s">
        <v>120</v>
      </c>
      <c r="F19" s="19">
        <f>F20</f>
        <v>0</v>
      </c>
      <c r="G19" s="19">
        <f>G20</f>
        <v>86</v>
      </c>
    </row>
    <row r="20" spans="1:7" ht="31.5" x14ac:dyDescent="0.25">
      <c r="A20" s="345" t="s">
        <v>121</v>
      </c>
      <c r="B20" s="341" t="s">
        <v>116</v>
      </c>
      <c r="C20" s="341" t="s">
        <v>158</v>
      </c>
      <c r="D20" s="341" t="s">
        <v>436</v>
      </c>
      <c r="E20" s="341" t="s">
        <v>122</v>
      </c>
      <c r="F20" s="19">
        <f>'Пр.4.1 ведом.23-24 '!G43</f>
        <v>0</v>
      </c>
      <c r="G20" s="19">
        <f>'Пр.4.1 ведом.23-24 '!H43</f>
        <v>86</v>
      </c>
    </row>
    <row r="21" spans="1:7" ht="47.25" x14ac:dyDescent="0.25">
      <c r="A21" s="298" t="s">
        <v>842</v>
      </c>
      <c r="B21" s="299" t="s">
        <v>116</v>
      </c>
      <c r="C21" s="6" t="s">
        <v>158</v>
      </c>
      <c r="D21" s="299" t="s">
        <v>143</v>
      </c>
      <c r="E21" s="6"/>
      <c r="F21" s="247">
        <f t="shared" ref="F21:G24" si="3">F22</f>
        <v>0.5</v>
      </c>
      <c r="G21" s="247">
        <f t="shared" si="3"/>
        <v>0.5</v>
      </c>
    </row>
    <row r="22" spans="1:7" ht="63" x14ac:dyDescent="0.25">
      <c r="A22" s="141" t="s">
        <v>418</v>
      </c>
      <c r="B22" s="299" t="s">
        <v>116</v>
      </c>
      <c r="C22" s="6" t="s">
        <v>158</v>
      </c>
      <c r="D22" s="6" t="s">
        <v>424</v>
      </c>
      <c r="E22" s="6"/>
      <c r="F22" s="247">
        <f t="shared" si="3"/>
        <v>0.5</v>
      </c>
      <c r="G22" s="247">
        <f t="shared" si="3"/>
        <v>0.5</v>
      </c>
    </row>
    <row r="23" spans="1:7" ht="47.25" x14ac:dyDescent="0.25">
      <c r="A23" s="22" t="s">
        <v>334</v>
      </c>
      <c r="B23" s="346" t="s">
        <v>116</v>
      </c>
      <c r="C23" s="346" t="s">
        <v>158</v>
      </c>
      <c r="D23" s="341" t="s">
        <v>554</v>
      </c>
      <c r="E23" s="346"/>
      <c r="F23" s="300">
        <f t="shared" si="3"/>
        <v>0.5</v>
      </c>
      <c r="G23" s="300">
        <f t="shared" si="3"/>
        <v>0.5</v>
      </c>
    </row>
    <row r="24" spans="1:7" ht="31.5" x14ac:dyDescent="0.25">
      <c r="A24" s="345" t="s">
        <v>123</v>
      </c>
      <c r="B24" s="346" t="s">
        <v>116</v>
      </c>
      <c r="C24" s="346" t="s">
        <v>158</v>
      </c>
      <c r="D24" s="341" t="s">
        <v>554</v>
      </c>
      <c r="E24" s="346" t="s">
        <v>124</v>
      </c>
      <c r="F24" s="300">
        <f t="shared" si="3"/>
        <v>0.5</v>
      </c>
      <c r="G24" s="300">
        <f t="shared" si="3"/>
        <v>0.5</v>
      </c>
    </row>
    <row r="25" spans="1:7" ht="47.25" x14ac:dyDescent="0.25">
      <c r="A25" s="345" t="s">
        <v>125</v>
      </c>
      <c r="B25" s="346" t="s">
        <v>116</v>
      </c>
      <c r="C25" s="346" t="s">
        <v>158</v>
      </c>
      <c r="D25" s="341" t="s">
        <v>554</v>
      </c>
      <c r="E25" s="346" t="s">
        <v>126</v>
      </c>
      <c r="F25" s="300">
        <f>'Пр.4.1 ведом.23-24 '!G48</f>
        <v>0.5</v>
      </c>
      <c r="G25" s="300">
        <f>'Пр.4.1 ведом.23-24 '!H48</f>
        <v>0.5</v>
      </c>
    </row>
    <row r="26" spans="1:7" ht="63" x14ac:dyDescent="0.25">
      <c r="A26" s="340" t="s">
        <v>287</v>
      </c>
      <c r="B26" s="6" t="s">
        <v>116</v>
      </c>
      <c r="C26" s="6" t="s">
        <v>159</v>
      </c>
      <c r="D26" s="6"/>
      <c r="E26" s="6"/>
      <c r="F26" s="294">
        <f t="shared" ref="F26:G27" si="4">F27</f>
        <v>5970</v>
      </c>
      <c r="G26" s="294">
        <f t="shared" si="4"/>
        <v>5970</v>
      </c>
    </row>
    <row r="27" spans="1:7" ht="31.5" x14ac:dyDescent="0.25">
      <c r="A27" s="298" t="s">
        <v>486</v>
      </c>
      <c r="B27" s="6" t="s">
        <v>116</v>
      </c>
      <c r="C27" s="6" t="s">
        <v>159</v>
      </c>
      <c r="D27" s="6" t="s">
        <v>432</v>
      </c>
      <c r="E27" s="6"/>
      <c r="F27" s="294">
        <f t="shared" si="4"/>
        <v>5970</v>
      </c>
      <c r="G27" s="294">
        <f t="shared" si="4"/>
        <v>5970</v>
      </c>
    </row>
    <row r="28" spans="1:7" ht="31.5" x14ac:dyDescent="0.25">
      <c r="A28" s="298" t="s">
        <v>549</v>
      </c>
      <c r="B28" s="6" t="s">
        <v>116</v>
      </c>
      <c r="C28" s="6" t="s">
        <v>159</v>
      </c>
      <c r="D28" s="6" t="s">
        <v>550</v>
      </c>
      <c r="E28" s="6"/>
      <c r="F28" s="294">
        <f>F34+F39+F29</f>
        <v>5970</v>
      </c>
      <c r="G28" s="294">
        <f>G34+G39+G29</f>
        <v>5970</v>
      </c>
    </row>
    <row r="29" spans="1:7" ht="47.25" x14ac:dyDescent="0.25">
      <c r="A29" s="183" t="s">
        <v>866</v>
      </c>
      <c r="B29" s="346" t="s">
        <v>116</v>
      </c>
      <c r="C29" s="346" t="s">
        <v>159</v>
      </c>
      <c r="D29" s="346" t="s">
        <v>896</v>
      </c>
      <c r="E29" s="299"/>
      <c r="F29" s="295">
        <f>F30+F32</f>
        <v>4708.8999999999996</v>
      </c>
      <c r="G29" s="295">
        <f>G30+G32</f>
        <v>4708.8999999999996</v>
      </c>
    </row>
    <row r="30" spans="1:7" ht="78.75" x14ac:dyDescent="0.25">
      <c r="A30" s="345" t="s">
        <v>119</v>
      </c>
      <c r="B30" s="346" t="s">
        <v>116</v>
      </c>
      <c r="C30" s="346" t="s">
        <v>159</v>
      </c>
      <c r="D30" s="346" t="s">
        <v>896</v>
      </c>
      <c r="E30" s="346" t="s">
        <v>120</v>
      </c>
      <c r="F30" s="295">
        <f>F31</f>
        <v>4615.8999999999996</v>
      </c>
      <c r="G30" s="295">
        <f>G31</f>
        <v>4615.8999999999996</v>
      </c>
    </row>
    <row r="31" spans="1:7" ht="31.5" x14ac:dyDescent="0.25">
      <c r="A31" s="345" t="s">
        <v>121</v>
      </c>
      <c r="B31" s="346" t="s">
        <v>116</v>
      </c>
      <c r="C31" s="346" t="s">
        <v>159</v>
      </c>
      <c r="D31" s="346" t="s">
        <v>896</v>
      </c>
      <c r="E31" s="346" t="s">
        <v>122</v>
      </c>
      <c r="F31" s="295">
        <f>'Пр.4.1 ведом.23-24 '!G1201</f>
        <v>4615.8999999999996</v>
      </c>
      <c r="G31" s="295">
        <f>'Пр.4.1 ведом.23-24 '!H1201</f>
        <v>4615.8999999999996</v>
      </c>
    </row>
    <row r="32" spans="1:7" ht="31.5" x14ac:dyDescent="0.25">
      <c r="A32" s="345" t="s">
        <v>153</v>
      </c>
      <c r="B32" s="346" t="s">
        <v>116</v>
      </c>
      <c r="C32" s="346" t="s">
        <v>159</v>
      </c>
      <c r="D32" s="346" t="s">
        <v>896</v>
      </c>
      <c r="E32" s="346" t="s">
        <v>124</v>
      </c>
      <c r="F32" s="295">
        <f>F33</f>
        <v>93</v>
      </c>
      <c r="G32" s="295">
        <f>G33</f>
        <v>93</v>
      </c>
    </row>
    <row r="33" spans="1:8" ht="47.25" x14ac:dyDescent="0.25">
      <c r="A33" s="345" t="s">
        <v>125</v>
      </c>
      <c r="B33" s="346" t="s">
        <v>116</v>
      </c>
      <c r="C33" s="346" t="s">
        <v>159</v>
      </c>
      <c r="D33" s="346" t="s">
        <v>896</v>
      </c>
      <c r="E33" s="346" t="s">
        <v>126</v>
      </c>
      <c r="F33" s="295">
        <f>'Пр.4.1 ведом.23-24 '!G1203</f>
        <v>93</v>
      </c>
      <c r="G33" s="295">
        <f>'Пр.4.1 ведом.23-24 '!H1203</f>
        <v>93</v>
      </c>
    </row>
    <row r="34" spans="1:8" ht="31.5" x14ac:dyDescent="0.25">
      <c r="A34" s="345" t="s">
        <v>552</v>
      </c>
      <c r="B34" s="341" t="s">
        <v>116</v>
      </c>
      <c r="C34" s="341" t="s">
        <v>159</v>
      </c>
      <c r="D34" s="341" t="s">
        <v>553</v>
      </c>
      <c r="E34" s="341"/>
      <c r="F34" s="295">
        <f t="shared" ref="F34:G34" si="5">F35+F37</f>
        <v>1261.0999999999999</v>
      </c>
      <c r="G34" s="295">
        <f t="shared" si="5"/>
        <v>1261.0999999999999</v>
      </c>
    </row>
    <row r="35" spans="1:8" ht="78.75" x14ac:dyDescent="0.25">
      <c r="A35" s="20" t="s">
        <v>119</v>
      </c>
      <c r="B35" s="341" t="s">
        <v>116</v>
      </c>
      <c r="C35" s="341" t="s">
        <v>159</v>
      </c>
      <c r="D35" s="341" t="s">
        <v>553</v>
      </c>
      <c r="E35" s="341" t="s">
        <v>120</v>
      </c>
      <c r="F35" s="246">
        <f t="shared" ref="F35:G35" si="6">F36</f>
        <v>1261.0999999999999</v>
      </c>
      <c r="G35" s="246">
        <f t="shared" si="6"/>
        <v>1261.0999999999999</v>
      </c>
    </row>
    <row r="36" spans="1:8" ht="31.5" x14ac:dyDescent="0.25">
      <c r="A36" s="20" t="s">
        <v>121</v>
      </c>
      <c r="B36" s="341" t="s">
        <v>116</v>
      </c>
      <c r="C36" s="341" t="s">
        <v>159</v>
      </c>
      <c r="D36" s="341" t="s">
        <v>553</v>
      </c>
      <c r="E36" s="341" t="s">
        <v>122</v>
      </c>
      <c r="F36" s="246">
        <f>'Пр.4.1 ведом.23-24 '!G1206</f>
        <v>1261.0999999999999</v>
      </c>
      <c r="G36" s="246">
        <f>'Пр.4.1 ведом.23-24 '!H1206</f>
        <v>1261.0999999999999</v>
      </c>
    </row>
    <row r="37" spans="1:8" ht="31.5" hidden="1" x14ac:dyDescent="0.25">
      <c r="A37" s="20" t="s">
        <v>123</v>
      </c>
      <c r="B37" s="341" t="s">
        <v>116</v>
      </c>
      <c r="C37" s="341" t="s">
        <v>159</v>
      </c>
      <c r="D37" s="341" t="s">
        <v>553</v>
      </c>
      <c r="E37" s="341" t="s">
        <v>124</v>
      </c>
      <c r="F37" s="295">
        <f t="shared" ref="F37:G37" si="7">F38</f>
        <v>0</v>
      </c>
      <c r="G37" s="295">
        <f t="shared" si="7"/>
        <v>0</v>
      </c>
    </row>
    <row r="38" spans="1:8" ht="47.25" hidden="1" x14ac:dyDescent="0.25">
      <c r="A38" s="20" t="s">
        <v>125</v>
      </c>
      <c r="B38" s="341" t="s">
        <v>116</v>
      </c>
      <c r="C38" s="341" t="s">
        <v>159</v>
      </c>
      <c r="D38" s="341" t="s">
        <v>553</v>
      </c>
      <c r="E38" s="341" t="s">
        <v>126</v>
      </c>
      <c r="F38" s="295">
        <f>'Пр.4 ведом.22'!G1355</f>
        <v>0</v>
      </c>
      <c r="G38" s="295">
        <f>'Пр.4 ведом.22'!H1355</f>
        <v>0</v>
      </c>
    </row>
    <row r="39" spans="1:8" ht="30.2" hidden="1" customHeight="1" x14ac:dyDescent="0.25">
      <c r="A39" s="345" t="s">
        <v>414</v>
      </c>
      <c r="B39" s="341" t="s">
        <v>116</v>
      </c>
      <c r="C39" s="341" t="s">
        <v>159</v>
      </c>
      <c r="D39" s="341" t="s">
        <v>551</v>
      </c>
      <c r="E39" s="341"/>
      <c r="F39" s="19">
        <f>F40</f>
        <v>0</v>
      </c>
      <c r="G39" s="19">
        <f>G40</f>
        <v>0</v>
      </c>
    </row>
    <row r="40" spans="1:8" ht="85.7" hidden="1" customHeight="1" x14ac:dyDescent="0.25">
      <c r="A40" s="345" t="s">
        <v>119</v>
      </c>
      <c r="B40" s="341" t="s">
        <v>116</v>
      </c>
      <c r="C40" s="341" t="s">
        <v>159</v>
      </c>
      <c r="D40" s="341" t="s">
        <v>551</v>
      </c>
      <c r="E40" s="341" t="s">
        <v>120</v>
      </c>
      <c r="F40" s="19">
        <f>F41</f>
        <v>0</v>
      </c>
      <c r="G40" s="19">
        <f>G41</f>
        <v>0</v>
      </c>
    </row>
    <row r="41" spans="1:8" ht="38.25" hidden="1" customHeight="1" x14ac:dyDescent="0.25">
      <c r="A41" s="345" t="s">
        <v>121</v>
      </c>
      <c r="B41" s="341" t="s">
        <v>116</v>
      </c>
      <c r="C41" s="341" t="s">
        <v>159</v>
      </c>
      <c r="D41" s="341" t="s">
        <v>551</v>
      </c>
      <c r="E41" s="341" t="s">
        <v>122</v>
      </c>
      <c r="F41" s="19">
        <f>'Пр.4 ведом.22'!G1358</f>
        <v>0</v>
      </c>
      <c r="G41" s="19">
        <f>'Пр.4 ведом.22'!H1358</f>
        <v>0</v>
      </c>
    </row>
    <row r="42" spans="1:8" ht="70.5" customHeight="1" x14ac:dyDescent="0.25">
      <c r="A42" s="340" t="s">
        <v>138</v>
      </c>
      <c r="B42" s="6" t="s">
        <v>116</v>
      </c>
      <c r="C42" s="6" t="s">
        <v>139</v>
      </c>
      <c r="D42" s="6"/>
      <c r="E42" s="6"/>
      <c r="F42" s="294">
        <f>F43+F85</f>
        <v>63606.80000000001</v>
      </c>
      <c r="G42" s="294">
        <f>G43+G85</f>
        <v>69634.100000000006</v>
      </c>
      <c r="H42" s="71"/>
    </row>
    <row r="43" spans="1:8" ht="31.5" x14ac:dyDescent="0.25">
      <c r="A43" s="298" t="s">
        <v>486</v>
      </c>
      <c r="B43" s="6" t="s">
        <v>116</v>
      </c>
      <c r="C43" s="6" t="s">
        <v>139</v>
      </c>
      <c r="D43" s="6" t="s">
        <v>432</v>
      </c>
      <c r="E43" s="6"/>
      <c r="F43" s="294">
        <f>F44+F60</f>
        <v>63003.30000000001</v>
      </c>
      <c r="G43" s="294">
        <f>G44+G60</f>
        <v>69030.600000000006</v>
      </c>
    </row>
    <row r="44" spans="1:8" ht="15.75" x14ac:dyDescent="0.25">
      <c r="A44" s="298" t="s">
        <v>487</v>
      </c>
      <c r="B44" s="6" t="s">
        <v>116</v>
      </c>
      <c r="C44" s="6" t="s">
        <v>139</v>
      </c>
      <c r="D44" s="6" t="s">
        <v>433</v>
      </c>
      <c r="E44" s="6"/>
      <c r="F44" s="294">
        <f>F45+F54+F57</f>
        <v>59265.400000000009</v>
      </c>
      <c r="G44" s="294">
        <f>G45+G54+G57</f>
        <v>65144.400000000009</v>
      </c>
    </row>
    <row r="45" spans="1:8" ht="31.5" x14ac:dyDescent="0.25">
      <c r="A45" s="20" t="s">
        <v>466</v>
      </c>
      <c r="B45" s="341" t="s">
        <v>116</v>
      </c>
      <c r="C45" s="341" t="s">
        <v>139</v>
      </c>
      <c r="D45" s="341" t="s">
        <v>434</v>
      </c>
      <c r="E45" s="341"/>
      <c r="F45" s="295">
        <f>F46+F48+F52+F50</f>
        <v>54643.900000000009</v>
      </c>
      <c r="G45" s="295">
        <f>G46+G48+G52+G50</f>
        <v>60522.900000000009</v>
      </c>
    </row>
    <row r="46" spans="1:8" ht="78.75" x14ac:dyDescent="0.25">
      <c r="A46" s="20" t="s">
        <v>119</v>
      </c>
      <c r="B46" s="341" t="s">
        <v>116</v>
      </c>
      <c r="C46" s="341" t="s">
        <v>139</v>
      </c>
      <c r="D46" s="341" t="s">
        <v>434</v>
      </c>
      <c r="E46" s="341" t="s">
        <v>120</v>
      </c>
      <c r="F46" s="246">
        <f t="shared" ref="F46:G46" si="8">F47</f>
        <v>51367.600000000006</v>
      </c>
      <c r="G46" s="246">
        <f t="shared" si="8"/>
        <v>57246.600000000006</v>
      </c>
    </row>
    <row r="47" spans="1:8" ht="31.5" x14ac:dyDescent="0.25">
      <c r="A47" s="20" t="s">
        <v>121</v>
      </c>
      <c r="B47" s="341" t="s">
        <v>116</v>
      </c>
      <c r="C47" s="341" t="s">
        <v>139</v>
      </c>
      <c r="D47" s="341" t="s">
        <v>434</v>
      </c>
      <c r="E47" s="341" t="s">
        <v>122</v>
      </c>
      <c r="F47" s="246">
        <f>'Пр.4.1 ведом.23-24 '!G54+'Пр.4.1 ведом.23-24 '!G564</f>
        <v>51367.600000000006</v>
      </c>
      <c r="G47" s="246">
        <f>'Пр.4.1 ведом.23-24 '!H54+'Пр.4.1 ведом.23-24 '!H564</f>
        <v>57246.600000000006</v>
      </c>
    </row>
    <row r="48" spans="1:8" ht="31.5" x14ac:dyDescent="0.25">
      <c r="A48" s="20" t="s">
        <v>123</v>
      </c>
      <c r="B48" s="341" t="s">
        <v>116</v>
      </c>
      <c r="C48" s="341" t="s">
        <v>139</v>
      </c>
      <c r="D48" s="341" t="s">
        <v>434</v>
      </c>
      <c r="E48" s="341" t="s">
        <v>124</v>
      </c>
      <c r="F48" s="295">
        <f t="shared" ref="F48:G48" si="9">F49</f>
        <v>3070.3</v>
      </c>
      <c r="G48" s="295">
        <f t="shared" si="9"/>
        <v>3070.3</v>
      </c>
    </row>
    <row r="49" spans="1:7" ht="47.25" x14ac:dyDescent="0.25">
      <c r="A49" s="20" t="s">
        <v>125</v>
      </c>
      <c r="B49" s="341" t="s">
        <v>116</v>
      </c>
      <c r="C49" s="341" t="s">
        <v>139</v>
      </c>
      <c r="D49" s="341" t="s">
        <v>434</v>
      </c>
      <c r="E49" s="341" t="s">
        <v>126</v>
      </c>
      <c r="F49" s="295">
        <f>'Пр.4.1 ведом.23-24 '!G566+'Пр.4.1 ведом.23-24 '!G56</f>
        <v>3070.3</v>
      </c>
      <c r="G49" s="295">
        <f>'Пр.4.1 ведом.23-24 '!H566+'Пр.4.1 ведом.23-24 '!H56</f>
        <v>3070.3</v>
      </c>
    </row>
    <row r="50" spans="1:7" ht="21.2" hidden="1" customHeight="1" x14ac:dyDescent="0.25">
      <c r="A50" s="345" t="s">
        <v>177</v>
      </c>
      <c r="B50" s="341" t="s">
        <v>116</v>
      </c>
      <c r="C50" s="341" t="s">
        <v>139</v>
      </c>
      <c r="D50" s="341" t="s">
        <v>434</v>
      </c>
      <c r="E50" s="341" t="s">
        <v>178</v>
      </c>
      <c r="F50" s="295">
        <f>F51</f>
        <v>0</v>
      </c>
      <c r="G50" s="295">
        <f>G51</f>
        <v>0</v>
      </c>
    </row>
    <row r="51" spans="1:7" ht="31.5" hidden="1" x14ac:dyDescent="0.25">
      <c r="A51" s="345" t="s">
        <v>179</v>
      </c>
      <c r="B51" s="341" t="s">
        <v>116</v>
      </c>
      <c r="C51" s="341" t="s">
        <v>139</v>
      </c>
      <c r="D51" s="341" t="s">
        <v>434</v>
      </c>
      <c r="E51" s="341" t="s">
        <v>180</v>
      </c>
      <c r="F51" s="295">
        <f>'Пр.4 ведом.22'!G63</f>
        <v>0</v>
      </c>
      <c r="G51" s="295">
        <f>'Пр.4 ведом.22'!H63</f>
        <v>0</v>
      </c>
    </row>
    <row r="52" spans="1:7" ht="15.75" x14ac:dyDescent="0.25">
      <c r="A52" s="20" t="s">
        <v>127</v>
      </c>
      <c r="B52" s="341" t="s">
        <v>116</v>
      </c>
      <c r="C52" s="341" t="s">
        <v>139</v>
      </c>
      <c r="D52" s="341" t="s">
        <v>434</v>
      </c>
      <c r="E52" s="341" t="s">
        <v>134</v>
      </c>
      <c r="F52" s="295">
        <f t="shared" ref="F52:G52" si="10">F53</f>
        <v>206</v>
      </c>
      <c r="G52" s="295">
        <f t="shared" si="10"/>
        <v>206</v>
      </c>
    </row>
    <row r="53" spans="1:7" ht="15.75" x14ac:dyDescent="0.25">
      <c r="A53" s="20" t="s">
        <v>280</v>
      </c>
      <c r="B53" s="341" t="s">
        <v>116</v>
      </c>
      <c r="C53" s="341" t="s">
        <v>139</v>
      </c>
      <c r="D53" s="341" t="s">
        <v>434</v>
      </c>
      <c r="E53" s="341" t="s">
        <v>130</v>
      </c>
      <c r="F53" s="295">
        <f>'Пр.4.1 ведом.23-24 '!G60+'Пр.4.1 ведом.23-24 '!G568</f>
        <v>206</v>
      </c>
      <c r="G53" s="295">
        <f>'Пр.4.1 ведом.23-24 '!H60+'Пр.4.1 ведом.23-24 '!H568</f>
        <v>206</v>
      </c>
    </row>
    <row r="54" spans="1:7" ht="31.5" x14ac:dyDescent="0.25">
      <c r="A54" s="345" t="s">
        <v>140</v>
      </c>
      <c r="B54" s="346" t="s">
        <v>116</v>
      </c>
      <c r="C54" s="346" t="s">
        <v>139</v>
      </c>
      <c r="D54" s="341" t="s">
        <v>435</v>
      </c>
      <c r="E54" s="346"/>
      <c r="F54" s="246">
        <f>F55</f>
        <v>2614.9</v>
      </c>
      <c r="G54" s="246">
        <f>G55</f>
        <v>2614.9</v>
      </c>
    </row>
    <row r="55" spans="1:7" ht="78.75" x14ac:dyDescent="0.25">
      <c r="A55" s="345" t="s">
        <v>119</v>
      </c>
      <c r="B55" s="346" t="s">
        <v>116</v>
      </c>
      <c r="C55" s="346" t="s">
        <v>139</v>
      </c>
      <c r="D55" s="341" t="s">
        <v>435</v>
      </c>
      <c r="E55" s="346" t="s">
        <v>120</v>
      </c>
      <c r="F55" s="246">
        <f>F56</f>
        <v>2614.9</v>
      </c>
      <c r="G55" s="246">
        <f>G56</f>
        <v>2614.9</v>
      </c>
    </row>
    <row r="56" spans="1:7" ht="31.5" x14ac:dyDescent="0.25">
      <c r="A56" s="345" t="s">
        <v>121</v>
      </c>
      <c r="B56" s="346" t="s">
        <v>116</v>
      </c>
      <c r="C56" s="346" t="s">
        <v>139</v>
      </c>
      <c r="D56" s="341" t="s">
        <v>435</v>
      </c>
      <c r="E56" s="346" t="s">
        <v>122</v>
      </c>
      <c r="F56" s="246">
        <f>'Пр.4.1 ведом.23-24 '!G63</f>
        <v>2614.9</v>
      </c>
      <c r="G56" s="246">
        <f>'Пр.4.1 ведом.23-24 '!H63</f>
        <v>2614.9</v>
      </c>
    </row>
    <row r="57" spans="1:7" ht="47.25" x14ac:dyDescent="0.25">
      <c r="A57" s="345" t="s">
        <v>414</v>
      </c>
      <c r="B57" s="341" t="s">
        <v>116</v>
      </c>
      <c r="C57" s="346" t="s">
        <v>139</v>
      </c>
      <c r="D57" s="341" t="s">
        <v>436</v>
      </c>
      <c r="E57" s="341"/>
      <c r="F57" s="19">
        <f>F58</f>
        <v>2006.6</v>
      </c>
      <c r="G57" s="19">
        <f>G58</f>
        <v>2006.6</v>
      </c>
    </row>
    <row r="58" spans="1:7" ht="78.75" x14ac:dyDescent="0.25">
      <c r="A58" s="345" t="s">
        <v>119</v>
      </c>
      <c r="B58" s="341" t="s">
        <v>116</v>
      </c>
      <c r="C58" s="346" t="s">
        <v>139</v>
      </c>
      <c r="D58" s="341" t="s">
        <v>436</v>
      </c>
      <c r="E58" s="341" t="s">
        <v>120</v>
      </c>
      <c r="F58" s="19">
        <f>F59</f>
        <v>2006.6</v>
      </c>
      <c r="G58" s="19">
        <f>G59</f>
        <v>2006.6</v>
      </c>
    </row>
    <row r="59" spans="1:7" ht="31.5" x14ac:dyDescent="0.25">
      <c r="A59" s="345" t="s">
        <v>121</v>
      </c>
      <c r="B59" s="341" t="s">
        <v>116</v>
      </c>
      <c r="C59" s="346" t="s">
        <v>139</v>
      </c>
      <c r="D59" s="341" t="s">
        <v>436</v>
      </c>
      <c r="E59" s="341" t="s">
        <v>122</v>
      </c>
      <c r="F59" s="19">
        <f>'Пр.4.1 ведом.23-24 '!G66+'Пр.4.1 ведом.23-24 '!G571</f>
        <v>2006.6</v>
      </c>
      <c r="G59" s="19">
        <f>'Пр.4.1 ведом.23-24 '!H66+'Пр.4.1 ведом.23-24 '!H571</f>
        <v>2006.6</v>
      </c>
    </row>
    <row r="60" spans="1:7" ht="31.5" x14ac:dyDescent="0.25">
      <c r="A60" s="298" t="s">
        <v>458</v>
      </c>
      <c r="B60" s="6" t="s">
        <v>116</v>
      </c>
      <c r="C60" s="299" t="s">
        <v>139</v>
      </c>
      <c r="D60" s="6" t="s">
        <v>437</v>
      </c>
      <c r="E60" s="6"/>
      <c r="F60" s="294">
        <f>F67+F72+F77+F80</f>
        <v>3737.9000000000005</v>
      </c>
      <c r="G60" s="294">
        <f>G67+G72+G77+G80</f>
        <v>3886.2</v>
      </c>
    </row>
    <row r="61" spans="1:7" ht="47.25" hidden="1" x14ac:dyDescent="0.25">
      <c r="A61" s="345" t="s">
        <v>149</v>
      </c>
      <c r="B61" s="341" t="s">
        <v>116</v>
      </c>
      <c r="C61" s="346" t="s">
        <v>139</v>
      </c>
      <c r="D61" s="341" t="s">
        <v>626</v>
      </c>
      <c r="E61" s="6"/>
      <c r="F61" s="9">
        <f>F62</f>
        <v>0</v>
      </c>
      <c r="G61" s="9">
        <f>G62</f>
        <v>0</v>
      </c>
    </row>
    <row r="62" spans="1:7" ht="31.5" hidden="1" x14ac:dyDescent="0.25">
      <c r="A62" s="345" t="s">
        <v>123</v>
      </c>
      <c r="B62" s="341" t="s">
        <v>116</v>
      </c>
      <c r="C62" s="346" t="s">
        <v>139</v>
      </c>
      <c r="D62" s="341" t="s">
        <v>626</v>
      </c>
      <c r="E62" s="341" t="s">
        <v>124</v>
      </c>
      <c r="F62" s="9">
        <f t="shared" ref="F62:G62" si="11">F63</f>
        <v>0</v>
      </c>
      <c r="G62" s="9">
        <f t="shared" si="11"/>
        <v>0</v>
      </c>
    </row>
    <row r="63" spans="1:7" ht="47.25" hidden="1" x14ac:dyDescent="0.25">
      <c r="A63" s="345" t="s">
        <v>125</v>
      </c>
      <c r="B63" s="341" t="s">
        <v>116</v>
      </c>
      <c r="C63" s="346" t="s">
        <v>139</v>
      </c>
      <c r="D63" s="341" t="s">
        <v>626</v>
      </c>
      <c r="E63" s="341" t="s">
        <v>126</v>
      </c>
      <c r="F63" s="9">
        <f>'Пр.4 ведом.22'!G75</f>
        <v>0</v>
      </c>
      <c r="G63" s="9">
        <f>'Пр.4 ведом.22'!H75</f>
        <v>0</v>
      </c>
    </row>
    <row r="64" spans="1:7" ht="47.25" hidden="1" x14ac:dyDescent="0.25">
      <c r="A64" s="22" t="s">
        <v>722</v>
      </c>
      <c r="B64" s="346" t="s">
        <v>116</v>
      </c>
      <c r="C64" s="346" t="s">
        <v>139</v>
      </c>
      <c r="D64" s="346" t="s">
        <v>721</v>
      </c>
      <c r="E64" s="346"/>
      <c r="F64" s="300">
        <f>F65</f>
        <v>0</v>
      </c>
      <c r="G64" s="300">
        <f>G65</f>
        <v>0</v>
      </c>
    </row>
    <row r="65" spans="1:7" ht="31.5" hidden="1" x14ac:dyDescent="0.25">
      <c r="A65" s="20" t="s">
        <v>123</v>
      </c>
      <c r="B65" s="346" t="s">
        <v>116</v>
      </c>
      <c r="C65" s="346" t="s">
        <v>139</v>
      </c>
      <c r="D65" s="346" t="s">
        <v>721</v>
      </c>
      <c r="E65" s="346" t="s">
        <v>124</v>
      </c>
      <c r="F65" s="300">
        <f>F66</f>
        <v>0</v>
      </c>
      <c r="G65" s="300">
        <f>G66</f>
        <v>0</v>
      </c>
    </row>
    <row r="66" spans="1:7" ht="47.25" hidden="1" x14ac:dyDescent="0.25">
      <c r="A66" s="20" t="s">
        <v>125</v>
      </c>
      <c r="B66" s="346" t="s">
        <v>116</v>
      </c>
      <c r="C66" s="346" t="s">
        <v>139</v>
      </c>
      <c r="D66" s="346" t="s">
        <v>721</v>
      </c>
      <c r="E66" s="346" t="s">
        <v>126</v>
      </c>
      <c r="F66" s="300"/>
      <c r="G66" s="300"/>
    </row>
    <row r="67" spans="1:7" ht="47.25" x14ac:dyDescent="0.25">
      <c r="A67" s="29" t="s">
        <v>150</v>
      </c>
      <c r="B67" s="341" t="s">
        <v>116</v>
      </c>
      <c r="C67" s="346" t="s">
        <v>139</v>
      </c>
      <c r="D67" s="341" t="s">
        <v>489</v>
      </c>
      <c r="E67" s="341"/>
      <c r="F67" s="295">
        <f>F68+F70</f>
        <v>601.20000000000005</v>
      </c>
      <c r="G67" s="295">
        <f>G68+G70</f>
        <v>624.20000000000005</v>
      </c>
    </row>
    <row r="68" spans="1:7" ht="78.75" x14ac:dyDescent="0.25">
      <c r="A68" s="20" t="s">
        <v>119</v>
      </c>
      <c r="B68" s="341" t="s">
        <v>116</v>
      </c>
      <c r="C68" s="346" t="s">
        <v>139</v>
      </c>
      <c r="D68" s="341" t="s">
        <v>489</v>
      </c>
      <c r="E68" s="341" t="s">
        <v>120</v>
      </c>
      <c r="F68" s="295">
        <f t="shared" ref="F68:G68" si="12">F69</f>
        <v>601.20000000000005</v>
      </c>
      <c r="G68" s="295">
        <f t="shared" si="12"/>
        <v>624.20000000000005</v>
      </c>
    </row>
    <row r="69" spans="1:7" ht="31.5" x14ac:dyDescent="0.25">
      <c r="A69" s="20" t="s">
        <v>121</v>
      </c>
      <c r="B69" s="341" t="s">
        <v>116</v>
      </c>
      <c r="C69" s="346" t="s">
        <v>139</v>
      </c>
      <c r="D69" s="341" t="s">
        <v>489</v>
      </c>
      <c r="E69" s="341" t="s">
        <v>122</v>
      </c>
      <c r="F69" s="295">
        <f>'Пр.4.1 ведом.23-24 '!G73</f>
        <v>601.20000000000005</v>
      </c>
      <c r="G69" s="295">
        <f>'Пр.4.1 ведом.23-24 '!H73</f>
        <v>624.20000000000005</v>
      </c>
    </row>
    <row r="70" spans="1:7" ht="31.5" hidden="1" x14ac:dyDescent="0.25">
      <c r="A70" s="345" t="s">
        <v>123</v>
      </c>
      <c r="B70" s="341" t="s">
        <v>116</v>
      </c>
      <c r="C70" s="346" t="s">
        <v>139</v>
      </c>
      <c r="D70" s="341" t="s">
        <v>489</v>
      </c>
      <c r="E70" s="341" t="s">
        <v>124</v>
      </c>
      <c r="F70" s="295">
        <f>F71</f>
        <v>0</v>
      </c>
      <c r="G70" s="295">
        <f>G71</f>
        <v>0</v>
      </c>
    </row>
    <row r="71" spans="1:7" ht="47.25" hidden="1" x14ac:dyDescent="0.25">
      <c r="A71" s="345" t="s">
        <v>125</v>
      </c>
      <c r="B71" s="341" t="s">
        <v>116</v>
      </c>
      <c r="C71" s="346" t="s">
        <v>139</v>
      </c>
      <c r="D71" s="341" t="s">
        <v>489</v>
      </c>
      <c r="E71" s="341" t="s">
        <v>126</v>
      </c>
      <c r="F71" s="295">
        <f>'Пр.4 ведом.22'!G80</f>
        <v>0</v>
      </c>
      <c r="G71" s="295">
        <f>'Пр.4 ведом.22'!H80</f>
        <v>0</v>
      </c>
    </row>
    <row r="72" spans="1:7" ht="47.25" x14ac:dyDescent="0.25">
      <c r="A72" s="29" t="s">
        <v>152</v>
      </c>
      <c r="B72" s="341" t="s">
        <v>116</v>
      </c>
      <c r="C72" s="346" t="s">
        <v>139</v>
      </c>
      <c r="D72" s="341" t="s">
        <v>490</v>
      </c>
      <c r="E72" s="341"/>
      <c r="F72" s="295">
        <f t="shared" ref="F72:G72" si="13">F73+F75</f>
        <v>1477.7</v>
      </c>
      <c r="G72" s="295">
        <f t="shared" si="13"/>
        <v>1536.8000000000002</v>
      </c>
    </row>
    <row r="73" spans="1:7" ht="81.75" customHeight="1" x14ac:dyDescent="0.25">
      <c r="A73" s="20" t="s">
        <v>119</v>
      </c>
      <c r="B73" s="341" t="s">
        <v>116</v>
      </c>
      <c r="C73" s="346" t="s">
        <v>139</v>
      </c>
      <c r="D73" s="341" t="s">
        <v>490</v>
      </c>
      <c r="E73" s="341" t="s">
        <v>120</v>
      </c>
      <c r="F73" s="295">
        <f t="shared" ref="F73:G73" si="14">F74</f>
        <v>1383.3</v>
      </c>
      <c r="G73" s="295">
        <f t="shared" si="14"/>
        <v>1442.1000000000001</v>
      </c>
    </row>
    <row r="74" spans="1:7" ht="36" customHeight="1" x14ac:dyDescent="0.25">
      <c r="A74" s="20" t="s">
        <v>121</v>
      </c>
      <c r="B74" s="341" t="s">
        <v>116</v>
      </c>
      <c r="C74" s="346" t="s">
        <v>139</v>
      </c>
      <c r="D74" s="341" t="s">
        <v>490</v>
      </c>
      <c r="E74" s="341" t="s">
        <v>122</v>
      </c>
      <c r="F74" s="295">
        <f>'Пр.4.1 ведом.23-24 '!G78</f>
        <v>1383.3</v>
      </c>
      <c r="G74" s="295">
        <f>'Пр.4.1 ведом.23-24 '!H78</f>
        <v>1442.1000000000001</v>
      </c>
    </row>
    <row r="75" spans="1:7" ht="31.5" x14ac:dyDescent="0.25">
      <c r="A75" s="20" t="s">
        <v>123</v>
      </c>
      <c r="B75" s="341" t="s">
        <v>116</v>
      </c>
      <c r="C75" s="346" t="s">
        <v>139</v>
      </c>
      <c r="D75" s="341" t="s">
        <v>490</v>
      </c>
      <c r="E75" s="341" t="s">
        <v>124</v>
      </c>
      <c r="F75" s="295">
        <f t="shared" ref="F75:G75" si="15">F76</f>
        <v>94.4</v>
      </c>
      <c r="G75" s="295">
        <f t="shared" si="15"/>
        <v>94.7</v>
      </c>
    </row>
    <row r="76" spans="1:7" ht="47.25" x14ac:dyDescent="0.25">
      <c r="A76" s="20" t="s">
        <v>125</v>
      </c>
      <c r="B76" s="341" t="s">
        <v>116</v>
      </c>
      <c r="C76" s="346" t="s">
        <v>139</v>
      </c>
      <c r="D76" s="341" t="s">
        <v>490</v>
      </c>
      <c r="E76" s="341" t="s">
        <v>126</v>
      </c>
      <c r="F76" s="295">
        <f>'Пр.4.1 ведом.23-24 '!G80</f>
        <v>94.4</v>
      </c>
      <c r="G76" s="295">
        <f>'Пр.4.1 ведом.23-24 '!H80</f>
        <v>94.7</v>
      </c>
    </row>
    <row r="77" spans="1:7" ht="94.5" x14ac:dyDescent="0.25">
      <c r="A77" s="22" t="s">
        <v>717</v>
      </c>
      <c r="B77" s="346" t="s">
        <v>116</v>
      </c>
      <c r="C77" s="346" t="s">
        <v>139</v>
      </c>
      <c r="D77" s="346" t="s">
        <v>716</v>
      </c>
      <c r="E77" s="346"/>
      <c r="F77" s="300">
        <f>F78</f>
        <v>17.3</v>
      </c>
      <c r="G77" s="300">
        <f>G78</f>
        <v>17.899999999999999</v>
      </c>
    </row>
    <row r="78" spans="1:7" ht="78.75" x14ac:dyDescent="0.25">
      <c r="A78" s="345" t="s">
        <v>119</v>
      </c>
      <c r="B78" s="346" t="s">
        <v>116</v>
      </c>
      <c r="C78" s="346" t="s">
        <v>139</v>
      </c>
      <c r="D78" s="346" t="s">
        <v>716</v>
      </c>
      <c r="E78" s="346" t="s">
        <v>120</v>
      </c>
      <c r="F78" s="300">
        <f>F79</f>
        <v>17.3</v>
      </c>
      <c r="G78" s="300">
        <f>G79</f>
        <v>17.899999999999999</v>
      </c>
    </row>
    <row r="79" spans="1:7" ht="31.5" x14ac:dyDescent="0.25">
      <c r="A79" s="345" t="s">
        <v>121</v>
      </c>
      <c r="B79" s="346" t="s">
        <v>116</v>
      </c>
      <c r="C79" s="346" t="s">
        <v>139</v>
      </c>
      <c r="D79" s="346" t="s">
        <v>716</v>
      </c>
      <c r="E79" s="346" t="s">
        <v>122</v>
      </c>
      <c r="F79" s="300">
        <f>'Пр.4.1 ведом.23-24 '!G575</f>
        <v>17.3</v>
      </c>
      <c r="G79" s="300">
        <f>'Пр.4.1 ведом.23-24 '!H575</f>
        <v>17.899999999999999</v>
      </c>
    </row>
    <row r="80" spans="1:7" ht="47.25" x14ac:dyDescent="0.25">
      <c r="A80" s="345" t="s">
        <v>1165</v>
      </c>
      <c r="B80" s="341" t="s">
        <v>116</v>
      </c>
      <c r="C80" s="346" t="s">
        <v>139</v>
      </c>
      <c r="D80" s="341" t="s">
        <v>1174</v>
      </c>
      <c r="E80" s="341"/>
      <c r="F80" s="295">
        <f>F81+F83</f>
        <v>1641.7</v>
      </c>
      <c r="G80" s="295">
        <f>G81+G83</f>
        <v>1707.3</v>
      </c>
    </row>
    <row r="81" spans="1:7" ht="78.75" x14ac:dyDescent="0.25">
      <c r="A81" s="20" t="s">
        <v>119</v>
      </c>
      <c r="B81" s="341" t="s">
        <v>116</v>
      </c>
      <c r="C81" s="346" t="s">
        <v>139</v>
      </c>
      <c r="D81" s="341" t="s">
        <v>1174</v>
      </c>
      <c r="E81" s="341" t="s">
        <v>120</v>
      </c>
      <c r="F81" s="295">
        <f t="shared" ref="F81:G81" si="16">F82</f>
        <v>1601.4</v>
      </c>
      <c r="G81" s="295">
        <f t="shared" si="16"/>
        <v>1619.1</v>
      </c>
    </row>
    <row r="82" spans="1:7" ht="31.5" x14ac:dyDescent="0.25">
      <c r="A82" s="20" t="s">
        <v>121</v>
      </c>
      <c r="B82" s="341" t="s">
        <v>116</v>
      </c>
      <c r="C82" s="346" t="s">
        <v>139</v>
      </c>
      <c r="D82" s="341" t="s">
        <v>1174</v>
      </c>
      <c r="E82" s="341" t="s">
        <v>122</v>
      </c>
      <c r="F82" s="295">
        <f>'Пр.4.1 ведом.23-24 '!G83</f>
        <v>1601.4</v>
      </c>
      <c r="G82" s="295">
        <f>'Пр.4.1 ведом.23-24 '!H83</f>
        <v>1619.1</v>
      </c>
    </row>
    <row r="83" spans="1:7" ht="31.5" x14ac:dyDescent="0.25">
      <c r="A83" s="345" t="s">
        <v>123</v>
      </c>
      <c r="B83" s="341" t="s">
        <v>116</v>
      </c>
      <c r="C83" s="346" t="s">
        <v>139</v>
      </c>
      <c r="D83" s="341" t="s">
        <v>1174</v>
      </c>
      <c r="E83" s="341" t="s">
        <v>124</v>
      </c>
      <c r="F83" s="295">
        <f>F84</f>
        <v>40.299999999999997</v>
      </c>
      <c r="G83" s="295">
        <f>G84</f>
        <v>88.2</v>
      </c>
    </row>
    <row r="84" spans="1:7" ht="47.25" x14ac:dyDescent="0.25">
      <c r="A84" s="345" t="s">
        <v>125</v>
      </c>
      <c r="B84" s="341" t="s">
        <v>116</v>
      </c>
      <c r="C84" s="346" t="s">
        <v>139</v>
      </c>
      <c r="D84" s="341" t="s">
        <v>1174</v>
      </c>
      <c r="E84" s="341" t="s">
        <v>126</v>
      </c>
      <c r="F84" s="295">
        <f>'Пр.4.1 ведом.23-24 '!G85</f>
        <v>40.299999999999997</v>
      </c>
      <c r="G84" s="295">
        <f>'Пр.4.1 ведом.23-24 '!H85</f>
        <v>88.2</v>
      </c>
    </row>
    <row r="85" spans="1:7" ht="47.25" x14ac:dyDescent="0.25">
      <c r="A85" s="298" t="s">
        <v>842</v>
      </c>
      <c r="B85" s="299" t="s">
        <v>116</v>
      </c>
      <c r="C85" s="299" t="s">
        <v>139</v>
      </c>
      <c r="D85" s="299" t="s">
        <v>143</v>
      </c>
      <c r="E85" s="299"/>
      <c r="F85" s="294">
        <f>F86+F90+F99</f>
        <v>603.5</v>
      </c>
      <c r="G85" s="294">
        <f>G86+G90+G99</f>
        <v>603.5</v>
      </c>
    </row>
    <row r="86" spans="1:7" ht="63" x14ac:dyDescent="0.25">
      <c r="A86" s="196" t="s">
        <v>843</v>
      </c>
      <c r="B86" s="299" t="s">
        <v>116</v>
      </c>
      <c r="C86" s="299" t="s">
        <v>139</v>
      </c>
      <c r="D86" s="6" t="s">
        <v>423</v>
      </c>
      <c r="E86" s="299"/>
      <c r="F86" s="294">
        <f t="shared" ref="F86:G88" si="17">F87</f>
        <v>526</v>
      </c>
      <c r="G86" s="294">
        <f t="shared" si="17"/>
        <v>526</v>
      </c>
    </row>
    <row r="87" spans="1:7" ht="47.25" x14ac:dyDescent="0.25">
      <c r="A87" s="20" t="s">
        <v>821</v>
      </c>
      <c r="B87" s="346" t="s">
        <v>116</v>
      </c>
      <c r="C87" s="346" t="s">
        <v>139</v>
      </c>
      <c r="D87" s="341" t="s">
        <v>416</v>
      </c>
      <c r="E87" s="346"/>
      <c r="F87" s="295">
        <f t="shared" si="17"/>
        <v>526</v>
      </c>
      <c r="G87" s="295">
        <f t="shared" si="17"/>
        <v>526</v>
      </c>
    </row>
    <row r="88" spans="1:7" ht="31.5" x14ac:dyDescent="0.25">
      <c r="A88" s="345" t="s">
        <v>123</v>
      </c>
      <c r="B88" s="346" t="s">
        <v>116</v>
      </c>
      <c r="C88" s="346" t="s">
        <v>139</v>
      </c>
      <c r="D88" s="341" t="s">
        <v>416</v>
      </c>
      <c r="E88" s="346" t="s">
        <v>124</v>
      </c>
      <c r="F88" s="295">
        <f t="shared" si="17"/>
        <v>526</v>
      </c>
      <c r="G88" s="295">
        <f t="shared" si="17"/>
        <v>526</v>
      </c>
    </row>
    <row r="89" spans="1:7" ht="47.25" x14ac:dyDescent="0.25">
      <c r="A89" s="345" t="s">
        <v>125</v>
      </c>
      <c r="B89" s="346" t="s">
        <v>116</v>
      </c>
      <c r="C89" s="346" t="s">
        <v>139</v>
      </c>
      <c r="D89" s="341" t="s">
        <v>416</v>
      </c>
      <c r="E89" s="346" t="s">
        <v>126</v>
      </c>
      <c r="F89" s="295">
        <f>'Пр.4.1 ведом.23-24 '!G90</f>
        <v>526</v>
      </c>
      <c r="G89" s="295">
        <f>'Пр.4.1 ведом.23-24 '!H90</f>
        <v>526</v>
      </c>
    </row>
    <row r="90" spans="1:7" ht="63" x14ac:dyDescent="0.25">
      <c r="A90" s="141" t="s">
        <v>418</v>
      </c>
      <c r="B90" s="299" t="s">
        <v>116</v>
      </c>
      <c r="C90" s="299" t="s">
        <v>139</v>
      </c>
      <c r="D90" s="6" t="s">
        <v>424</v>
      </c>
      <c r="E90" s="299"/>
      <c r="F90" s="294">
        <f>F91+F96</f>
        <v>77</v>
      </c>
      <c r="G90" s="294">
        <f>G91+G96</f>
        <v>77</v>
      </c>
    </row>
    <row r="91" spans="1:7" ht="47.25" x14ac:dyDescent="0.25">
      <c r="A91" s="100" t="s">
        <v>144</v>
      </c>
      <c r="B91" s="346" t="s">
        <v>116</v>
      </c>
      <c r="C91" s="346" t="s">
        <v>139</v>
      </c>
      <c r="D91" s="341" t="s">
        <v>417</v>
      </c>
      <c r="E91" s="346"/>
      <c r="F91" s="295">
        <f>F92+F94</f>
        <v>77</v>
      </c>
      <c r="G91" s="295">
        <f>G92+G94</f>
        <v>77</v>
      </c>
    </row>
    <row r="92" spans="1:7" ht="78.75" x14ac:dyDescent="0.25">
      <c r="A92" s="345" t="s">
        <v>119</v>
      </c>
      <c r="B92" s="346" t="s">
        <v>116</v>
      </c>
      <c r="C92" s="346" t="s">
        <v>139</v>
      </c>
      <c r="D92" s="341" t="s">
        <v>417</v>
      </c>
      <c r="E92" s="346" t="s">
        <v>120</v>
      </c>
      <c r="F92" s="295">
        <f>F93</f>
        <v>37.200000000000003</v>
      </c>
      <c r="G92" s="295">
        <f>G93</f>
        <v>37.200000000000003</v>
      </c>
    </row>
    <row r="93" spans="1:7" ht="31.5" x14ac:dyDescent="0.25">
      <c r="A93" s="345" t="s">
        <v>121</v>
      </c>
      <c r="B93" s="346" t="s">
        <v>116</v>
      </c>
      <c r="C93" s="346" t="s">
        <v>139</v>
      </c>
      <c r="D93" s="341" t="s">
        <v>417</v>
      </c>
      <c r="E93" s="346" t="s">
        <v>122</v>
      </c>
      <c r="F93" s="295">
        <f>'Пр.4.1 ведом.23-24 '!G94</f>
        <v>37.200000000000003</v>
      </c>
      <c r="G93" s="295">
        <f>'Пр.4.1 ведом.23-24 '!H94</f>
        <v>37.200000000000003</v>
      </c>
    </row>
    <row r="94" spans="1:7" ht="31.5" x14ac:dyDescent="0.25">
      <c r="A94" s="345" t="s">
        <v>123</v>
      </c>
      <c r="B94" s="346" t="s">
        <v>116</v>
      </c>
      <c r="C94" s="346" t="s">
        <v>139</v>
      </c>
      <c r="D94" s="341" t="s">
        <v>417</v>
      </c>
      <c r="E94" s="346" t="s">
        <v>124</v>
      </c>
      <c r="F94" s="295">
        <f>F95</f>
        <v>39.799999999999997</v>
      </c>
      <c r="G94" s="295">
        <f>G95</f>
        <v>39.799999999999997</v>
      </c>
    </row>
    <row r="95" spans="1:7" ht="47.25" x14ac:dyDescent="0.25">
      <c r="A95" s="345" t="s">
        <v>125</v>
      </c>
      <c r="B95" s="346" t="s">
        <v>116</v>
      </c>
      <c r="C95" s="346" t="s">
        <v>139</v>
      </c>
      <c r="D95" s="341" t="s">
        <v>417</v>
      </c>
      <c r="E95" s="346" t="s">
        <v>126</v>
      </c>
      <c r="F95" s="295">
        <f>'Пр.4.1 ведом.23-24 '!G96</f>
        <v>39.799999999999997</v>
      </c>
      <c r="G95" s="295">
        <f>'Пр.4.1 ведом.23-24 '!H96</f>
        <v>39.799999999999997</v>
      </c>
    </row>
    <row r="96" spans="1:7" ht="47.25" hidden="1" x14ac:dyDescent="0.25">
      <c r="A96" s="22" t="s">
        <v>646</v>
      </c>
      <c r="B96" s="346" t="s">
        <v>116</v>
      </c>
      <c r="C96" s="346" t="s">
        <v>139</v>
      </c>
      <c r="D96" s="341" t="s">
        <v>554</v>
      </c>
      <c r="E96" s="346"/>
      <c r="F96" s="300">
        <f>F97</f>
        <v>0</v>
      </c>
      <c r="G96" s="300">
        <f>G97</f>
        <v>0</v>
      </c>
    </row>
    <row r="97" spans="1:7" ht="31.5" hidden="1" x14ac:dyDescent="0.25">
      <c r="A97" s="345" t="s">
        <v>123</v>
      </c>
      <c r="B97" s="346" t="s">
        <v>116</v>
      </c>
      <c r="C97" s="346" t="s">
        <v>139</v>
      </c>
      <c r="D97" s="341" t="s">
        <v>554</v>
      </c>
      <c r="E97" s="346" t="s">
        <v>124</v>
      </c>
      <c r="F97" s="300">
        <f>F98</f>
        <v>0</v>
      </c>
      <c r="G97" s="300">
        <f>G98</f>
        <v>0</v>
      </c>
    </row>
    <row r="98" spans="1:7" ht="47.25" hidden="1" x14ac:dyDescent="0.25">
      <c r="A98" s="345" t="s">
        <v>125</v>
      </c>
      <c r="B98" s="346" t="s">
        <v>116</v>
      </c>
      <c r="C98" s="346" t="s">
        <v>139</v>
      </c>
      <c r="D98" s="341" t="s">
        <v>554</v>
      </c>
      <c r="E98" s="346" t="s">
        <v>126</v>
      </c>
      <c r="F98" s="300"/>
      <c r="G98" s="300"/>
    </row>
    <row r="99" spans="1:7" ht="63" x14ac:dyDescent="0.25">
      <c r="A99" s="142" t="s">
        <v>564</v>
      </c>
      <c r="B99" s="299" t="s">
        <v>116</v>
      </c>
      <c r="C99" s="299" t="s">
        <v>139</v>
      </c>
      <c r="D99" s="6" t="s">
        <v>425</v>
      </c>
      <c r="E99" s="299"/>
      <c r="F99" s="294">
        <f t="shared" ref="F99:G101" si="18">F100</f>
        <v>0.5</v>
      </c>
      <c r="G99" s="294">
        <f t="shared" si="18"/>
        <v>0.5</v>
      </c>
    </row>
    <row r="100" spans="1:7" ht="47.25" x14ac:dyDescent="0.25">
      <c r="A100" s="23" t="s">
        <v>151</v>
      </c>
      <c r="B100" s="346" t="s">
        <v>116</v>
      </c>
      <c r="C100" s="346" t="s">
        <v>139</v>
      </c>
      <c r="D100" s="341" t="s">
        <v>419</v>
      </c>
      <c r="E100" s="346"/>
      <c r="F100" s="295">
        <f t="shared" si="18"/>
        <v>0.5</v>
      </c>
      <c r="G100" s="295">
        <f t="shared" si="18"/>
        <v>0.5</v>
      </c>
    </row>
    <row r="101" spans="1:7" ht="31.5" x14ac:dyDescent="0.25">
      <c r="A101" s="345" t="s">
        <v>123</v>
      </c>
      <c r="B101" s="346" t="s">
        <v>116</v>
      </c>
      <c r="C101" s="346" t="s">
        <v>139</v>
      </c>
      <c r="D101" s="341" t="s">
        <v>419</v>
      </c>
      <c r="E101" s="346" t="s">
        <v>124</v>
      </c>
      <c r="F101" s="295">
        <f t="shared" si="18"/>
        <v>0.5</v>
      </c>
      <c r="G101" s="295">
        <f t="shared" si="18"/>
        <v>0.5</v>
      </c>
    </row>
    <row r="102" spans="1:7" ht="47.25" x14ac:dyDescent="0.25">
      <c r="A102" s="345" t="s">
        <v>125</v>
      </c>
      <c r="B102" s="346" t="s">
        <v>116</v>
      </c>
      <c r="C102" s="346" t="s">
        <v>139</v>
      </c>
      <c r="D102" s="341" t="s">
        <v>419</v>
      </c>
      <c r="E102" s="346" t="s">
        <v>126</v>
      </c>
      <c r="F102" s="295">
        <f>'Пр.4.1 ведом.23-24 '!G103</f>
        <v>0.5</v>
      </c>
      <c r="G102" s="295">
        <f>'Пр.4.1 ведом.23-24 '!H103</f>
        <v>0.5</v>
      </c>
    </row>
    <row r="103" spans="1:7" ht="47.25" x14ac:dyDescent="0.25">
      <c r="A103" s="340" t="s">
        <v>117</v>
      </c>
      <c r="B103" s="6" t="s">
        <v>116</v>
      </c>
      <c r="C103" s="6" t="s">
        <v>118</v>
      </c>
      <c r="D103" s="6"/>
      <c r="E103" s="6"/>
      <c r="F103" s="294">
        <f t="shared" ref="F103:G103" si="19">F104</f>
        <v>18932.8</v>
      </c>
      <c r="G103" s="294">
        <f t="shared" si="19"/>
        <v>18846.8</v>
      </c>
    </row>
    <row r="104" spans="1:7" ht="34.9" customHeight="1" x14ac:dyDescent="0.25">
      <c r="A104" s="298" t="s">
        <v>486</v>
      </c>
      <c r="B104" s="6" t="s">
        <v>116</v>
      </c>
      <c r="C104" s="6" t="s">
        <v>118</v>
      </c>
      <c r="D104" s="6" t="s">
        <v>432</v>
      </c>
      <c r="E104" s="6"/>
      <c r="F104" s="294">
        <f>F105+F116</f>
        <v>18932.8</v>
      </c>
      <c r="G104" s="294">
        <f>G105+G116</f>
        <v>18846.8</v>
      </c>
    </row>
    <row r="105" spans="1:7" ht="15.75" x14ac:dyDescent="0.25">
      <c r="A105" s="298" t="s">
        <v>487</v>
      </c>
      <c r="B105" s="6" t="s">
        <v>116</v>
      </c>
      <c r="C105" s="6" t="s">
        <v>118</v>
      </c>
      <c r="D105" s="6" t="s">
        <v>433</v>
      </c>
      <c r="E105" s="6"/>
      <c r="F105" s="294">
        <f>F106+F113</f>
        <v>15973.4</v>
      </c>
      <c r="G105" s="294">
        <f>G106+G113</f>
        <v>15887.4</v>
      </c>
    </row>
    <row r="106" spans="1:7" ht="37.5" customHeight="1" x14ac:dyDescent="0.25">
      <c r="A106" s="20" t="s">
        <v>466</v>
      </c>
      <c r="B106" s="341" t="s">
        <v>116</v>
      </c>
      <c r="C106" s="341" t="s">
        <v>118</v>
      </c>
      <c r="D106" s="341" t="s">
        <v>434</v>
      </c>
      <c r="E106" s="341"/>
      <c r="F106" s="295">
        <f t="shared" ref="F106:G106" si="20">F107+F109+F111</f>
        <v>15437.4</v>
      </c>
      <c r="G106" s="295">
        <f t="shared" si="20"/>
        <v>15437.4</v>
      </c>
    </row>
    <row r="107" spans="1:7" ht="78.75" x14ac:dyDescent="0.25">
      <c r="A107" s="20" t="s">
        <v>119</v>
      </c>
      <c r="B107" s="341" t="s">
        <v>116</v>
      </c>
      <c r="C107" s="341" t="s">
        <v>118</v>
      </c>
      <c r="D107" s="341" t="s">
        <v>434</v>
      </c>
      <c r="E107" s="341" t="s">
        <v>120</v>
      </c>
      <c r="F107" s="295">
        <f t="shared" ref="F107:G107" si="21">F108</f>
        <v>14439.9</v>
      </c>
      <c r="G107" s="295">
        <f t="shared" si="21"/>
        <v>14439.9</v>
      </c>
    </row>
    <row r="108" spans="1:7" ht="31.5" x14ac:dyDescent="0.25">
      <c r="A108" s="20" t="s">
        <v>121</v>
      </c>
      <c r="B108" s="341" t="s">
        <v>116</v>
      </c>
      <c r="C108" s="341" t="s">
        <v>118</v>
      </c>
      <c r="D108" s="341" t="s">
        <v>434</v>
      </c>
      <c r="E108" s="341" t="s">
        <v>122</v>
      </c>
      <c r="F108" s="246">
        <f>'Пр.4.1 ведом.23-24 '!G17+'Пр.4.1 ведом.23-24 '!G109</f>
        <v>14439.9</v>
      </c>
      <c r="G108" s="246">
        <f>'Пр.4.1 ведом.23-24 '!H17+'Пр.4.1 ведом.23-24 '!H109</f>
        <v>14439.9</v>
      </c>
    </row>
    <row r="109" spans="1:7" ht="31.5" x14ac:dyDescent="0.25">
      <c r="A109" s="20" t="s">
        <v>123</v>
      </c>
      <c r="B109" s="341" t="s">
        <v>116</v>
      </c>
      <c r="C109" s="341" t="s">
        <v>118</v>
      </c>
      <c r="D109" s="341" t="s">
        <v>434</v>
      </c>
      <c r="E109" s="341" t="s">
        <v>124</v>
      </c>
      <c r="F109" s="295">
        <f t="shared" ref="F109:G109" si="22">F110</f>
        <v>969.5</v>
      </c>
      <c r="G109" s="295">
        <f t="shared" si="22"/>
        <v>969.5</v>
      </c>
    </row>
    <row r="110" spans="1:7" ht="47.25" x14ac:dyDescent="0.25">
      <c r="A110" s="20" t="s">
        <v>125</v>
      </c>
      <c r="B110" s="341" t="s">
        <v>116</v>
      </c>
      <c r="C110" s="341" t="s">
        <v>118</v>
      </c>
      <c r="D110" s="341" t="s">
        <v>434</v>
      </c>
      <c r="E110" s="341" t="s">
        <v>126</v>
      </c>
      <c r="F110" s="295">
        <f>'Пр.4.1 ведом.23-24 '!G19</f>
        <v>969.5</v>
      </c>
      <c r="G110" s="295">
        <f>'Пр.4.1 ведом.23-24 '!H19</f>
        <v>969.5</v>
      </c>
    </row>
    <row r="111" spans="1:7" ht="15.75" x14ac:dyDescent="0.25">
      <c r="A111" s="20" t="s">
        <v>127</v>
      </c>
      <c r="B111" s="341" t="s">
        <v>116</v>
      </c>
      <c r="C111" s="341" t="s">
        <v>118</v>
      </c>
      <c r="D111" s="341" t="s">
        <v>434</v>
      </c>
      <c r="E111" s="341" t="s">
        <v>134</v>
      </c>
      <c r="F111" s="295">
        <f t="shared" ref="F111:G111" si="23">F112</f>
        <v>28</v>
      </c>
      <c r="G111" s="295">
        <f t="shared" si="23"/>
        <v>28</v>
      </c>
    </row>
    <row r="112" spans="1:7" ht="15.75" x14ac:dyDescent="0.25">
      <c r="A112" s="20" t="s">
        <v>280</v>
      </c>
      <c r="B112" s="341" t="s">
        <v>116</v>
      </c>
      <c r="C112" s="341" t="s">
        <v>118</v>
      </c>
      <c r="D112" s="341" t="s">
        <v>434</v>
      </c>
      <c r="E112" s="341" t="s">
        <v>130</v>
      </c>
      <c r="F112" s="295">
        <f>'Пр.4.1 ведом.23-24 '!G21</f>
        <v>28</v>
      </c>
      <c r="G112" s="295">
        <f>'Пр.4.1 ведом.23-24 '!H21</f>
        <v>28</v>
      </c>
    </row>
    <row r="113" spans="1:7" ht="54" customHeight="1" x14ac:dyDescent="0.25">
      <c r="A113" s="345" t="s">
        <v>414</v>
      </c>
      <c r="B113" s="346" t="s">
        <v>116</v>
      </c>
      <c r="C113" s="346" t="s">
        <v>118</v>
      </c>
      <c r="D113" s="346" t="s">
        <v>436</v>
      </c>
      <c r="E113" s="346"/>
      <c r="F113" s="295">
        <f>F114</f>
        <v>536</v>
      </c>
      <c r="G113" s="295">
        <f>G114</f>
        <v>450</v>
      </c>
    </row>
    <row r="114" spans="1:7" ht="80.45" customHeight="1" x14ac:dyDescent="0.25">
      <c r="A114" s="345" t="s">
        <v>119</v>
      </c>
      <c r="B114" s="346" t="s">
        <v>116</v>
      </c>
      <c r="C114" s="346" t="s">
        <v>118</v>
      </c>
      <c r="D114" s="346" t="s">
        <v>436</v>
      </c>
      <c r="E114" s="346" t="s">
        <v>120</v>
      </c>
      <c r="F114" s="295">
        <f>F115</f>
        <v>536</v>
      </c>
      <c r="G114" s="295">
        <f>G115</f>
        <v>450</v>
      </c>
    </row>
    <row r="115" spans="1:7" ht="36" customHeight="1" x14ac:dyDescent="0.25">
      <c r="A115" s="345" t="s">
        <v>121</v>
      </c>
      <c r="B115" s="346" t="s">
        <v>116</v>
      </c>
      <c r="C115" s="346" t="s">
        <v>118</v>
      </c>
      <c r="D115" s="346" t="s">
        <v>436</v>
      </c>
      <c r="E115" s="346" t="s">
        <v>122</v>
      </c>
      <c r="F115" s="295">
        <f>'Пр.4.1 ведом.23-24 '!G24+'Пр.4.1 ведом.23-24 '!G112</f>
        <v>536</v>
      </c>
      <c r="G115" s="295">
        <f>'Пр.4.1 ведом.23-24 '!H24+'Пр.4.1 ведом.23-24 '!H112</f>
        <v>450</v>
      </c>
    </row>
    <row r="116" spans="1:7" ht="31.5" x14ac:dyDescent="0.25">
      <c r="A116" s="298" t="s">
        <v>1107</v>
      </c>
      <c r="B116" s="6" t="s">
        <v>116</v>
      </c>
      <c r="C116" s="6" t="s">
        <v>118</v>
      </c>
      <c r="D116" s="6" t="s">
        <v>1108</v>
      </c>
      <c r="E116" s="6"/>
      <c r="F116" s="294">
        <f>F117+F122+F125</f>
        <v>2959.4</v>
      </c>
      <c r="G116" s="294">
        <f>G117+G122+G125</f>
        <v>2959.4</v>
      </c>
    </row>
    <row r="117" spans="1:7" ht="31.5" x14ac:dyDescent="0.25">
      <c r="A117" s="345" t="s">
        <v>466</v>
      </c>
      <c r="B117" s="346" t="s">
        <v>116</v>
      </c>
      <c r="C117" s="346" t="s">
        <v>118</v>
      </c>
      <c r="D117" s="346" t="s">
        <v>1111</v>
      </c>
      <c r="E117" s="346"/>
      <c r="F117" s="295">
        <f>F119+F120</f>
        <v>723.6</v>
      </c>
      <c r="G117" s="295">
        <f>G119+G120</f>
        <v>723.6</v>
      </c>
    </row>
    <row r="118" spans="1:7" ht="78.75" x14ac:dyDescent="0.25">
      <c r="A118" s="345" t="s">
        <v>119</v>
      </c>
      <c r="B118" s="346" t="s">
        <v>116</v>
      </c>
      <c r="C118" s="346" t="s">
        <v>118</v>
      </c>
      <c r="D118" s="346" t="s">
        <v>1111</v>
      </c>
      <c r="E118" s="346" t="s">
        <v>120</v>
      </c>
      <c r="F118" s="295">
        <f>F119</f>
        <v>630.6</v>
      </c>
      <c r="G118" s="295">
        <f>G119</f>
        <v>630.6</v>
      </c>
    </row>
    <row r="119" spans="1:7" ht="31.5" x14ac:dyDescent="0.25">
      <c r="A119" s="345" t="s">
        <v>121</v>
      </c>
      <c r="B119" s="346" t="s">
        <v>116</v>
      </c>
      <c r="C119" s="346" t="s">
        <v>118</v>
      </c>
      <c r="D119" s="346" t="s">
        <v>1111</v>
      </c>
      <c r="E119" s="346" t="s">
        <v>122</v>
      </c>
      <c r="F119" s="295">
        <f>'Пр.4.1 ведом.23-24 '!G548</f>
        <v>630.6</v>
      </c>
      <c r="G119" s="295">
        <f>'Пр.4.1 ведом.23-24 '!H548</f>
        <v>630.6</v>
      </c>
    </row>
    <row r="120" spans="1:7" ht="31.5" x14ac:dyDescent="0.25">
      <c r="A120" s="345" t="s">
        <v>153</v>
      </c>
      <c r="B120" s="346" t="s">
        <v>116</v>
      </c>
      <c r="C120" s="346" t="s">
        <v>118</v>
      </c>
      <c r="D120" s="346" t="s">
        <v>1111</v>
      </c>
      <c r="E120" s="346" t="s">
        <v>124</v>
      </c>
      <c r="F120" s="295">
        <f>F121</f>
        <v>93</v>
      </c>
      <c r="G120" s="295">
        <f>G121</f>
        <v>93</v>
      </c>
    </row>
    <row r="121" spans="1:7" ht="47.25" x14ac:dyDescent="0.25">
      <c r="A121" s="345" t="s">
        <v>125</v>
      </c>
      <c r="B121" s="346" t="s">
        <v>116</v>
      </c>
      <c r="C121" s="346" t="s">
        <v>118</v>
      </c>
      <c r="D121" s="346" t="s">
        <v>1111</v>
      </c>
      <c r="E121" s="346" t="s">
        <v>126</v>
      </c>
      <c r="F121" s="295">
        <f>'Пр.4.1 ведом.23-24 '!G550</f>
        <v>93</v>
      </c>
      <c r="G121" s="295">
        <f>'Пр.4.1 ведом.23-24 '!H550</f>
        <v>93</v>
      </c>
    </row>
    <row r="122" spans="1:7" ht="47.25" x14ac:dyDescent="0.25">
      <c r="A122" s="345" t="s">
        <v>1109</v>
      </c>
      <c r="B122" s="346" t="s">
        <v>116</v>
      </c>
      <c r="C122" s="346" t="s">
        <v>118</v>
      </c>
      <c r="D122" s="346" t="s">
        <v>1110</v>
      </c>
      <c r="E122" s="346"/>
      <c r="F122" s="295">
        <f>F123</f>
        <v>2235.8000000000002</v>
      </c>
      <c r="G122" s="295">
        <f>G123</f>
        <v>2235.8000000000002</v>
      </c>
    </row>
    <row r="123" spans="1:7" ht="78.75" x14ac:dyDescent="0.25">
      <c r="A123" s="345" t="s">
        <v>119</v>
      </c>
      <c r="B123" s="346" t="s">
        <v>116</v>
      </c>
      <c r="C123" s="346" t="s">
        <v>118</v>
      </c>
      <c r="D123" s="346" t="s">
        <v>1110</v>
      </c>
      <c r="E123" s="346" t="s">
        <v>120</v>
      </c>
      <c r="F123" s="295">
        <f>F124</f>
        <v>2235.8000000000002</v>
      </c>
      <c r="G123" s="295">
        <f>G124</f>
        <v>2235.8000000000002</v>
      </c>
    </row>
    <row r="124" spans="1:7" ht="31.5" x14ac:dyDescent="0.25">
      <c r="A124" s="345" t="s">
        <v>121</v>
      </c>
      <c r="B124" s="346" t="s">
        <v>116</v>
      </c>
      <c r="C124" s="346" t="s">
        <v>118</v>
      </c>
      <c r="D124" s="346" t="s">
        <v>1110</v>
      </c>
      <c r="E124" s="346" t="s">
        <v>122</v>
      </c>
      <c r="F124" s="295">
        <f>'Пр.4.1 ведом.23-24 '!G553</f>
        <v>2235.8000000000002</v>
      </c>
      <c r="G124" s="295">
        <f>'Пр.4.1 ведом.23-24 '!H553</f>
        <v>2235.8000000000002</v>
      </c>
    </row>
    <row r="125" spans="1:7" ht="47.25" hidden="1" x14ac:dyDescent="0.25">
      <c r="A125" s="345" t="s">
        <v>414</v>
      </c>
      <c r="B125" s="346" t="s">
        <v>116</v>
      </c>
      <c r="C125" s="346" t="s">
        <v>118</v>
      </c>
      <c r="D125" s="346" t="s">
        <v>1175</v>
      </c>
      <c r="E125" s="346"/>
      <c r="F125" s="295">
        <f>F126</f>
        <v>0</v>
      </c>
      <c r="G125" s="295">
        <f>G126</f>
        <v>0</v>
      </c>
    </row>
    <row r="126" spans="1:7" ht="78.75" hidden="1" x14ac:dyDescent="0.25">
      <c r="A126" s="345" t="s">
        <v>119</v>
      </c>
      <c r="B126" s="346" t="s">
        <v>116</v>
      </c>
      <c r="C126" s="346" t="s">
        <v>118</v>
      </c>
      <c r="D126" s="346" t="s">
        <v>1175</v>
      </c>
      <c r="E126" s="346" t="s">
        <v>120</v>
      </c>
      <c r="F126" s="295">
        <f>F127</f>
        <v>0</v>
      </c>
      <c r="G126" s="295">
        <f>G127</f>
        <v>0</v>
      </c>
    </row>
    <row r="127" spans="1:7" ht="36" hidden="1" customHeight="1" x14ac:dyDescent="0.25">
      <c r="A127" s="345" t="s">
        <v>121</v>
      </c>
      <c r="B127" s="346" t="s">
        <v>116</v>
      </c>
      <c r="C127" s="346" t="s">
        <v>118</v>
      </c>
      <c r="D127" s="346" t="s">
        <v>1175</v>
      </c>
      <c r="E127" s="346" t="s">
        <v>122</v>
      </c>
      <c r="F127" s="295">
        <f>'Пр.4 ведом.22'!G614</f>
        <v>0</v>
      </c>
      <c r="G127" s="295">
        <f>'Пр.4 ведом.22'!H614</f>
        <v>0</v>
      </c>
    </row>
    <row r="128" spans="1:7" ht="20.25" hidden="1" customHeight="1" x14ac:dyDescent="0.25">
      <c r="A128" s="298" t="s">
        <v>696</v>
      </c>
      <c r="B128" s="299" t="s">
        <v>116</v>
      </c>
      <c r="C128" s="299" t="s">
        <v>187</v>
      </c>
      <c r="D128" s="299"/>
      <c r="E128" s="346"/>
      <c r="F128" s="297">
        <f t="shared" ref="F128:G130" si="24">F129</f>
        <v>0</v>
      </c>
      <c r="G128" s="297">
        <f t="shared" si="24"/>
        <v>0</v>
      </c>
    </row>
    <row r="129" spans="1:10" ht="23.25" hidden="1" customHeight="1" x14ac:dyDescent="0.25">
      <c r="A129" s="298" t="s">
        <v>133</v>
      </c>
      <c r="B129" s="299" t="s">
        <v>116</v>
      </c>
      <c r="C129" s="299" t="s">
        <v>187</v>
      </c>
      <c r="D129" s="299" t="s">
        <v>440</v>
      </c>
      <c r="E129" s="346"/>
      <c r="F129" s="297">
        <f t="shared" si="24"/>
        <v>0</v>
      </c>
      <c r="G129" s="297">
        <f t="shared" si="24"/>
        <v>0</v>
      </c>
    </row>
    <row r="130" spans="1:10" ht="36" hidden="1" customHeight="1" x14ac:dyDescent="0.25">
      <c r="A130" s="298" t="s">
        <v>444</v>
      </c>
      <c r="B130" s="299" t="s">
        <v>116</v>
      </c>
      <c r="C130" s="299" t="s">
        <v>187</v>
      </c>
      <c r="D130" s="299" t="s">
        <v>439</v>
      </c>
      <c r="E130" s="346"/>
      <c r="F130" s="297">
        <f t="shared" si="24"/>
        <v>0</v>
      </c>
      <c r="G130" s="297">
        <f t="shared" si="24"/>
        <v>0</v>
      </c>
    </row>
    <row r="131" spans="1:10" ht="24" hidden="1" customHeight="1" x14ac:dyDescent="0.25">
      <c r="A131" s="29" t="s">
        <v>154</v>
      </c>
      <c r="B131" s="346" t="s">
        <v>116</v>
      </c>
      <c r="C131" s="346" t="s">
        <v>187</v>
      </c>
      <c r="D131" s="346" t="s">
        <v>695</v>
      </c>
      <c r="E131" s="346"/>
      <c r="F131" s="300">
        <f>F132+F134</f>
        <v>0</v>
      </c>
      <c r="G131" s="300">
        <f>G132+G134</f>
        <v>0</v>
      </c>
    </row>
    <row r="132" spans="1:10" ht="78.75" hidden="1" customHeight="1" x14ac:dyDescent="0.25">
      <c r="A132" s="345" t="s">
        <v>119</v>
      </c>
      <c r="B132" s="346" t="s">
        <v>116</v>
      </c>
      <c r="C132" s="346" t="s">
        <v>187</v>
      </c>
      <c r="D132" s="346" t="s">
        <v>695</v>
      </c>
      <c r="E132" s="346" t="s">
        <v>120</v>
      </c>
      <c r="F132" s="300">
        <f>F133</f>
        <v>0</v>
      </c>
      <c r="G132" s="300">
        <f>G133</f>
        <v>0</v>
      </c>
    </row>
    <row r="133" spans="1:10" ht="36" hidden="1" customHeight="1" x14ac:dyDescent="0.25">
      <c r="A133" s="345" t="s">
        <v>121</v>
      </c>
      <c r="B133" s="346" t="s">
        <v>116</v>
      </c>
      <c r="C133" s="346" t="s">
        <v>187</v>
      </c>
      <c r="D133" s="346" t="s">
        <v>695</v>
      </c>
      <c r="E133" s="346" t="s">
        <v>122</v>
      </c>
      <c r="F133" s="300">
        <f>'Пр.4 ведом.22'!G123</f>
        <v>0</v>
      </c>
      <c r="G133" s="300">
        <f>'Пр.4 ведом.22'!H123</f>
        <v>0</v>
      </c>
    </row>
    <row r="134" spans="1:10" ht="36" hidden="1" customHeight="1" x14ac:dyDescent="0.25">
      <c r="A134" s="345" t="s">
        <v>153</v>
      </c>
      <c r="B134" s="346" t="s">
        <v>116</v>
      </c>
      <c r="C134" s="346" t="s">
        <v>187</v>
      </c>
      <c r="D134" s="346" t="s">
        <v>695</v>
      </c>
      <c r="E134" s="346" t="s">
        <v>124</v>
      </c>
      <c r="F134" s="300">
        <f>F135</f>
        <v>0</v>
      </c>
      <c r="G134" s="300">
        <f>G135</f>
        <v>0</v>
      </c>
    </row>
    <row r="135" spans="1:10" ht="36" hidden="1" customHeight="1" x14ac:dyDescent="0.25">
      <c r="A135" s="345" t="s">
        <v>125</v>
      </c>
      <c r="B135" s="346" t="s">
        <v>116</v>
      </c>
      <c r="C135" s="346" t="s">
        <v>187</v>
      </c>
      <c r="D135" s="346" t="s">
        <v>695</v>
      </c>
      <c r="E135" s="346" t="s">
        <v>126</v>
      </c>
      <c r="F135" s="300">
        <f>'Пр.4 ведом.22'!G125</f>
        <v>0</v>
      </c>
      <c r="G135" s="300">
        <f>'Пр.4 ведом.22'!H125</f>
        <v>0</v>
      </c>
    </row>
    <row r="136" spans="1:10" ht="22.7" customHeight="1" x14ac:dyDescent="0.25">
      <c r="A136" s="298" t="s">
        <v>895</v>
      </c>
      <c r="B136" s="299" t="s">
        <v>116</v>
      </c>
      <c r="C136" s="299" t="s">
        <v>251</v>
      </c>
      <c r="D136" s="299"/>
      <c r="E136" s="299"/>
      <c r="F136" s="297">
        <f>F137</f>
        <v>50</v>
      </c>
      <c r="G136" s="297">
        <f>G137</f>
        <v>50</v>
      </c>
    </row>
    <row r="137" spans="1:10" ht="18.399999999999999" customHeight="1" x14ac:dyDescent="0.25">
      <c r="A137" s="298" t="s">
        <v>133</v>
      </c>
      <c r="B137" s="299" t="s">
        <v>116</v>
      </c>
      <c r="C137" s="299" t="s">
        <v>251</v>
      </c>
      <c r="D137" s="299" t="s">
        <v>440</v>
      </c>
      <c r="E137" s="299"/>
      <c r="F137" s="297">
        <f t="shared" ref="F137:G139" si="25">F138</f>
        <v>50</v>
      </c>
      <c r="G137" s="297">
        <f t="shared" si="25"/>
        <v>50</v>
      </c>
    </row>
    <row r="138" spans="1:10" ht="36" customHeight="1" x14ac:dyDescent="0.25">
      <c r="A138" s="298" t="s">
        <v>444</v>
      </c>
      <c r="B138" s="299" t="s">
        <v>116</v>
      </c>
      <c r="C138" s="299" t="s">
        <v>251</v>
      </c>
      <c r="D138" s="299" t="s">
        <v>439</v>
      </c>
      <c r="E138" s="299"/>
      <c r="F138" s="297">
        <f t="shared" si="25"/>
        <v>50</v>
      </c>
      <c r="G138" s="297">
        <f t="shared" si="25"/>
        <v>50</v>
      </c>
    </row>
    <row r="139" spans="1:10" ht="16.350000000000001" customHeight="1" x14ac:dyDescent="0.25">
      <c r="A139" s="345" t="s">
        <v>686</v>
      </c>
      <c r="B139" s="346" t="s">
        <v>116</v>
      </c>
      <c r="C139" s="346" t="s">
        <v>251</v>
      </c>
      <c r="D139" s="346" t="s">
        <v>687</v>
      </c>
      <c r="E139" s="346"/>
      <c r="F139" s="300">
        <f t="shared" si="25"/>
        <v>50</v>
      </c>
      <c r="G139" s="300">
        <f t="shared" si="25"/>
        <v>50</v>
      </c>
    </row>
    <row r="140" spans="1:10" ht="23.85" customHeight="1" x14ac:dyDescent="0.25">
      <c r="A140" s="345" t="s">
        <v>127</v>
      </c>
      <c r="B140" s="346" t="s">
        <v>116</v>
      </c>
      <c r="C140" s="346" t="s">
        <v>251</v>
      </c>
      <c r="D140" s="346" t="s">
        <v>687</v>
      </c>
      <c r="E140" s="346" t="s">
        <v>134</v>
      </c>
      <c r="F140" s="300">
        <f>F141</f>
        <v>50</v>
      </c>
      <c r="G140" s="300">
        <f>G141</f>
        <v>50</v>
      </c>
    </row>
    <row r="141" spans="1:10" ht="19.7" customHeight="1" x14ac:dyDescent="0.25">
      <c r="A141" s="345" t="s">
        <v>686</v>
      </c>
      <c r="B141" s="346" t="s">
        <v>116</v>
      </c>
      <c r="C141" s="346" t="s">
        <v>251</v>
      </c>
      <c r="D141" s="346" t="s">
        <v>687</v>
      </c>
      <c r="E141" s="346" t="s">
        <v>688</v>
      </c>
      <c r="F141" s="300">
        <f>'Пр.4.1 ведом.23-24 '!G30</f>
        <v>50</v>
      </c>
      <c r="G141" s="300">
        <f>'Пр.4.1 ведом.23-24 '!H30</f>
        <v>50</v>
      </c>
    </row>
    <row r="142" spans="1:10" ht="15.75" x14ac:dyDescent="0.25">
      <c r="A142" s="340" t="s">
        <v>131</v>
      </c>
      <c r="B142" s="6" t="s">
        <v>116</v>
      </c>
      <c r="C142" s="6" t="s">
        <v>132</v>
      </c>
      <c r="D142" s="6"/>
      <c r="E142" s="6"/>
      <c r="F142" s="294">
        <f>F143+F173+F189+F206+F215+F220+F230+F185+F225</f>
        <v>61939.013509999997</v>
      </c>
      <c r="G142" s="294">
        <f>G143+G173+G189+G206+G215+G220+G230+G185+G225</f>
        <v>61136.299999999996</v>
      </c>
      <c r="H142" s="71"/>
      <c r="J142" s="71"/>
    </row>
    <row r="143" spans="1:10" ht="15.75" x14ac:dyDescent="0.25">
      <c r="A143" s="298" t="s">
        <v>133</v>
      </c>
      <c r="B143" s="299" t="s">
        <v>116</v>
      </c>
      <c r="C143" s="299" t="s">
        <v>132</v>
      </c>
      <c r="D143" s="299" t="s">
        <v>440</v>
      </c>
      <c r="E143" s="299"/>
      <c r="F143" s="294">
        <f>F144+F155+F164</f>
        <v>60312.899999999994</v>
      </c>
      <c r="G143" s="294">
        <f>G144+G155+G164</f>
        <v>60135.399999999994</v>
      </c>
      <c r="H143" s="71"/>
      <c r="J143" s="71"/>
    </row>
    <row r="144" spans="1:10" ht="15.75" x14ac:dyDescent="0.25">
      <c r="A144" s="298" t="s">
        <v>517</v>
      </c>
      <c r="B144" s="299" t="s">
        <v>116</v>
      </c>
      <c r="C144" s="299" t="s">
        <v>132</v>
      </c>
      <c r="D144" s="299" t="s">
        <v>516</v>
      </c>
      <c r="E144" s="299"/>
      <c r="F144" s="248">
        <f>F148+F145</f>
        <v>48202.6</v>
      </c>
      <c r="G144" s="248">
        <f>G148+G145</f>
        <v>48025.1</v>
      </c>
      <c r="H144" s="71"/>
      <c r="J144" s="71"/>
    </row>
    <row r="145" spans="1:10" ht="47.25" x14ac:dyDescent="0.25">
      <c r="A145" s="345" t="s">
        <v>414</v>
      </c>
      <c r="B145" s="346" t="s">
        <v>116</v>
      </c>
      <c r="C145" s="346" t="s">
        <v>132</v>
      </c>
      <c r="D145" s="346" t="s">
        <v>519</v>
      </c>
      <c r="E145" s="346"/>
      <c r="F145" s="295">
        <f>F146</f>
        <v>1118</v>
      </c>
      <c r="G145" s="295">
        <f>G146</f>
        <v>1118</v>
      </c>
      <c r="H145" s="71"/>
      <c r="J145" s="71"/>
    </row>
    <row r="146" spans="1:10" ht="78.75" x14ac:dyDescent="0.25">
      <c r="A146" s="345" t="s">
        <v>119</v>
      </c>
      <c r="B146" s="346" t="s">
        <v>116</v>
      </c>
      <c r="C146" s="346" t="s">
        <v>132</v>
      </c>
      <c r="D146" s="346" t="s">
        <v>519</v>
      </c>
      <c r="E146" s="346" t="s">
        <v>120</v>
      </c>
      <c r="F146" s="295">
        <f>F147</f>
        <v>1118</v>
      </c>
      <c r="G146" s="295">
        <f>G147</f>
        <v>1118</v>
      </c>
      <c r="H146" s="71"/>
      <c r="J146" s="71"/>
    </row>
    <row r="147" spans="1:10" ht="31.5" x14ac:dyDescent="0.25">
      <c r="A147" s="345" t="s">
        <v>121</v>
      </c>
      <c r="B147" s="346" t="s">
        <v>116</v>
      </c>
      <c r="C147" s="346" t="s">
        <v>132</v>
      </c>
      <c r="D147" s="346" t="s">
        <v>519</v>
      </c>
      <c r="E147" s="346" t="s">
        <v>156</v>
      </c>
      <c r="F147" s="295">
        <f>'Пр.4.1 ведом.23-24 '!G941</f>
        <v>1118</v>
      </c>
      <c r="G147" s="295">
        <f>'Пр.4.1 ведом.23-24 '!H941</f>
        <v>1118</v>
      </c>
      <c r="H147" s="71"/>
      <c r="J147" s="71"/>
    </row>
    <row r="148" spans="1:10" ht="15.75" x14ac:dyDescent="0.25">
      <c r="A148" s="345" t="s">
        <v>377</v>
      </c>
      <c r="B148" s="346" t="s">
        <v>116</v>
      </c>
      <c r="C148" s="346" t="s">
        <v>132</v>
      </c>
      <c r="D148" s="346" t="s">
        <v>518</v>
      </c>
      <c r="E148" s="346"/>
      <c r="F148" s="246">
        <f t="shared" ref="F148:G148" si="26">F149+F151+F153</f>
        <v>47084.6</v>
      </c>
      <c r="G148" s="246">
        <f t="shared" si="26"/>
        <v>46907.1</v>
      </c>
      <c r="H148" s="71"/>
      <c r="J148" s="71"/>
    </row>
    <row r="149" spans="1:10" ht="78.75" x14ac:dyDescent="0.25">
      <c r="A149" s="345" t="s">
        <v>119</v>
      </c>
      <c r="B149" s="346" t="s">
        <v>116</v>
      </c>
      <c r="C149" s="346" t="s">
        <v>132</v>
      </c>
      <c r="D149" s="346" t="s">
        <v>518</v>
      </c>
      <c r="E149" s="346" t="s">
        <v>120</v>
      </c>
      <c r="F149" s="246">
        <f t="shared" ref="F149:G149" si="27">F150</f>
        <v>37603.599999999999</v>
      </c>
      <c r="G149" s="246">
        <f t="shared" si="27"/>
        <v>37603.599999999999</v>
      </c>
      <c r="H149" s="71"/>
      <c r="J149" s="71"/>
    </row>
    <row r="150" spans="1:10" ht="20.25" customHeight="1" x14ac:dyDescent="0.25">
      <c r="A150" s="30" t="s">
        <v>212</v>
      </c>
      <c r="B150" s="346" t="s">
        <v>116</v>
      </c>
      <c r="C150" s="346" t="s">
        <v>132</v>
      </c>
      <c r="D150" s="346" t="s">
        <v>518</v>
      </c>
      <c r="E150" s="346" t="s">
        <v>156</v>
      </c>
      <c r="F150" s="246">
        <f>'Пр.4.1 ведом.23-24 '!G944</f>
        <v>37603.599999999999</v>
      </c>
      <c r="G150" s="246">
        <f>'Пр.4.1 ведом.23-24 '!H944</f>
        <v>37603.599999999999</v>
      </c>
      <c r="H150" s="71"/>
      <c r="J150" s="71"/>
    </row>
    <row r="151" spans="1:10" ht="31.5" x14ac:dyDescent="0.25">
      <c r="A151" s="345" t="s">
        <v>123</v>
      </c>
      <c r="B151" s="346" t="s">
        <v>116</v>
      </c>
      <c r="C151" s="346" t="s">
        <v>132</v>
      </c>
      <c r="D151" s="346" t="s">
        <v>518</v>
      </c>
      <c r="E151" s="346" t="s">
        <v>124</v>
      </c>
      <c r="F151" s="246">
        <f t="shared" ref="F151:G151" si="28">F152</f>
        <v>9059.9999999999982</v>
      </c>
      <c r="G151" s="246">
        <f t="shared" si="28"/>
        <v>8882.4999999999982</v>
      </c>
      <c r="H151" s="71"/>
      <c r="J151" s="71"/>
    </row>
    <row r="152" spans="1:10" ht="47.25" x14ac:dyDescent="0.25">
      <c r="A152" s="345" t="s">
        <v>125</v>
      </c>
      <c r="B152" s="346" t="s">
        <v>116</v>
      </c>
      <c r="C152" s="346" t="s">
        <v>132</v>
      </c>
      <c r="D152" s="346" t="s">
        <v>518</v>
      </c>
      <c r="E152" s="346" t="s">
        <v>126</v>
      </c>
      <c r="F152" s="246">
        <f>'Пр.4.1 ведом.23-24 '!G946</f>
        <v>9059.9999999999982</v>
      </c>
      <c r="G152" s="246">
        <f>'Пр.4.1 ведом.23-24 '!H946</f>
        <v>8882.4999999999982</v>
      </c>
      <c r="H152" s="71"/>
      <c r="J152" s="71"/>
    </row>
    <row r="153" spans="1:10" ht="15.75" x14ac:dyDescent="0.25">
      <c r="A153" s="345" t="s">
        <v>127</v>
      </c>
      <c r="B153" s="346" t="s">
        <v>116</v>
      </c>
      <c r="C153" s="346" t="s">
        <v>132</v>
      </c>
      <c r="D153" s="346" t="s">
        <v>518</v>
      </c>
      <c r="E153" s="346" t="s">
        <v>134</v>
      </c>
      <c r="F153" s="246">
        <f t="shared" ref="F153:G153" si="29">F154</f>
        <v>421</v>
      </c>
      <c r="G153" s="246">
        <f t="shared" si="29"/>
        <v>421</v>
      </c>
      <c r="H153" s="71"/>
      <c r="J153" s="71"/>
    </row>
    <row r="154" spans="1:10" ht="15.75" x14ac:dyDescent="0.25">
      <c r="A154" s="345" t="s">
        <v>338</v>
      </c>
      <c r="B154" s="346" t="s">
        <v>116</v>
      </c>
      <c r="C154" s="346" t="s">
        <v>132</v>
      </c>
      <c r="D154" s="346" t="s">
        <v>518</v>
      </c>
      <c r="E154" s="346" t="s">
        <v>130</v>
      </c>
      <c r="F154" s="246">
        <f>'Пр.4.1 ведом.23-24 '!G948</f>
        <v>421</v>
      </c>
      <c r="G154" s="246">
        <f>'Пр.4.1 ведом.23-24 '!H948</f>
        <v>421</v>
      </c>
      <c r="H154" s="71"/>
      <c r="J154" s="71"/>
    </row>
    <row r="155" spans="1:10" ht="31.5" x14ac:dyDescent="0.25">
      <c r="A155" s="298" t="s">
        <v>444</v>
      </c>
      <c r="B155" s="299" t="s">
        <v>116</v>
      </c>
      <c r="C155" s="299" t="s">
        <v>132</v>
      </c>
      <c r="D155" s="299" t="s">
        <v>439</v>
      </c>
      <c r="E155" s="299"/>
      <c r="F155" s="294">
        <f>F156+F161</f>
        <v>5928.7</v>
      </c>
      <c r="G155" s="294">
        <f>G156+G161</f>
        <v>5928.7</v>
      </c>
      <c r="H155" s="71"/>
      <c r="J155" s="71"/>
    </row>
    <row r="156" spans="1:10" ht="47.25" x14ac:dyDescent="0.25">
      <c r="A156" s="345" t="s">
        <v>230</v>
      </c>
      <c r="B156" s="346" t="s">
        <v>116</v>
      </c>
      <c r="C156" s="346" t="s">
        <v>132</v>
      </c>
      <c r="D156" s="346" t="s">
        <v>572</v>
      </c>
      <c r="E156" s="346"/>
      <c r="F156" s="295">
        <f>F157+F159</f>
        <v>5928.7</v>
      </c>
      <c r="G156" s="295">
        <f>G157+G159</f>
        <v>5928.7</v>
      </c>
      <c r="H156" s="71"/>
      <c r="J156" s="71"/>
    </row>
    <row r="157" spans="1:10" ht="31.5" x14ac:dyDescent="0.25">
      <c r="A157" s="345" t="s">
        <v>123</v>
      </c>
      <c r="B157" s="346" t="s">
        <v>116</v>
      </c>
      <c r="C157" s="346" t="s">
        <v>132</v>
      </c>
      <c r="D157" s="346" t="s">
        <v>572</v>
      </c>
      <c r="E157" s="346" t="s">
        <v>124</v>
      </c>
      <c r="F157" s="295">
        <f>F158</f>
        <v>5928.7</v>
      </c>
      <c r="G157" s="295">
        <f>G158</f>
        <v>5928.7</v>
      </c>
      <c r="H157" s="71"/>
      <c r="J157" s="71"/>
    </row>
    <row r="158" spans="1:10" ht="47.25" x14ac:dyDescent="0.25">
      <c r="A158" s="345" t="s">
        <v>125</v>
      </c>
      <c r="B158" s="346" t="s">
        <v>116</v>
      </c>
      <c r="C158" s="346" t="s">
        <v>132</v>
      </c>
      <c r="D158" s="346" t="s">
        <v>572</v>
      </c>
      <c r="E158" s="346" t="s">
        <v>126</v>
      </c>
      <c r="F158" s="295">
        <f>'Пр.4.1 ведом.23-24 '!G581</f>
        <v>5928.7</v>
      </c>
      <c r="G158" s="295">
        <f>'Пр.4.1 ведом.23-24 '!H581</f>
        <v>5928.7</v>
      </c>
      <c r="H158" s="71"/>
      <c r="J158" s="71"/>
    </row>
    <row r="159" spans="1:10" ht="15.75" hidden="1" x14ac:dyDescent="0.25">
      <c r="A159" s="345" t="s">
        <v>127</v>
      </c>
      <c r="B159" s="346" t="s">
        <v>116</v>
      </c>
      <c r="C159" s="346" t="s">
        <v>132</v>
      </c>
      <c r="D159" s="346" t="s">
        <v>572</v>
      </c>
      <c r="E159" s="346" t="s">
        <v>134</v>
      </c>
      <c r="F159" s="295">
        <f>F160</f>
        <v>0</v>
      </c>
      <c r="G159" s="295">
        <f>G160</f>
        <v>0</v>
      </c>
      <c r="H159" s="71"/>
      <c r="J159" s="71"/>
    </row>
    <row r="160" spans="1:10" ht="47.25" hidden="1" x14ac:dyDescent="0.25">
      <c r="A160" s="345" t="s">
        <v>411</v>
      </c>
      <c r="B160" s="346" t="s">
        <v>116</v>
      </c>
      <c r="C160" s="346" t="s">
        <v>132</v>
      </c>
      <c r="D160" s="346" t="s">
        <v>572</v>
      </c>
      <c r="E160" s="346" t="s">
        <v>136</v>
      </c>
      <c r="F160" s="295"/>
      <c r="G160" s="295"/>
      <c r="H160" s="71"/>
      <c r="J160" s="71"/>
    </row>
    <row r="161" spans="1:10" ht="31.5" hidden="1" x14ac:dyDescent="0.25">
      <c r="A161" s="345" t="s">
        <v>500</v>
      </c>
      <c r="B161" s="346" t="s">
        <v>116</v>
      </c>
      <c r="C161" s="346" t="s">
        <v>132</v>
      </c>
      <c r="D161" s="346" t="s">
        <v>573</v>
      </c>
      <c r="E161" s="346"/>
      <c r="F161" s="295">
        <f>F162</f>
        <v>0</v>
      </c>
      <c r="G161" s="295">
        <f>G162</f>
        <v>0</v>
      </c>
      <c r="H161" s="71"/>
      <c r="J161" s="71"/>
    </row>
    <row r="162" spans="1:10" ht="31.5" hidden="1" x14ac:dyDescent="0.25">
      <c r="A162" s="345" t="s">
        <v>123</v>
      </c>
      <c r="B162" s="346" t="s">
        <v>116</v>
      </c>
      <c r="C162" s="346" t="s">
        <v>132</v>
      </c>
      <c r="D162" s="346" t="s">
        <v>573</v>
      </c>
      <c r="E162" s="346" t="s">
        <v>124</v>
      </c>
      <c r="F162" s="295">
        <f>F163</f>
        <v>0</v>
      </c>
      <c r="G162" s="295">
        <f>G163</f>
        <v>0</v>
      </c>
      <c r="H162" s="71"/>
      <c r="J162" s="71"/>
    </row>
    <row r="163" spans="1:10" ht="47.25" hidden="1" x14ac:dyDescent="0.25">
      <c r="A163" s="345" t="s">
        <v>125</v>
      </c>
      <c r="B163" s="346" t="s">
        <v>116</v>
      </c>
      <c r="C163" s="346" t="s">
        <v>132</v>
      </c>
      <c r="D163" s="346" t="s">
        <v>573</v>
      </c>
      <c r="E163" s="346" t="s">
        <v>126</v>
      </c>
      <c r="F163" s="295">
        <f>'Пр.4 ведом.22'!G646</f>
        <v>0</v>
      </c>
      <c r="G163" s="295">
        <f>'Пр.4 ведом.22'!H646</f>
        <v>0</v>
      </c>
      <c r="H163" s="71"/>
      <c r="J163" s="71"/>
    </row>
    <row r="164" spans="1:10" ht="31.5" x14ac:dyDescent="0.25">
      <c r="A164" s="298" t="s">
        <v>491</v>
      </c>
      <c r="B164" s="299" t="s">
        <v>116</v>
      </c>
      <c r="C164" s="299" t="s">
        <v>132</v>
      </c>
      <c r="D164" s="299" t="s">
        <v>441</v>
      </c>
      <c r="E164" s="299"/>
      <c r="F164" s="294">
        <f>F165+F170</f>
        <v>6181.6</v>
      </c>
      <c r="G164" s="294">
        <f>G165+G170</f>
        <v>6181.6</v>
      </c>
      <c r="H164" s="71"/>
      <c r="J164" s="71"/>
    </row>
    <row r="165" spans="1:10" ht="31.5" x14ac:dyDescent="0.25">
      <c r="A165" s="345" t="s">
        <v>497</v>
      </c>
      <c r="B165" s="346" t="s">
        <v>116</v>
      </c>
      <c r="C165" s="346" t="s">
        <v>132</v>
      </c>
      <c r="D165" s="346" t="s">
        <v>442</v>
      </c>
      <c r="E165" s="346"/>
      <c r="F165" s="295">
        <f>F166+F168</f>
        <v>6052.6</v>
      </c>
      <c r="G165" s="295">
        <f>G166+G168</f>
        <v>6052.6</v>
      </c>
      <c r="H165" s="71"/>
      <c r="J165" s="71"/>
    </row>
    <row r="166" spans="1:10" ht="78.75" x14ac:dyDescent="0.25">
      <c r="A166" s="345" t="s">
        <v>119</v>
      </c>
      <c r="B166" s="346" t="s">
        <v>116</v>
      </c>
      <c r="C166" s="346" t="s">
        <v>132</v>
      </c>
      <c r="D166" s="346" t="s">
        <v>442</v>
      </c>
      <c r="E166" s="346" t="s">
        <v>120</v>
      </c>
      <c r="F166" s="295">
        <f>F167</f>
        <v>4703.3</v>
      </c>
      <c r="G166" s="295">
        <f>G167</f>
        <v>4703.3</v>
      </c>
      <c r="H166" s="71"/>
      <c r="J166" s="71"/>
    </row>
    <row r="167" spans="1:10" ht="31.5" x14ac:dyDescent="0.25">
      <c r="A167" s="345" t="s">
        <v>121</v>
      </c>
      <c r="B167" s="346" t="s">
        <v>116</v>
      </c>
      <c r="C167" s="346" t="s">
        <v>132</v>
      </c>
      <c r="D167" s="346" t="s">
        <v>442</v>
      </c>
      <c r="E167" s="346" t="s">
        <v>122</v>
      </c>
      <c r="F167" s="295">
        <f>'Пр.4.1 ведом.23-24 '!G130</f>
        <v>4703.3</v>
      </c>
      <c r="G167" s="295">
        <f>'Пр.4.1 ведом.23-24 '!H130</f>
        <v>4703.3</v>
      </c>
      <c r="H167" s="71"/>
      <c r="J167" s="71"/>
    </row>
    <row r="168" spans="1:10" ht="31.5" x14ac:dyDescent="0.25">
      <c r="A168" s="345" t="s">
        <v>153</v>
      </c>
      <c r="B168" s="346" t="s">
        <v>116</v>
      </c>
      <c r="C168" s="346" t="s">
        <v>132</v>
      </c>
      <c r="D168" s="346" t="s">
        <v>442</v>
      </c>
      <c r="E168" s="346" t="s">
        <v>124</v>
      </c>
      <c r="F168" s="295">
        <f>F169</f>
        <v>1349.3</v>
      </c>
      <c r="G168" s="295">
        <f>G169</f>
        <v>1349.3</v>
      </c>
      <c r="H168" s="71"/>
      <c r="J168" s="71"/>
    </row>
    <row r="169" spans="1:10" ht="47.25" x14ac:dyDescent="0.25">
      <c r="A169" s="345" t="s">
        <v>125</v>
      </c>
      <c r="B169" s="346" t="s">
        <v>116</v>
      </c>
      <c r="C169" s="346" t="s">
        <v>132</v>
      </c>
      <c r="D169" s="346" t="s">
        <v>442</v>
      </c>
      <c r="E169" s="346" t="s">
        <v>126</v>
      </c>
      <c r="F169" s="295">
        <f>'Пр.4.1 ведом.23-24 '!G132</f>
        <v>1349.3</v>
      </c>
      <c r="G169" s="295">
        <f>'Пр.4.1 ведом.23-24 '!H132</f>
        <v>1349.3</v>
      </c>
      <c r="H169" s="71"/>
      <c r="J169" s="71"/>
    </row>
    <row r="170" spans="1:10" ht="47.25" x14ac:dyDescent="0.25">
      <c r="A170" s="345" t="s">
        <v>414</v>
      </c>
      <c r="B170" s="346" t="s">
        <v>116</v>
      </c>
      <c r="C170" s="346" t="s">
        <v>132</v>
      </c>
      <c r="D170" s="346" t="s">
        <v>443</v>
      </c>
      <c r="E170" s="346"/>
      <c r="F170" s="295">
        <f>F171</f>
        <v>129</v>
      </c>
      <c r="G170" s="295">
        <f>G171</f>
        <v>129</v>
      </c>
      <c r="H170" s="71"/>
      <c r="J170" s="71"/>
    </row>
    <row r="171" spans="1:10" ht="78.75" x14ac:dyDescent="0.25">
      <c r="A171" s="345" t="s">
        <v>119</v>
      </c>
      <c r="B171" s="346" t="s">
        <v>116</v>
      </c>
      <c r="C171" s="346" t="s">
        <v>132</v>
      </c>
      <c r="D171" s="346" t="s">
        <v>443</v>
      </c>
      <c r="E171" s="346" t="s">
        <v>120</v>
      </c>
      <c r="F171" s="295">
        <f>F172</f>
        <v>129</v>
      </c>
      <c r="G171" s="295">
        <f>G172</f>
        <v>129</v>
      </c>
      <c r="H171" s="71"/>
      <c r="J171" s="71"/>
    </row>
    <row r="172" spans="1:10" ht="31.5" x14ac:dyDescent="0.25">
      <c r="A172" s="345" t="s">
        <v>121</v>
      </c>
      <c r="B172" s="346" t="s">
        <v>116</v>
      </c>
      <c r="C172" s="346" t="s">
        <v>132</v>
      </c>
      <c r="D172" s="346" t="s">
        <v>443</v>
      </c>
      <c r="E172" s="346" t="s">
        <v>122</v>
      </c>
      <c r="F172" s="295">
        <f>'Пр.4.1 ведом.23-24 '!G135</f>
        <v>129</v>
      </c>
      <c r="G172" s="295">
        <f>'Пр.4.1 ведом.23-24 '!H135</f>
        <v>129</v>
      </c>
      <c r="H172" s="71"/>
      <c r="J172" s="71"/>
    </row>
    <row r="173" spans="1:10" ht="47.25" x14ac:dyDescent="0.25">
      <c r="A173" s="298" t="s">
        <v>872</v>
      </c>
      <c r="B173" s="6" t="s">
        <v>116</v>
      </c>
      <c r="C173" s="6" t="s">
        <v>132</v>
      </c>
      <c r="D173" s="6" t="s">
        <v>213</v>
      </c>
      <c r="E173" s="6"/>
      <c r="F173" s="294">
        <f>F174</f>
        <v>655.9</v>
      </c>
      <c r="G173" s="294">
        <f>G174</f>
        <v>655.9</v>
      </c>
    </row>
    <row r="174" spans="1:10" ht="78.75" x14ac:dyDescent="0.25">
      <c r="A174" s="340" t="s">
        <v>852</v>
      </c>
      <c r="B174" s="6" t="s">
        <v>116</v>
      </c>
      <c r="C174" s="6" t="s">
        <v>132</v>
      </c>
      <c r="D174" s="6" t="s">
        <v>222</v>
      </c>
      <c r="E174" s="6"/>
      <c r="F174" s="294">
        <f>F175</f>
        <v>655.9</v>
      </c>
      <c r="G174" s="294">
        <f>G175</f>
        <v>655.9</v>
      </c>
    </row>
    <row r="175" spans="1:10" ht="63" x14ac:dyDescent="0.25">
      <c r="A175" s="164" t="s">
        <v>604</v>
      </c>
      <c r="B175" s="6" t="s">
        <v>116</v>
      </c>
      <c r="C175" s="6" t="s">
        <v>132</v>
      </c>
      <c r="D175" s="6" t="s">
        <v>478</v>
      </c>
      <c r="E175" s="6"/>
      <c r="F175" s="294">
        <f>F176+F179+F182</f>
        <v>655.9</v>
      </c>
      <c r="G175" s="294">
        <f>G176+G179+G182</f>
        <v>655.9</v>
      </c>
    </row>
    <row r="176" spans="1:10" ht="31.5" x14ac:dyDescent="0.25">
      <c r="A176" s="67" t="s">
        <v>647</v>
      </c>
      <c r="B176" s="341" t="s">
        <v>116</v>
      </c>
      <c r="C176" s="341" t="s">
        <v>132</v>
      </c>
      <c r="D176" s="341" t="s">
        <v>736</v>
      </c>
      <c r="E176" s="341"/>
      <c r="F176" s="295">
        <f t="shared" ref="F176:G177" si="30">F177</f>
        <v>440.8</v>
      </c>
      <c r="G176" s="295">
        <f t="shared" si="30"/>
        <v>440.8</v>
      </c>
    </row>
    <row r="177" spans="1:7" ht="31.5" x14ac:dyDescent="0.25">
      <c r="A177" s="20" t="s">
        <v>123</v>
      </c>
      <c r="B177" s="341" t="s">
        <v>116</v>
      </c>
      <c r="C177" s="341" t="s">
        <v>132</v>
      </c>
      <c r="D177" s="341" t="s">
        <v>736</v>
      </c>
      <c r="E177" s="341" t="s">
        <v>124</v>
      </c>
      <c r="F177" s="295">
        <f t="shared" si="30"/>
        <v>440.8</v>
      </c>
      <c r="G177" s="295">
        <f t="shared" si="30"/>
        <v>440.8</v>
      </c>
    </row>
    <row r="178" spans="1:7" ht="47.25" x14ac:dyDescent="0.25">
      <c r="A178" s="20" t="s">
        <v>125</v>
      </c>
      <c r="B178" s="341" t="s">
        <v>116</v>
      </c>
      <c r="C178" s="341" t="s">
        <v>132</v>
      </c>
      <c r="D178" s="341" t="s">
        <v>736</v>
      </c>
      <c r="E178" s="341" t="s">
        <v>126</v>
      </c>
      <c r="F178" s="295">
        <f>'Пр.4.1 ведом.23-24 '!G254</f>
        <v>440.8</v>
      </c>
      <c r="G178" s="295">
        <f>'Пр.4.1 ведом.23-24 '!H254</f>
        <v>440.8</v>
      </c>
    </row>
    <row r="179" spans="1:7" ht="31.5" x14ac:dyDescent="0.25">
      <c r="A179" s="29" t="s">
        <v>1025</v>
      </c>
      <c r="B179" s="341" t="s">
        <v>116</v>
      </c>
      <c r="C179" s="341" t="s">
        <v>132</v>
      </c>
      <c r="D179" s="341" t="s">
        <v>1059</v>
      </c>
      <c r="E179" s="341"/>
      <c r="F179" s="295">
        <f>F180</f>
        <v>215.1</v>
      </c>
      <c r="G179" s="295">
        <f>G180</f>
        <v>215.1</v>
      </c>
    </row>
    <row r="180" spans="1:7" ht="31.5" x14ac:dyDescent="0.25">
      <c r="A180" s="20" t="s">
        <v>123</v>
      </c>
      <c r="B180" s="341" t="s">
        <v>116</v>
      </c>
      <c r="C180" s="341" t="s">
        <v>132</v>
      </c>
      <c r="D180" s="341" t="s">
        <v>1059</v>
      </c>
      <c r="E180" s="341" t="s">
        <v>124</v>
      </c>
      <c r="F180" s="295">
        <f>F181</f>
        <v>215.1</v>
      </c>
      <c r="G180" s="295">
        <f>G181</f>
        <v>215.1</v>
      </c>
    </row>
    <row r="181" spans="1:7" ht="47.25" x14ac:dyDescent="0.25">
      <c r="A181" s="20" t="s">
        <v>125</v>
      </c>
      <c r="B181" s="341" t="s">
        <v>116</v>
      </c>
      <c r="C181" s="341" t="s">
        <v>132</v>
      </c>
      <c r="D181" s="341" t="s">
        <v>1059</v>
      </c>
      <c r="E181" s="341" t="s">
        <v>126</v>
      </c>
      <c r="F181" s="295">
        <f>'Пр.4.1 ведом.23-24 '!G257</f>
        <v>215.1</v>
      </c>
      <c r="G181" s="295">
        <f>'Пр.4.1 ведом.23-24 '!H257</f>
        <v>215.1</v>
      </c>
    </row>
    <row r="182" spans="1:7" ht="31.5" hidden="1" x14ac:dyDescent="0.25">
      <c r="A182" s="20" t="s">
        <v>1149</v>
      </c>
      <c r="B182" s="341" t="s">
        <v>116</v>
      </c>
      <c r="C182" s="341" t="s">
        <v>132</v>
      </c>
      <c r="D182" s="8" t="s">
        <v>1150</v>
      </c>
      <c r="E182" s="341"/>
      <c r="F182" s="295">
        <f>F183</f>
        <v>0</v>
      </c>
      <c r="G182" s="295">
        <f>G183</f>
        <v>0</v>
      </c>
    </row>
    <row r="183" spans="1:7" ht="31.5" hidden="1" x14ac:dyDescent="0.25">
      <c r="A183" s="20" t="s">
        <v>123</v>
      </c>
      <c r="B183" s="341" t="s">
        <v>116</v>
      </c>
      <c r="C183" s="341" t="s">
        <v>132</v>
      </c>
      <c r="D183" s="8" t="s">
        <v>1150</v>
      </c>
      <c r="E183" s="341" t="s">
        <v>124</v>
      </c>
      <c r="F183" s="295">
        <f>F184</f>
        <v>0</v>
      </c>
      <c r="G183" s="295">
        <f>G184</f>
        <v>0</v>
      </c>
    </row>
    <row r="184" spans="1:7" ht="47.25" hidden="1" x14ac:dyDescent="0.25">
      <c r="A184" s="20" t="s">
        <v>125</v>
      </c>
      <c r="B184" s="341" t="s">
        <v>116</v>
      </c>
      <c r="C184" s="341" t="s">
        <v>132</v>
      </c>
      <c r="D184" s="8" t="s">
        <v>1150</v>
      </c>
      <c r="E184" s="341" t="s">
        <v>126</v>
      </c>
      <c r="F184" s="295">
        <v>0</v>
      </c>
      <c r="G184" s="295">
        <v>0</v>
      </c>
    </row>
    <row r="185" spans="1:7" ht="47.25" x14ac:dyDescent="0.25">
      <c r="A185" s="298" t="s">
        <v>860</v>
      </c>
      <c r="B185" s="299" t="s">
        <v>116</v>
      </c>
      <c r="C185" s="299" t="s">
        <v>132</v>
      </c>
      <c r="D185" s="299" t="s">
        <v>206</v>
      </c>
      <c r="E185" s="299"/>
      <c r="F185" s="294">
        <f t="shared" ref="F185:G187" si="31">F186</f>
        <v>12</v>
      </c>
      <c r="G185" s="294">
        <f t="shared" si="31"/>
        <v>12</v>
      </c>
    </row>
    <row r="186" spans="1:7" ht="47.25" x14ac:dyDescent="0.25">
      <c r="A186" s="345" t="s">
        <v>632</v>
      </c>
      <c r="B186" s="346" t="s">
        <v>116</v>
      </c>
      <c r="C186" s="346" t="s">
        <v>132</v>
      </c>
      <c r="D186" s="346" t="s">
        <v>587</v>
      </c>
      <c r="E186" s="346"/>
      <c r="F186" s="295">
        <f t="shared" si="31"/>
        <v>12</v>
      </c>
      <c r="G186" s="295">
        <f t="shared" si="31"/>
        <v>12</v>
      </c>
    </row>
    <row r="187" spans="1:7" ht="31.5" x14ac:dyDescent="0.25">
      <c r="A187" s="345" t="s">
        <v>153</v>
      </c>
      <c r="B187" s="346" t="s">
        <v>116</v>
      </c>
      <c r="C187" s="346" t="s">
        <v>132</v>
      </c>
      <c r="D187" s="346" t="s">
        <v>587</v>
      </c>
      <c r="E187" s="346" t="s">
        <v>124</v>
      </c>
      <c r="F187" s="295">
        <f t="shared" si="31"/>
        <v>12</v>
      </c>
      <c r="G187" s="295">
        <f t="shared" si="31"/>
        <v>12</v>
      </c>
    </row>
    <row r="188" spans="1:7" ht="47.25" x14ac:dyDescent="0.25">
      <c r="A188" s="345" t="s">
        <v>125</v>
      </c>
      <c r="B188" s="346" t="s">
        <v>116</v>
      </c>
      <c r="C188" s="346" t="s">
        <v>132</v>
      </c>
      <c r="D188" s="346" t="s">
        <v>587</v>
      </c>
      <c r="E188" s="346" t="s">
        <v>126</v>
      </c>
      <c r="F188" s="295">
        <f>'Пр.4.1 ведом.23-24 '!G139</f>
        <v>12</v>
      </c>
      <c r="G188" s="295">
        <f>'Пр.4.1 ведом.23-24 '!H139</f>
        <v>12</v>
      </c>
    </row>
    <row r="189" spans="1:7" ht="47.25" x14ac:dyDescent="0.25">
      <c r="A189" s="298" t="s">
        <v>853</v>
      </c>
      <c r="B189" s="299" t="s">
        <v>116</v>
      </c>
      <c r="C189" s="299" t="s">
        <v>132</v>
      </c>
      <c r="D189" s="299" t="s">
        <v>209</v>
      </c>
      <c r="E189" s="299"/>
      <c r="F189" s="35">
        <f>F190</f>
        <v>120</v>
      </c>
      <c r="G189" s="35">
        <f>G190</f>
        <v>120</v>
      </c>
    </row>
    <row r="190" spans="1:7" ht="31.5" x14ac:dyDescent="0.25">
      <c r="A190" s="298" t="s">
        <v>608</v>
      </c>
      <c r="B190" s="299" t="s">
        <v>116</v>
      </c>
      <c r="C190" s="299" t="s">
        <v>132</v>
      </c>
      <c r="D190" s="299" t="s">
        <v>609</v>
      </c>
      <c r="E190" s="299"/>
      <c r="F190" s="35">
        <f>F191+F194+F197+F200+F203</f>
        <v>120</v>
      </c>
      <c r="G190" s="35">
        <f>G191+G194+G197+G200+G203</f>
        <v>120</v>
      </c>
    </row>
    <row r="191" spans="1:7" ht="31.5" x14ac:dyDescent="0.25">
      <c r="A191" s="66" t="s">
        <v>210</v>
      </c>
      <c r="B191" s="346" t="s">
        <v>116</v>
      </c>
      <c r="C191" s="346" t="s">
        <v>132</v>
      </c>
      <c r="D191" s="346" t="s">
        <v>610</v>
      </c>
      <c r="E191" s="346"/>
      <c r="F191" s="9">
        <f t="shared" ref="F191:G191" si="32">F192</f>
        <v>100</v>
      </c>
      <c r="G191" s="9">
        <f t="shared" si="32"/>
        <v>100</v>
      </c>
    </row>
    <row r="192" spans="1:7" ht="31.5" x14ac:dyDescent="0.25">
      <c r="A192" s="345" t="s">
        <v>123</v>
      </c>
      <c r="B192" s="346" t="s">
        <v>116</v>
      </c>
      <c r="C192" s="346" t="s">
        <v>132</v>
      </c>
      <c r="D192" s="346" t="s">
        <v>610</v>
      </c>
      <c r="E192" s="346" t="s">
        <v>124</v>
      </c>
      <c r="F192" s="9">
        <f>F193</f>
        <v>100</v>
      </c>
      <c r="G192" s="9">
        <f>G193</f>
        <v>100</v>
      </c>
    </row>
    <row r="193" spans="1:7" ht="47.25" x14ac:dyDescent="0.25">
      <c r="A193" s="345" t="s">
        <v>125</v>
      </c>
      <c r="B193" s="346" t="s">
        <v>116</v>
      </c>
      <c r="C193" s="346" t="s">
        <v>132</v>
      </c>
      <c r="D193" s="346" t="s">
        <v>610</v>
      </c>
      <c r="E193" s="346" t="s">
        <v>126</v>
      </c>
      <c r="F193" s="9">
        <f>'Пр.4.1 ведом.23-24 '!G615+'Пр.4.1 ведом.23-24 '!G850+'Пр.4.1 ведом.23-24 '!G265</f>
        <v>100</v>
      </c>
      <c r="G193" s="9">
        <f>'Пр.4.1 ведом.23-24 '!H615+'Пр.4.1 ведом.23-24 '!H850</f>
        <v>100</v>
      </c>
    </row>
    <row r="194" spans="1:7" ht="31.5" x14ac:dyDescent="0.25">
      <c r="A194" s="345" t="s">
        <v>211</v>
      </c>
      <c r="B194" s="346" t="s">
        <v>116</v>
      </c>
      <c r="C194" s="346" t="s">
        <v>132</v>
      </c>
      <c r="D194" s="346" t="s">
        <v>611</v>
      </c>
      <c r="E194" s="346"/>
      <c r="F194" s="9">
        <f>F195</f>
        <v>20</v>
      </c>
      <c r="G194" s="9">
        <f>G195</f>
        <v>20</v>
      </c>
    </row>
    <row r="195" spans="1:7" ht="31.5" x14ac:dyDescent="0.25">
      <c r="A195" s="345" t="s">
        <v>123</v>
      </c>
      <c r="B195" s="346" t="s">
        <v>116</v>
      </c>
      <c r="C195" s="346" t="s">
        <v>132</v>
      </c>
      <c r="D195" s="346" t="s">
        <v>611</v>
      </c>
      <c r="E195" s="346" t="s">
        <v>124</v>
      </c>
      <c r="F195" s="9">
        <f>F196</f>
        <v>20</v>
      </c>
      <c r="G195" s="9">
        <f>G196</f>
        <v>20</v>
      </c>
    </row>
    <row r="196" spans="1:7" ht="39.200000000000003" customHeight="1" x14ac:dyDescent="0.25">
      <c r="A196" s="345" t="s">
        <v>125</v>
      </c>
      <c r="B196" s="346" t="s">
        <v>116</v>
      </c>
      <c r="C196" s="346" t="s">
        <v>132</v>
      </c>
      <c r="D196" s="346" t="s">
        <v>611</v>
      </c>
      <c r="E196" s="346" t="s">
        <v>126</v>
      </c>
      <c r="F196" s="9">
        <f>'Пр.4.1 ведом.23-24 '!G268</f>
        <v>20</v>
      </c>
      <c r="G196" s="9">
        <f>'Пр.4.1 ведом.23-24 '!H268</f>
        <v>20</v>
      </c>
    </row>
    <row r="197" spans="1:7" ht="47.25" hidden="1" x14ac:dyDescent="0.25">
      <c r="A197" s="22" t="s">
        <v>349</v>
      </c>
      <c r="B197" s="346" t="s">
        <v>116</v>
      </c>
      <c r="C197" s="346" t="s">
        <v>132</v>
      </c>
      <c r="D197" s="346" t="s">
        <v>612</v>
      </c>
      <c r="E197" s="346"/>
      <c r="F197" s="9">
        <f t="shared" ref="F197:G197" si="33">F198</f>
        <v>0</v>
      </c>
      <c r="G197" s="9">
        <f t="shared" si="33"/>
        <v>0</v>
      </c>
    </row>
    <row r="198" spans="1:7" ht="31.5" hidden="1" x14ac:dyDescent="0.25">
      <c r="A198" s="345" t="s">
        <v>123</v>
      </c>
      <c r="B198" s="346" t="s">
        <v>116</v>
      </c>
      <c r="C198" s="346" t="s">
        <v>132</v>
      </c>
      <c r="D198" s="346" t="s">
        <v>612</v>
      </c>
      <c r="E198" s="346" t="s">
        <v>124</v>
      </c>
      <c r="F198" s="9">
        <f>F199</f>
        <v>0</v>
      </c>
      <c r="G198" s="9">
        <f>G199</f>
        <v>0</v>
      </c>
    </row>
    <row r="199" spans="1:7" ht="47.25" hidden="1" x14ac:dyDescent="0.25">
      <c r="A199" s="345" t="s">
        <v>125</v>
      </c>
      <c r="B199" s="346" t="s">
        <v>116</v>
      </c>
      <c r="C199" s="346" t="s">
        <v>132</v>
      </c>
      <c r="D199" s="346" t="s">
        <v>612</v>
      </c>
      <c r="E199" s="346" t="s">
        <v>126</v>
      </c>
      <c r="F199" s="9">
        <f>'Пр.4 ведом.22'!G300</f>
        <v>0</v>
      </c>
      <c r="G199" s="9">
        <f>'Пр.4 ведом.22'!H300</f>
        <v>0</v>
      </c>
    </row>
    <row r="200" spans="1:7" ht="15.75" hidden="1" x14ac:dyDescent="0.25">
      <c r="A200" s="345" t="s">
        <v>555</v>
      </c>
      <c r="B200" s="346" t="s">
        <v>116</v>
      </c>
      <c r="C200" s="346" t="s">
        <v>132</v>
      </c>
      <c r="D200" s="346" t="s">
        <v>613</v>
      </c>
      <c r="E200" s="346"/>
      <c r="F200" s="9">
        <f t="shared" ref="F200:G200" si="34">F201</f>
        <v>0</v>
      </c>
      <c r="G200" s="9">
        <f t="shared" si="34"/>
        <v>0</v>
      </c>
    </row>
    <row r="201" spans="1:7" ht="31.5" hidden="1" x14ac:dyDescent="0.25">
      <c r="A201" s="345" t="s">
        <v>123</v>
      </c>
      <c r="B201" s="346" t="s">
        <v>116</v>
      </c>
      <c r="C201" s="346" t="s">
        <v>132</v>
      </c>
      <c r="D201" s="346" t="s">
        <v>613</v>
      </c>
      <c r="E201" s="346" t="s">
        <v>124</v>
      </c>
      <c r="F201" s="9">
        <f>F202</f>
        <v>0</v>
      </c>
      <c r="G201" s="9">
        <f>G202</f>
        <v>0</v>
      </c>
    </row>
    <row r="202" spans="1:7" ht="47.25" hidden="1" x14ac:dyDescent="0.25">
      <c r="A202" s="345" t="s">
        <v>125</v>
      </c>
      <c r="B202" s="346" t="s">
        <v>116</v>
      </c>
      <c r="C202" s="346" t="s">
        <v>132</v>
      </c>
      <c r="D202" s="346" t="s">
        <v>613</v>
      </c>
      <c r="E202" s="346" t="s">
        <v>126</v>
      </c>
      <c r="F202" s="9">
        <f>'Пр.4 ведом.22'!G303</f>
        <v>0</v>
      </c>
      <c r="G202" s="9">
        <f>'Пр.4 ведом.22'!H303</f>
        <v>0</v>
      </c>
    </row>
    <row r="203" spans="1:7" ht="31.5" hidden="1" x14ac:dyDescent="0.25">
      <c r="A203" s="22" t="s">
        <v>350</v>
      </c>
      <c r="B203" s="346" t="s">
        <v>116</v>
      </c>
      <c r="C203" s="346" t="s">
        <v>132</v>
      </c>
      <c r="D203" s="346" t="s">
        <v>614</v>
      </c>
      <c r="E203" s="346"/>
      <c r="F203" s="9">
        <f>F204</f>
        <v>0</v>
      </c>
      <c r="G203" s="9">
        <f>G204</f>
        <v>0</v>
      </c>
    </row>
    <row r="204" spans="1:7" ht="31.5" hidden="1" x14ac:dyDescent="0.25">
      <c r="A204" s="345" t="s">
        <v>123</v>
      </c>
      <c r="B204" s="346" t="s">
        <v>116</v>
      </c>
      <c r="C204" s="346" t="s">
        <v>132</v>
      </c>
      <c r="D204" s="346" t="s">
        <v>614</v>
      </c>
      <c r="E204" s="346" t="s">
        <v>124</v>
      </c>
      <c r="F204" s="9">
        <f>F205</f>
        <v>0</v>
      </c>
      <c r="G204" s="9">
        <f>G205</f>
        <v>0</v>
      </c>
    </row>
    <row r="205" spans="1:7" ht="47.25" hidden="1" x14ac:dyDescent="0.25">
      <c r="A205" s="345" t="s">
        <v>125</v>
      </c>
      <c r="B205" s="346" t="s">
        <v>116</v>
      </c>
      <c r="C205" s="346" t="s">
        <v>132</v>
      </c>
      <c r="D205" s="346" t="s">
        <v>614</v>
      </c>
      <c r="E205" s="346" t="s">
        <v>126</v>
      </c>
      <c r="F205" s="9">
        <f>'Пр.4 ведом.22'!G306</f>
        <v>0</v>
      </c>
      <c r="G205" s="9">
        <f>'Пр.4 ведом.22'!H306</f>
        <v>0</v>
      </c>
    </row>
    <row r="206" spans="1:7" ht="47.25" x14ac:dyDescent="0.25">
      <c r="A206" s="340" t="s">
        <v>856</v>
      </c>
      <c r="B206" s="7" t="s">
        <v>116</v>
      </c>
      <c r="C206" s="7" t="s">
        <v>132</v>
      </c>
      <c r="D206" s="299" t="s">
        <v>339</v>
      </c>
      <c r="E206" s="304"/>
      <c r="F206" s="35">
        <f>F207+F211</f>
        <v>58</v>
      </c>
      <c r="G206" s="35">
        <f>G207+G211</f>
        <v>58</v>
      </c>
    </row>
    <row r="207" spans="1:7" ht="47.25" x14ac:dyDescent="0.25">
      <c r="A207" s="339" t="s">
        <v>420</v>
      </c>
      <c r="B207" s="299" t="s">
        <v>116</v>
      </c>
      <c r="C207" s="299" t="s">
        <v>132</v>
      </c>
      <c r="D207" s="299" t="s">
        <v>426</v>
      </c>
      <c r="E207" s="299"/>
      <c r="F207" s="35">
        <f>F208</f>
        <v>43</v>
      </c>
      <c r="G207" s="35">
        <f>G208</f>
        <v>43</v>
      </c>
    </row>
    <row r="208" spans="1:7" ht="39.75" customHeight="1" x14ac:dyDescent="0.25">
      <c r="A208" s="67" t="s">
        <v>353</v>
      </c>
      <c r="B208" s="346" t="s">
        <v>116</v>
      </c>
      <c r="C208" s="346" t="s">
        <v>132</v>
      </c>
      <c r="D208" s="346" t="s">
        <v>421</v>
      </c>
      <c r="E208" s="346"/>
      <c r="F208" s="9">
        <f t="shared" ref="F208:G209" si="35">F209</f>
        <v>43</v>
      </c>
      <c r="G208" s="9">
        <f t="shared" si="35"/>
        <v>43</v>
      </c>
    </row>
    <row r="209" spans="1:7" ht="31.5" x14ac:dyDescent="0.25">
      <c r="A209" s="345" t="s">
        <v>123</v>
      </c>
      <c r="B209" s="346" t="s">
        <v>116</v>
      </c>
      <c r="C209" s="346" t="s">
        <v>132</v>
      </c>
      <c r="D209" s="346" t="s">
        <v>421</v>
      </c>
      <c r="E209" s="346" t="s">
        <v>124</v>
      </c>
      <c r="F209" s="9">
        <f t="shared" si="35"/>
        <v>43</v>
      </c>
      <c r="G209" s="9">
        <f t="shared" si="35"/>
        <v>43</v>
      </c>
    </row>
    <row r="210" spans="1:7" ht="47.25" x14ac:dyDescent="0.25">
      <c r="A210" s="345" t="s">
        <v>125</v>
      </c>
      <c r="B210" s="346" t="s">
        <v>116</v>
      </c>
      <c r="C210" s="346" t="s">
        <v>132</v>
      </c>
      <c r="D210" s="346" t="s">
        <v>421</v>
      </c>
      <c r="E210" s="346" t="s">
        <v>126</v>
      </c>
      <c r="F210" s="9">
        <f>'Пр.4.1 ведом.23-24 '!G282+'Пр.4.1 ведом.23-24 '!G144</f>
        <v>43</v>
      </c>
      <c r="G210" s="9">
        <f>'Пр.4.1 ведом.23-24 '!H282+'Пр.4.1 ведом.23-24 '!H144</f>
        <v>43</v>
      </c>
    </row>
    <row r="211" spans="1:7" ht="31.5" x14ac:dyDescent="0.25">
      <c r="A211" s="303" t="s">
        <v>584</v>
      </c>
      <c r="B211" s="299" t="s">
        <v>116</v>
      </c>
      <c r="C211" s="299" t="s">
        <v>132</v>
      </c>
      <c r="D211" s="299" t="s">
        <v>427</v>
      </c>
      <c r="E211" s="304"/>
      <c r="F211" s="35">
        <f>F212</f>
        <v>15</v>
      </c>
      <c r="G211" s="35">
        <f>G212</f>
        <v>15</v>
      </c>
    </row>
    <row r="212" spans="1:7" ht="33" customHeight="1" x14ac:dyDescent="0.25">
      <c r="A212" s="67" t="s">
        <v>354</v>
      </c>
      <c r="B212" s="346" t="s">
        <v>116</v>
      </c>
      <c r="C212" s="346" t="s">
        <v>132</v>
      </c>
      <c r="D212" s="346" t="s">
        <v>422</v>
      </c>
      <c r="E212" s="301"/>
      <c r="F212" s="9">
        <f t="shared" ref="F212:G213" si="36">F213</f>
        <v>15</v>
      </c>
      <c r="G212" s="9">
        <f t="shared" si="36"/>
        <v>15</v>
      </c>
    </row>
    <row r="213" spans="1:7" ht="31.7" customHeight="1" x14ac:dyDescent="0.25">
      <c r="A213" s="345" t="s">
        <v>123</v>
      </c>
      <c r="B213" s="346" t="s">
        <v>116</v>
      </c>
      <c r="C213" s="346" t="s">
        <v>132</v>
      </c>
      <c r="D213" s="346" t="s">
        <v>422</v>
      </c>
      <c r="E213" s="301" t="s">
        <v>124</v>
      </c>
      <c r="F213" s="9">
        <f t="shared" si="36"/>
        <v>15</v>
      </c>
      <c r="G213" s="9">
        <f t="shared" si="36"/>
        <v>15</v>
      </c>
    </row>
    <row r="214" spans="1:7" ht="40.700000000000003" customHeight="1" x14ac:dyDescent="0.25">
      <c r="A214" s="345" t="s">
        <v>125</v>
      </c>
      <c r="B214" s="346" t="s">
        <v>116</v>
      </c>
      <c r="C214" s="346" t="s">
        <v>132</v>
      </c>
      <c r="D214" s="346" t="s">
        <v>422</v>
      </c>
      <c r="E214" s="301" t="s">
        <v>126</v>
      </c>
      <c r="F214" s="9">
        <f>'Пр.4.1 ведом.23-24 '!G148</f>
        <v>15</v>
      </c>
      <c r="G214" s="9">
        <f>'Пр.4.1 ведом.23-24 '!H148</f>
        <v>15</v>
      </c>
    </row>
    <row r="215" spans="1:7" ht="63" hidden="1" x14ac:dyDescent="0.25">
      <c r="A215" s="138" t="s">
        <v>985</v>
      </c>
      <c r="B215" s="299" t="s">
        <v>116</v>
      </c>
      <c r="C215" s="299" t="s">
        <v>132</v>
      </c>
      <c r="D215" s="299" t="s">
        <v>358</v>
      </c>
      <c r="E215" s="304"/>
      <c r="F215" s="35">
        <f>F217</f>
        <v>625.21350999999993</v>
      </c>
      <c r="G215" s="35">
        <f>G217</f>
        <v>0</v>
      </c>
    </row>
    <row r="216" spans="1:7" ht="31.5" hidden="1" x14ac:dyDescent="0.25">
      <c r="A216" s="298" t="s">
        <v>499</v>
      </c>
      <c r="B216" s="299" t="s">
        <v>116</v>
      </c>
      <c r="C216" s="299" t="s">
        <v>132</v>
      </c>
      <c r="D216" s="299" t="s">
        <v>581</v>
      </c>
      <c r="E216" s="304"/>
      <c r="F216" s="35">
        <f t="shared" ref="F216:G218" si="37">F217</f>
        <v>625.21350999999993</v>
      </c>
      <c r="G216" s="35">
        <f t="shared" si="37"/>
        <v>0</v>
      </c>
    </row>
    <row r="217" spans="1:7" ht="31.5" hidden="1" x14ac:dyDescent="0.25">
      <c r="A217" s="108" t="s">
        <v>366</v>
      </c>
      <c r="B217" s="346" t="s">
        <v>116</v>
      </c>
      <c r="C217" s="346" t="s">
        <v>132</v>
      </c>
      <c r="D217" s="346" t="s">
        <v>582</v>
      </c>
      <c r="E217" s="301"/>
      <c r="F217" s="9">
        <f t="shared" si="37"/>
        <v>625.21350999999993</v>
      </c>
      <c r="G217" s="9">
        <f t="shared" si="37"/>
        <v>0</v>
      </c>
    </row>
    <row r="218" spans="1:7" ht="31.5" hidden="1" x14ac:dyDescent="0.25">
      <c r="A218" s="108" t="s">
        <v>123</v>
      </c>
      <c r="B218" s="346" t="s">
        <v>116</v>
      </c>
      <c r="C218" s="346" t="s">
        <v>132</v>
      </c>
      <c r="D218" s="346" t="s">
        <v>582</v>
      </c>
      <c r="E218" s="301" t="s">
        <v>124</v>
      </c>
      <c r="F218" s="9">
        <f t="shared" si="37"/>
        <v>625.21350999999993</v>
      </c>
      <c r="G218" s="9">
        <f t="shared" si="37"/>
        <v>0</v>
      </c>
    </row>
    <row r="219" spans="1:7" ht="47.25" hidden="1" x14ac:dyDescent="0.25">
      <c r="A219" s="108" t="s">
        <v>125</v>
      </c>
      <c r="B219" s="346" t="s">
        <v>116</v>
      </c>
      <c r="C219" s="346" t="s">
        <v>132</v>
      </c>
      <c r="D219" s="346" t="s">
        <v>582</v>
      </c>
      <c r="E219" s="301" t="s">
        <v>126</v>
      </c>
      <c r="F219" s="9">
        <f>'Пр.4 ведом.22'!G657</f>
        <v>625.21350999999993</v>
      </c>
      <c r="G219" s="9">
        <f>'Пр.4 ведом.22'!H657</f>
        <v>0</v>
      </c>
    </row>
    <row r="220" spans="1:7" ht="78.75" x14ac:dyDescent="0.25">
      <c r="A220" s="340" t="s">
        <v>873</v>
      </c>
      <c r="B220" s="7" t="s">
        <v>116</v>
      </c>
      <c r="C220" s="7" t="s">
        <v>132</v>
      </c>
      <c r="D220" s="387" t="s">
        <v>393</v>
      </c>
      <c r="E220" s="7"/>
      <c r="F220" s="35">
        <f t="shared" ref="F220:G223" si="38">F221</f>
        <v>45</v>
      </c>
      <c r="G220" s="35">
        <f t="shared" si="38"/>
        <v>45</v>
      </c>
    </row>
    <row r="221" spans="1:7" ht="47.25" x14ac:dyDescent="0.25">
      <c r="A221" s="134" t="s">
        <v>428</v>
      </c>
      <c r="B221" s="7" t="s">
        <v>116</v>
      </c>
      <c r="C221" s="7" t="s">
        <v>132</v>
      </c>
      <c r="D221" s="119" t="s">
        <v>628</v>
      </c>
      <c r="E221" s="7"/>
      <c r="F221" s="35">
        <f t="shared" si="38"/>
        <v>45</v>
      </c>
      <c r="G221" s="35">
        <f t="shared" si="38"/>
        <v>45</v>
      </c>
    </row>
    <row r="222" spans="1:7" ht="31.5" x14ac:dyDescent="0.25">
      <c r="A222" s="66" t="s">
        <v>145</v>
      </c>
      <c r="B222" s="8" t="s">
        <v>116</v>
      </c>
      <c r="C222" s="8" t="s">
        <v>132</v>
      </c>
      <c r="D222" s="4" t="s">
        <v>429</v>
      </c>
      <c r="E222" s="8"/>
      <c r="F222" s="9">
        <f t="shared" si="38"/>
        <v>45</v>
      </c>
      <c r="G222" s="9">
        <f t="shared" si="38"/>
        <v>45</v>
      </c>
    </row>
    <row r="223" spans="1:7" ht="31.5" x14ac:dyDescent="0.25">
      <c r="A223" s="345" t="s">
        <v>123</v>
      </c>
      <c r="B223" s="8" t="s">
        <v>116</v>
      </c>
      <c r="C223" s="8" t="s">
        <v>132</v>
      </c>
      <c r="D223" s="4" t="s">
        <v>429</v>
      </c>
      <c r="E223" s="8" t="s">
        <v>124</v>
      </c>
      <c r="F223" s="9">
        <f t="shared" si="38"/>
        <v>45</v>
      </c>
      <c r="G223" s="9">
        <f t="shared" si="38"/>
        <v>45</v>
      </c>
    </row>
    <row r="224" spans="1:7" ht="47.25" x14ac:dyDescent="0.25">
      <c r="A224" s="345" t="s">
        <v>125</v>
      </c>
      <c r="B224" s="8" t="s">
        <v>116</v>
      </c>
      <c r="C224" s="8" t="s">
        <v>132</v>
      </c>
      <c r="D224" s="4" t="s">
        <v>429</v>
      </c>
      <c r="E224" s="8" t="s">
        <v>126</v>
      </c>
      <c r="F224" s="9">
        <f>'Пр.4.1 ведом.23-24 '!G153</f>
        <v>45</v>
      </c>
      <c r="G224" s="9">
        <f>'Пр.4.1 ведом.23-24 '!H153</f>
        <v>45</v>
      </c>
    </row>
    <row r="225" spans="1:7" ht="63" x14ac:dyDescent="0.25">
      <c r="A225" s="340" t="s">
        <v>1257</v>
      </c>
      <c r="B225" s="7" t="s">
        <v>116</v>
      </c>
      <c r="C225" s="7" t="s">
        <v>132</v>
      </c>
      <c r="D225" s="119" t="s">
        <v>1249</v>
      </c>
      <c r="E225" s="7"/>
      <c r="F225" s="35">
        <f t="shared" ref="F225:G228" si="39">F226</f>
        <v>30</v>
      </c>
      <c r="G225" s="35">
        <f t="shared" si="39"/>
        <v>30</v>
      </c>
    </row>
    <row r="226" spans="1:7" ht="47.25" x14ac:dyDescent="0.25">
      <c r="A226" s="340" t="s">
        <v>1258</v>
      </c>
      <c r="B226" s="7" t="s">
        <v>116</v>
      </c>
      <c r="C226" s="7" t="s">
        <v>132</v>
      </c>
      <c r="D226" s="119" t="s">
        <v>1250</v>
      </c>
      <c r="E226" s="7"/>
      <c r="F226" s="35">
        <f t="shared" si="39"/>
        <v>30</v>
      </c>
      <c r="G226" s="35">
        <f t="shared" si="39"/>
        <v>30</v>
      </c>
    </row>
    <row r="227" spans="1:7" ht="31.5" x14ac:dyDescent="0.25">
      <c r="A227" s="345" t="s">
        <v>1259</v>
      </c>
      <c r="B227" s="8" t="s">
        <v>116</v>
      </c>
      <c r="C227" s="8" t="s">
        <v>132</v>
      </c>
      <c r="D227" s="4" t="s">
        <v>1254</v>
      </c>
      <c r="E227" s="8"/>
      <c r="F227" s="9">
        <f t="shared" si="39"/>
        <v>30</v>
      </c>
      <c r="G227" s="9">
        <f t="shared" si="39"/>
        <v>30</v>
      </c>
    </row>
    <row r="228" spans="1:7" ht="31.5" x14ac:dyDescent="0.25">
      <c r="A228" s="583" t="s">
        <v>177</v>
      </c>
      <c r="B228" s="8" t="s">
        <v>116</v>
      </c>
      <c r="C228" s="8" t="s">
        <v>132</v>
      </c>
      <c r="D228" s="4" t="s">
        <v>1254</v>
      </c>
      <c r="E228" s="8" t="s">
        <v>178</v>
      </c>
      <c r="F228" s="9">
        <f t="shared" si="39"/>
        <v>30</v>
      </c>
      <c r="G228" s="9">
        <f t="shared" si="39"/>
        <v>30</v>
      </c>
    </row>
    <row r="229" spans="1:7" ht="15.75" x14ac:dyDescent="0.25">
      <c r="A229" s="345" t="s">
        <v>1260</v>
      </c>
      <c r="B229" s="8" t="s">
        <v>116</v>
      </c>
      <c r="C229" s="8" t="s">
        <v>132</v>
      </c>
      <c r="D229" s="4" t="s">
        <v>1254</v>
      </c>
      <c r="E229" s="8" t="s">
        <v>1252</v>
      </c>
      <c r="F229" s="9">
        <f>'Пр.4.1 ведом.23-24 '!G158</f>
        <v>30</v>
      </c>
      <c r="G229" s="9">
        <f>'Пр.4.1 ведом.23-24 '!H158</f>
        <v>30</v>
      </c>
    </row>
    <row r="230" spans="1:7" ht="63" x14ac:dyDescent="0.25">
      <c r="A230" s="340" t="s">
        <v>874</v>
      </c>
      <c r="B230" s="7" t="s">
        <v>116</v>
      </c>
      <c r="C230" s="7" t="s">
        <v>132</v>
      </c>
      <c r="D230" s="119" t="s">
        <v>394</v>
      </c>
      <c r="E230" s="7"/>
      <c r="F230" s="294">
        <f>F231</f>
        <v>80</v>
      </c>
      <c r="G230" s="294">
        <f>G231</f>
        <v>80</v>
      </c>
    </row>
    <row r="231" spans="1:7" ht="31.5" x14ac:dyDescent="0.25">
      <c r="A231" s="34" t="s">
        <v>430</v>
      </c>
      <c r="B231" s="7" t="s">
        <v>116</v>
      </c>
      <c r="C231" s="7" t="s">
        <v>132</v>
      </c>
      <c r="D231" s="119" t="s">
        <v>438</v>
      </c>
      <c r="E231" s="7"/>
      <c r="F231" s="294">
        <f t="shared" ref="F231:G232" si="40">F232</f>
        <v>80</v>
      </c>
      <c r="G231" s="294">
        <f t="shared" si="40"/>
        <v>80</v>
      </c>
    </row>
    <row r="232" spans="1:7" ht="15.75" x14ac:dyDescent="0.25">
      <c r="A232" s="29" t="s">
        <v>398</v>
      </c>
      <c r="B232" s="8" t="s">
        <v>116</v>
      </c>
      <c r="C232" s="8" t="s">
        <v>132</v>
      </c>
      <c r="D232" s="4" t="s">
        <v>431</v>
      </c>
      <c r="E232" s="8"/>
      <c r="F232" s="246">
        <f t="shared" si="40"/>
        <v>80</v>
      </c>
      <c r="G232" s="246">
        <f t="shared" si="40"/>
        <v>80</v>
      </c>
    </row>
    <row r="233" spans="1:7" ht="39.75" customHeight="1" x14ac:dyDescent="0.25">
      <c r="A233" s="345" t="s">
        <v>123</v>
      </c>
      <c r="B233" s="8" t="s">
        <v>116</v>
      </c>
      <c r="C233" s="8" t="s">
        <v>132</v>
      </c>
      <c r="D233" s="4" t="s">
        <v>431</v>
      </c>
      <c r="E233" s="8" t="s">
        <v>124</v>
      </c>
      <c r="F233" s="246">
        <f>F234</f>
        <v>80</v>
      </c>
      <c r="G233" s="246">
        <f>G234</f>
        <v>80</v>
      </c>
    </row>
    <row r="234" spans="1:7" ht="47.25" x14ac:dyDescent="0.25">
      <c r="A234" s="345" t="s">
        <v>125</v>
      </c>
      <c r="B234" s="8" t="s">
        <v>116</v>
      </c>
      <c r="C234" s="8" t="s">
        <v>132</v>
      </c>
      <c r="D234" s="4" t="s">
        <v>431</v>
      </c>
      <c r="E234" s="8" t="s">
        <v>126</v>
      </c>
      <c r="F234" s="295">
        <f>'Пр.4.1 ведом.23-24 '!G163</f>
        <v>80</v>
      </c>
      <c r="G234" s="295">
        <f>'Пр.4.1 ведом.23-24 '!H163</f>
        <v>80</v>
      </c>
    </row>
    <row r="235" spans="1:7" ht="15.75" hidden="1" x14ac:dyDescent="0.25">
      <c r="A235" s="298" t="s">
        <v>157</v>
      </c>
      <c r="B235" s="299" t="s">
        <v>158</v>
      </c>
      <c r="C235" s="299"/>
      <c r="D235" s="299"/>
      <c r="E235" s="299"/>
      <c r="F235" s="294">
        <f t="shared" ref="F235:G240" si="41">F236</f>
        <v>0</v>
      </c>
      <c r="G235" s="294">
        <f t="shared" si="41"/>
        <v>0</v>
      </c>
    </row>
    <row r="236" spans="1:7" ht="19.5" hidden="1" customHeight="1" x14ac:dyDescent="0.25">
      <c r="A236" s="298" t="s">
        <v>160</v>
      </c>
      <c r="B236" s="299" t="s">
        <v>158</v>
      </c>
      <c r="C236" s="299" t="s">
        <v>161</v>
      </c>
      <c r="D236" s="299"/>
      <c r="E236" s="299"/>
      <c r="F236" s="294">
        <f t="shared" si="41"/>
        <v>0</v>
      </c>
      <c r="G236" s="294">
        <f t="shared" si="41"/>
        <v>0</v>
      </c>
    </row>
    <row r="237" spans="1:7" ht="15.75" hidden="1" x14ac:dyDescent="0.25">
      <c r="A237" s="298" t="s">
        <v>133</v>
      </c>
      <c r="B237" s="299" t="s">
        <v>158</v>
      </c>
      <c r="C237" s="299" t="s">
        <v>161</v>
      </c>
      <c r="D237" s="299" t="s">
        <v>440</v>
      </c>
      <c r="E237" s="299"/>
      <c r="F237" s="294">
        <f t="shared" si="41"/>
        <v>0</v>
      </c>
      <c r="G237" s="294">
        <f t="shared" si="41"/>
        <v>0</v>
      </c>
    </row>
    <row r="238" spans="1:7" ht="31.5" hidden="1" x14ac:dyDescent="0.25">
      <c r="A238" s="298" t="s">
        <v>444</v>
      </c>
      <c r="B238" s="299" t="s">
        <v>158</v>
      </c>
      <c r="C238" s="299" t="s">
        <v>161</v>
      </c>
      <c r="D238" s="299" t="s">
        <v>439</v>
      </c>
      <c r="E238" s="299"/>
      <c r="F238" s="294">
        <f t="shared" si="41"/>
        <v>0</v>
      </c>
      <c r="G238" s="294">
        <f t="shared" si="41"/>
        <v>0</v>
      </c>
    </row>
    <row r="239" spans="1:7" ht="15.75" hidden="1" x14ac:dyDescent="0.25">
      <c r="A239" s="345" t="s">
        <v>162</v>
      </c>
      <c r="B239" s="346" t="s">
        <v>158</v>
      </c>
      <c r="C239" s="346" t="s">
        <v>161</v>
      </c>
      <c r="D239" s="346" t="s">
        <v>445</v>
      </c>
      <c r="E239" s="346"/>
      <c r="F239" s="295">
        <f t="shared" si="41"/>
        <v>0</v>
      </c>
      <c r="G239" s="295">
        <f t="shared" si="41"/>
        <v>0</v>
      </c>
    </row>
    <row r="240" spans="1:7" ht="31.5" hidden="1" x14ac:dyDescent="0.25">
      <c r="A240" s="345" t="s">
        <v>153</v>
      </c>
      <c r="B240" s="346" t="s">
        <v>158</v>
      </c>
      <c r="C240" s="346" t="s">
        <v>161</v>
      </c>
      <c r="D240" s="346" t="s">
        <v>445</v>
      </c>
      <c r="E240" s="346" t="s">
        <v>124</v>
      </c>
      <c r="F240" s="295">
        <f t="shared" si="41"/>
        <v>0</v>
      </c>
      <c r="G240" s="295">
        <f t="shared" si="41"/>
        <v>0</v>
      </c>
    </row>
    <row r="241" spans="1:10" ht="47.25" hidden="1" x14ac:dyDescent="0.25">
      <c r="A241" s="345" t="s">
        <v>125</v>
      </c>
      <c r="B241" s="346" t="s">
        <v>158</v>
      </c>
      <c r="C241" s="346" t="s">
        <v>161</v>
      </c>
      <c r="D241" s="346" t="s">
        <v>445</v>
      </c>
      <c r="E241" s="346" t="s">
        <v>126</v>
      </c>
      <c r="F241" s="295">
        <f>'Пр.4 ведом.22'!G178</f>
        <v>0</v>
      </c>
      <c r="G241" s="295">
        <f>'Пр.4 ведом.22'!H178</f>
        <v>0</v>
      </c>
    </row>
    <row r="242" spans="1:10" ht="31.5" x14ac:dyDescent="0.25">
      <c r="A242" s="298" t="s">
        <v>163</v>
      </c>
      <c r="B242" s="299" t="s">
        <v>159</v>
      </c>
      <c r="C242" s="299"/>
      <c r="D242" s="299"/>
      <c r="E242" s="299"/>
      <c r="F242" s="294">
        <f t="shared" ref="F242:G242" si="42">F243</f>
        <v>8292.1999999999989</v>
      </c>
      <c r="G242" s="294">
        <f t="shared" si="42"/>
        <v>8292.1999999999989</v>
      </c>
    </row>
    <row r="243" spans="1:10" ht="47.25" x14ac:dyDescent="0.25">
      <c r="A243" s="298" t="s">
        <v>849</v>
      </c>
      <c r="B243" s="299" t="s">
        <v>159</v>
      </c>
      <c r="C243" s="299" t="s">
        <v>174</v>
      </c>
      <c r="D243" s="346"/>
      <c r="E243" s="346"/>
      <c r="F243" s="294">
        <f>F244+F262</f>
        <v>8292.1999999999989</v>
      </c>
      <c r="G243" s="294">
        <f>G244+G262</f>
        <v>8292.1999999999989</v>
      </c>
      <c r="H243" s="71"/>
      <c r="I243" s="71"/>
      <c r="J243" s="71"/>
    </row>
    <row r="244" spans="1:10" ht="15.75" x14ac:dyDescent="0.25">
      <c r="A244" s="298" t="s">
        <v>133</v>
      </c>
      <c r="B244" s="299" t="s">
        <v>159</v>
      </c>
      <c r="C244" s="299" t="s">
        <v>174</v>
      </c>
      <c r="D244" s="299" t="s">
        <v>440</v>
      </c>
      <c r="E244" s="299"/>
      <c r="F244" s="294">
        <f>F245+F252</f>
        <v>8292.1999999999989</v>
      </c>
      <c r="G244" s="294">
        <f>G245+G252</f>
        <v>8292.1999999999989</v>
      </c>
    </row>
    <row r="245" spans="1:10" ht="31.5" x14ac:dyDescent="0.25">
      <c r="A245" s="298" t="s">
        <v>444</v>
      </c>
      <c r="B245" s="299" t="s">
        <v>159</v>
      </c>
      <c r="C245" s="299" t="s">
        <v>174</v>
      </c>
      <c r="D245" s="299" t="s">
        <v>439</v>
      </c>
      <c r="E245" s="299"/>
      <c r="F245" s="294">
        <f>F246+F249</f>
        <v>1588.8</v>
      </c>
      <c r="G245" s="294">
        <f>G246+G249</f>
        <v>1588.8</v>
      </c>
    </row>
    <row r="246" spans="1:10" ht="47.25" x14ac:dyDescent="0.25">
      <c r="A246" s="345" t="s">
        <v>164</v>
      </c>
      <c r="B246" s="346" t="s">
        <v>159</v>
      </c>
      <c r="C246" s="346" t="s">
        <v>174</v>
      </c>
      <c r="D246" s="346" t="s">
        <v>449</v>
      </c>
      <c r="E246" s="346"/>
      <c r="F246" s="295">
        <f t="shared" ref="F246:G247" si="43">F247</f>
        <v>1284.8</v>
      </c>
      <c r="G246" s="295">
        <f t="shared" si="43"/>
        <v>1284.8</v>
      </c>
    </row>
    <row r="247" spans="1:10" ht="31.5" x14ac:dyDescent="0.25">
      <c r="A247" s="345" t="s">
        <v>153</v>
      </c>
      <c r="B247" s="346" t="s">
        <v>159</v>
      </c>
      <c r="C247" s="346" t="s">
        <v>174</v>
      </c>
      <c r="D247" s="346" t="s">
        <v>449</v>
      </c>
      <c r="E247" s="346" t="s">
        <v>124</v>
      </c>
      <c r="F247" s="295">
        <f t="shared" si="43"/>
        <v>1284.8</v>
      </c>
      <c r="G247" s="295">
        <f t="shared" si="43"/>
        <v>1284.8</v>
      </c>
    </row>
    <row r="248" spans="1:10" ht="47.25" x14ac:dyDescent="0.25">
      <c r="A248" s="345" t="s">
        <v>125</v>
      </c>
      <c r="B248" s="346" t="s">
        <v>159</v>
      </c>
      <c r="C248" s="346" t="s">
        <v>174</v>
      </c>
      <c r="D248" s="346" t="s">
        <v>449</v>
      </c>
      <c r="E248" s="346" t="s">
        <v>126</v>
      </c>
      <c r="F248" s="249">
        <f>'Пр.4.1 ведом.23-24 '!G177</f>
        <v>1284.8</v>
      </c>
      <c r="G248" s="249">
        <f>'Пр.4.1 ведом.23-24 '!H177</f>
        <v>1284.8</v>
      </c>
    </row>
    <row r="249" spans="1:10" ht="15.75" x14ac:dyDescent="0.25">
      <c r="A249" s="345" t="s">
        <v>165</v>
      </c>
      <c r="B249" s="346" t="s">
        <v>159</v>
      </c>
      <c r="C249" s="346" t="s">
        <v>174</v>
      </c>
      <c r="D249" s="346" t="s">
        <v>450</v>
      </c>
      <c r="E249" s="346"/>
      <c r="F249" s="249">
        <f t="shared" ref="F249:G250" si="44">F250</f>
        <v>304</v>
      </c>
      <c r="G249" s="249">
        <f t="shared" si="44"/>
        <v>304</v>
      </c>
    </row>
    <row r="250" spans="1:10" ht="31.5" x14ac:dyDescent="0.25">
      <c r="A250" s="345" t="s">
        <v>153</v>
      </c>
      <c r="B250" s="346" t="s">
        <v>159</v>
      </c>
      <c r="C250" s="346" t="s">
        <v>174</v>
      </c>
      <c r="D250" s="346" t="s">
        <v>450</v>
      </c>
      <c r="E250" s="346" t="s">
        <v>124</v>
      </c>
      <c r="F250" s="249">
        <f t="shared" si="44"/>
        <v>304</v>
      </c>
      <c r="G250" s="249">
        <f t="shared" si="44"/>
        <v>304</v>
      </c>
    </row>
    <row r="251" spans="1:10" ht="47.25" x14ac:dyDescent="0.25">
      <c r="A251" s="345" t="s">
        <v>125</v>
      </c>
      <c r="B251" s="346" t="s">
        <v>159</v>
      </c>
      <c r="C251" s="346" t="s">
        <v>174</v>
      </c>
      <c r="D251" s="346" t="s">
        <v>450</v>
      </c>
      <c r="E251" s="346" t="s">
        <v>126</v>
      </c>
      <c r="F251" s="249">
        <f>'Пр.4.1 ведом.23-24 '!G180+'Пр.4.1 ведом.23-24 '!G964</f>
        <v>304</v>
      </c>
      <c r="G251" s="249">
        <f>'Пр.4.1 ведом.23-24 '!H180+'Пр.4.1 ведом.23-24 '!H964</f>
        <v>304</v>
      </c>
      <c r="H251" s="249"/>
    </row>
    <row r="252" spans="1:10" ht="31.5" x14ac:dyDescent="0.25">
      <c r="A252" s="298" t="s">
        <v>492</v>
      </c>
      <c r="B252" s="299" t="s">
        <v>159</v>
      </c>
      <c r="C252" s="299" t="s">
        <v>174</v>
      </c>
      <c r="D252" s="299" t="s">
        <v>446</v>
      </c>
      <c r="E252" s="299"/>
      <c r="F252" s="294">
        <f>F253+F258</f>
        <v>6703.4</v>
      </c>
      <c r="G252" s="294">
        <f>G253+G258</f>
        <v>6703.4</v>
      </c>
    </row>
    <row r="253" spans="1:10" ht="31.5" x14ac:dyDescent="0.25">
      <c r="A253" s="345" t="s">
        <v>496</v>
      </c>
      <c r="B253" s="346" t="s">
        <v>159</v>
      </c>
      <c r="C253" s="346" t="s">
        <v>174</v>
      </c>
      <c r="D253" s="346" t="s">
        <v>447</v>
      </c>
      <c r="E253" s="346"/>
      <c r="F253" s="246">
        <f>F254+F256</f>
        <v>6445.4</v>
      </c>
      <c r="G253" s="246">
        <f>G254+G256</f>
        <v>6445.4</v>
      </c>
    </row>
    <row r="254" spans="1:10" ht="78.75" x14ac:dyDescent="0.25">
      <c r="A254" s="345" t="s">
        <v>119</v>
      </c>
      <c r="B254" s="346" t="s">
        <v>159</v>
      </c>
      <c r="C254" s="346" t="s">
        <v>174</v>
      </c>
      <c r="D254" s="346" t="s">
        <v>447</v>
      </c>
      <c r="E254" s="346" t="s">
        <v>120</v>
      </c>
      <c r="F254" s="246">
        <f>F255</f>
        <v>6119.4</v>
      </c>
      <c r="G254" s="246">
        <f>G255</f>
        <v>6119.4</v>
      </c>
    </row>
    <row r="255" spans="1:10" ht="15.75" x14ac:dyDescent="0.25">
      <c r="A255" s="345" t="s">
        <v>155</v>
      </c>
      <c r="B255" s="346" t="s">
        <v>159</v>
      </c>
      <c r="C255" s="346" t="s">
        <v>174</v>
      </c>
      <c r="D255" s="346" t="s">
        <v>447</v>
      </c>
      <c r="E255" s="346" t="s">
        <v>156</v>
      </c>
      <c r="F255" s="295">
        <f>'Пр.4.1 ведом.23-24 '!G184</f>
        <v>6119.4</v>
      </c>
      <c r="G255" s="295">
        <f>'Пр.4.1 ведом.23-24 '!H184</f>
        <v>6119.4</v>
      </c>
    </row>
    <row r="256" spans="1:10" ht="31.5" x14ac:dyDescent="0.25">
      <c r="A256" s="345" t="s">
        <v>153</v>
      </c>
      <c r="B256" s="346" t="s">
        <v>159</v>
      </c>
      <c r="C256" s="346" t="s">
        <v>174</v>
      </c>
      <c r="D256" s="346" t="s">
        <v>447</v>
      </c>
      <c r="E256" s="346" t="s">
        <v>124</v>
      </c>
      <c r="F256" s="295">
        <f>F257</f>
        <v>326</v>
      </c>
      <c r="G256" s="295">
        <f>G257</f>
        <v>326</v>
      </c>
    </row>
    <row r="257" spans="1:12" ht="47.25" x14ac:dyDescent="0.25">
      <c r="A257" s="345" t="s">
        <v>125</v>
      </c>
      <c r="B257" s="346" t="s">
        <v>159</v>
      </c>
      <c r="C257" s="346" t="s">
        <v>174</v>
      </c>
      <c r="D257" s="346" t="s">
        <v>447</v>
      </c>
      <c r="E257" s="346" t="s">
        <v>126</v>
      </c>
      <c r="F257" s="295">
        <f>'Пр.4.1 ведом.23-24 '!G186</f>
        <v>326</v>
      </c>
      <c r="G257" s="295">
        <f>'Пр.4.1 ведом.23-24 '!H186</f>
        <v>326</v>
      </c>
    </row>
    <row r="258" spans="1:12" ht="47.25" x14ac:dyDescent="0.25">
      <c r="A258" s="345" t="s">
        <v>414</v>
      </c>
      <c r="B258" s="346" t="s">
        <v>159</v>
      </c>
      <c r="C258" s="346" t="s">
        <v>174</v>
      </c>
      <c r="D258" s="346" t="s">
        <v>448</v>
      </c>
      <c r="E258" s="346"/>
      <c r="F258" s="295">
        <f t="shared" ref="F258:G258" si="45">F259</f>
        <v>258</v>
      </c>
      <c r="G258" s="295">
        <f t="shared" si="45"/>
        <v>258</v>
      </c>
    </row>
    <row r="259" spans="1:12" ht="78.75" x14ac:dyDescent="0.25">
      <c r="A259" s="345" t="s">
        <v>119</v>
      </c>
      <c r="B259" s="346" t="s">
        <v>159</v>
      </c>
      <c r="C259" s="346" t="s">
        <v>174</v>
      </c>
      <c r="D259" s="346" t="s">
        <v>448</v>
      </c>
      <c r="E259" s="346" t="s">
        <v>120</v>
      </c>
      <c r="F259" s="295">
        <f>F260</f>
        <v>258</v>
      </c>
      <c r="G259" s="295">
        <f>G260</f>
        <v>258</v>
      </c>
    </row>
    <row r="260" spans="1:12" ht="15.75" x14ac:dyDescent="0.25">
      <c r="A260" s="345" t="s">
        <v>155</v>
      </c>
      <c r="B260" s="346" t="s">
        <v>159</v>
      </c>
      <c r="C260" s="346" t="s">
        <v>174</v>
      </c>
      <c r="D260" s="346" t="s">
        <v>448</v>
      </c>
      <c r="E260" s="346" t="s">
        <v>156</v>
      </c>
      <c r="F260" s="295">
        <f>'Пр.4.1 ведом.23-24 '!G189</f>
        <v>258</v>
      </c>
      <c r="G260" s="295">
        <f>'Пр.4.1 ведом.23-24 '!H189</f>
        <v>258</v>
      </c>
    </row>
    <row r="261" spans="1:12" ht="47.25" hidden="1" x14ac:dyDescent="0.25">
      <c r="A261" s="340" t="s">
        <v>856</v>
      </c>
      <c r="B261" s="7" t="s">
        <v>116</v>
      </c>
      <c r="C261" s="7" t="s">
        <v>132</v>
      </c>
      <c r="D261" s="299" t="s">
        <v>339</v>
      </c>
      <c r="E261" s="346"/>
      <c r="F261" s="294">
        <f>F262</f>
        <v>0</v>
      </c>
      <c r="G261" s="294">
        <f>G262</f>
        <v>0</v>
      </c>
    </row>
    <row r="262" spans="1:12" ht="31.5" hidden="1" x14ac:dyDescent="0.25">
      <c r="A262" s="298" t="s">
        <v>1027</v>
      </c>
      <c r="B262" s="299" t="s">
        <v>159</v>
      </c>
      <c r="C262" s="299" t="s">
        <v>174</v>
      </c>
      <c r="D262" s="299" t="s">
        <v>1028</v>
      </c>
      <c r="E262" s="304"/>
      <c r="F262" s="294">
        <f>F263+F266</f>
        <v>0</v>
      </c>
      <c r="G262" s="294">
        <f>G263+G266</f>
        <v>0</v>
      </c>
    </row>
    <row r="263" spans="1:12" ht="15.75" hidden="1" x14ac:dyDescent="0.25">
      <c r="A263" s="345" t="s">
        <v>165</v>
      </c>
      <c r="B263" s="346" t="s">
        <v>159</v>
      </c>
      <c r="C263" s="346" t="s">
        <v>174</v>
      </c>
      <c r="D263" s="346" t="s">
        <v>1029</v>
      </c>
      <c r="E263" s="301"/>
      <c r="F263" s="295">
        <f>F264</f>
        <v>0</v>
      </c>
      <c r="G263" s="295">
        <f>G264</f>
        <v>0</v>
      </c>
    </row>
    <row r="264" spans="1:12" ht="31.5" hidden="1" x14ac:dyDescent="0.25">
      <c r="A264" s="345" t="s">
        <v>123</v>
      </c>
      <c r="B264" s="346" t="s">
        <v>159</v>
      </c>
      <c r="C264" s="346" t="s">
        <v>174</v>
      </c>
      <c r="D264" s="346" t="s">
        <v>1029</v>
      </c>
      <c r="E264" s="301" t="s">
        <v>124</v>
      </c>
      <c r="F264" s="295">
        <f>F265</f>
        <v>0</v>
      </c>
      <c r="G264" s="295">
        <f>G265</f>
        <v>0</v>
      </c>
    </row>
    <row r="265" spans="1:12" ht="47.25" hidden="1" x14ac:dyDescent="0.25">
      <c r="A265" s="345" t="s">
        <v>125</v>
      </c>
      <c r="B265" s="346" t="s">
        <v>159</v>
      </c>
      <c r="C265" s="346" t="s">
        <v>174</v>
      </c>
      <c r="D265" s="346" t="s">
        <v>1029</v>
      </c>
      <c r="E265" s="301" t="s">
        <v>126</v>
      </c>
      <c r="F265" s="295">
        <f>'Пр.4 ведом.22'!G215</f>
        <v>0</v>
      </c>
      <c r="G265" s="295">
        <f>'Пр.4 ведом.22'!H215</f>
        <v>0</v>
      </c>
    </row>
    <row r="266" spans="1:12" ht="47.25" hidden="1" x14ac:dyDescent="0.25">
      <c r="A266" s="345" t="s">
        <v>1062</v>
      </c>
      <c r="B266" s="346" t="s">
        <v>159</v>
      </c>
      <c r="C266" s="346" t="s">
        <v>174</v>
      </c>
      <c r="D266" s="346" t="s">
        <v>1063</v>
      </c>
      <c r="E266" s="301"/>
      <c r="F266" s="295">
        <f>F267</f>
        <v>0</v>
      </c>
      <c r="G266" s="295">
        <f>G267</f>
        <v>0</v>
      </c>
    </row>
    <row r="267" spans="1:12" ht="31.5" hidden="1" x14ac:dyDescent="0.25">
      <c r="A267" s="345" t="s">
        <v>177</v>
      </c>
      <c r="B267" s="346" t="s">
        <v>159</v>
      </c>
      <c r="C267" s="346" t="s">
        <v>174</v>
      </c>
      <c r="D267" s="346" t="s">
        <v>1063</v>
      </c>
      <c r="E267" s="301" t="s">
        <v>178</v>
      </c>
      <c r="F267" s="295">
        <f>F268</f>
        <v>0</v>
      </c>
      <c r="G267" s="295">
        <f>G268</f>
        <v>0</v>
      </c>
    </row>
    <row r="268" spans="1:12" ht="31.5" hidden="1" x14ac:dyDescent="0.25">
      <c r="A268" s="345" t="s">
        <v>179</v>
      </c>
      <c r="B268" s="346" t="s">
        <v>159</v>
      </c>
      <c r="C268" s="346" t="s">
        <v>174</v>
      </c>
      <c r="D268" s="346" t="s">
        <v>1063</v>
      </c>
      <c r="E268" s="301" t="s">
        <v>180</v>
      </c>
      <c r="F268" s="295">
        <f>'Пр.4 ведом.22'!G221</f>
        <v>0</v>
      </c>
      <c r="G268" s="295">
        <f>'Пр.4 ведом.22'!H221</f>
        <v>0</v>
      </c>
    </row>
    <row r="269" spans="1:12" ht="15.75" x14ac:dyDescent="0.25">
      <c r="A269" s="298" t="s">
        <v>166</v>
      </c>
      <c r="B269" s="299" t="s">
        <v>139</v>
      </c>
      <c r="C269" s="299"/>
      <c r="D269" s="299"/>
      <c r="E269" s="346"/>
      <c r="F269" s="294">
        <f>F280+F286+F300+F270</f>
        <v>7163.66</v>
      </c>
      <c r="G269" s="294">
        <f>G280+G286+G300+G270</f>
        <v>7465.16</v>
      </c>
      <c r="K269" s="71" t="e">
        <f>F269-F302-'Пр.4 ведом.22'!#REF!-'Пр.4 ведом.22'!#REF!-'Пр.4 ведом.22'!#REF!</f>
        <v>#REF!</v>
      </c>
      <c r="L269" s="15" t="e">
        <f>F302+F315+F328-'Пр.4 ведом.22'!#REF!-'Пр.4 ведом.22'!#REF!-'Пр.4 ведом.22'!#REF!+F273</f>
        <v>#REF!</v>
      </c>
    </row>
    <row r="270" spans="1:12" ht="15.75" x14ac:dyDescent="0.25">
      <c r="A270" s="298" t="s">
        <v>167</v>
      </c>
      <c r="B270" s="299" t="s">
        <v>139</v>
      </c>
      <c r="C270" s="299" t="s">
        <v>168</v>
      </c>
      <c r="D270" s="299"/>
      <c r="E270" s="346"/>
      <c r="F270" s="294">
        <f>F271</f>
        <v>19.199999999999989</v>
      </c>
      <c r="G270" s="294">
        <f>G271</f>
        <v>274.2</v>
      </c>
    </row>
    <row r="271" spans="1:12" ht="31.7" customHeight="1" x14ac:dyDescent="0.25">
      <c r="A271" s="24" t="s">
        <v>875</v>
      </c>
      <c r="B271" s="299" t="s">
        <v>139</v>
      </c>
      <c r="C271" s="299" t="s">
        <v>168</v>
      </c>
      <c r="D271" s="119" t="s">
        <v>147</v>
      </c>
      <c r="E271" s="304"/>
      <c r="F271" s="294">
        <f>F272+F276</f>
        <v>19.199999999999989</v>
      </c>
      <c r="G271" s="294">
        <f>G272+G276</f>
        <v>274.2</v>
      </c>
    </row>
    <row r="272" spans="1:12" ht="31.5" x14ac:dyDescent="0.25">
      <c r="A272" s="24" t="s">
        <v>567</v>
      </c>
      <c r="B272" s="299" t="s">
        <v>139</v>
      </c>
      <c r="C272" s="299" t="s">
        <v>168</v>
      </c>
      <c r="D272" s="165" t="s">
        <v>451</v>
      </c>
      <c r="E272" s="304"/>
      <c r="F272" s="294">
        <f t="shared" ref="F272:G274" si="46">F273</f>
        <v>19.199999999999989</v>
      </c>
      <c r="G272" s="294">
        <f t="shared" si="46"/>
        <v>274.2</v>
      </c>
    </row>
    <row r="273" spans="1:7" ht="31.5" x14ac:dyDescent="0.25">
      <c r="A273" s="345" t="s">
        <v>169</v>
      </c>
      <c r="B273" s="346" t="s">
        <v>139</v>
      </c>
      <c r="C273" s="346" t="s">
        <v>168</v>
      </c>
      <c r="D273" s="346" t="s">
        <v>467</v>
      </c>
      <c r="E273" s="301"/>
      <c r="F273" s="295">
        <f t="shared" si="46"/>
        <v>19.199999999999989</v>
      </c>
      <c r="G273" s="295">
        <f t="shared" si="46"/>
        <v>274.2</v>
      </c>
    </row>
    <row r="274" spans="1:7" ht="15.75" x14ac:dyDescent="0.25">
      <c r="A274" s="20" t="s">
        <v>127</v>
      </c>
      <c r="B274" s="346" t="s">
        <v>139</v>
      </c>
      <c r="C274" s="346" t="s">
        <v>168</v>
      </c>
      <c r="D274" s="346" t="s">
        <v>467</v>
      </c>
      <c r="E274" s="301" t="s">
        <v>134</v>
      </c>
      <c r="F274" s="295">
        <f t="shared" si="46"/>
        <v>19.199999999999989</v>
      </c>
      <c r="G274" s="295">
        <f t="shared" si="46"/>
        <v>274.2</v>
      </c>
    </row>
    <row r="275" spans="1:7" ht="47.25" x14ac:dyDescent="0.25">
      <c r="A275" s="20" t="s">
        <v>148</v>
      </c>
      <c r="B275" s="346" t="s">
        <v>139</v>
      </c>
      <c r="C275" s="346" t="s">
        <v>168</v>
      </c>
      <c r="D275" s="346" t="s">
        <v>467</v>
      </c>
      <c r="E275" s="301" t="s">
        <v>142</v>
      </c>
      <c r="F275" s="295">
        <f>'Пр.4.1 ведом.23-24 '!G207</f>
        <v>19.199999999999989</v>
      </c>
      <c r="G275" s="295">
        <f>'Пр.4.1 ведом.23-24 '!H207</f>
        <v>274.2</v>
      </c>
    </row>
    <row r="276" spans="1:7" ht="47.25" hidden="1" x14ac:dyDescent="0.25">
      <c r="A276" s="135" t="s">
        <v>568</v>
      </c>
      <c r="B276" s="299" t="s">
        <v>139</v>
      </c>
      <c r="C276" s="299" t="s">
        <v>168</v>
      </c>
      <c r="D276" s="119" t="s">
        <v>453</v>
      </c>
      <c r="E276" s="304"/>
      <c r="F276" s="294">
        <f t="shared" ref="F276:G278" si="47">F277</f>
        <v>0</v>
      </c>
      <c r="G276" s="294">
        <f t="shared" si="47"/>
        <v>0</v>
      </c>
    </row>
    <row r="277" spans="1:7" ht="15.75" hidden="1" x14ac:dyDescent="0.25">
      <c r="A277" s="345" t="s">
        <v>452</v>
      </c>
      <c r="B277" s="346" t="s">
        <v>139</v>
      </c>
      <c r="C277" s="346" t="s">
        <v>168</v>
      </c>
      <c r="D277" s="4" t="s">
        <v>468</v>
      </c>
      <c r="E277" s="301"/>
      <c r="F277" s="295">
        <f t="shared" si="47"/>
        <v>0</v>
      </c>
      <c r="G277" s="295">
        <f t="shared" si="47"/>
        <v>0</v>
      </c>
    </row>
    <row r="278" spans="1:7" ht="15.75" hidden="1" x14ac:dyDescent="0.25">
      <c r="A278" s="20" t="s">
        <v>127</v>
      </c>
      <c r="B278" s="346" t="s">
        <v>139</v>
      </c>
      <c r="C278" s="346" t="s">
        <v>168</v>
      </c>
      <c r="D278" s="4" t="s">
        <v>468</v>
      </c>
      <c r="E278" s="301" t="s">
        <v>134</v>
      </c>
      <c r="F278" s="295">
        <f t="shared" si="47"/>
        <v>0</v>
      </c>
      <c r="G278" s="295">
        <f t="shared" si="47"/>
        <v>0</v>
      </c>
    </row>
    <row r="279" spans="1:7" ht="47.25" hidden="1" x14ac:dyDescent="0.25">
      <c r="A279" s="20" t="s">
        <v>148</v>
      </c>
      <c r="B279" s="346" t="s">
        <v>139</v>
      </c>
      <c r="C279" s="346" t="s">
        <v>168</v>
      </c>
      <c r="D279" s="4" t="s">
        <v>468</v>
      </c>
      <c r="E279" s="301" t="s">
        <v>142</v>
      </c>
      <c r="F279" s="295">
        <f>'Пр.4 ведом.22'!G232</f>
        <v>0</v>
      </c>
      <c r="G279" s="295">
        <f>'Пр.4 ведом.22'!H232</f>
        <v>0</v>
      </c>
    </row>
    <row r="280" spans="1:7" ht="15.75" x14ac:dyDescent="0.25">
      <c r="A280" s="298" t="s">
        <v>256</v>
      </c>
      <c r="B280" s="299" t="s">
        <v>139</v>
      </c>
      <c r="C280" s="299" t="s">
        <v>203</v>
      </c>
      <c r="D280" s="299"/>
      <c r="E280" s="299"/>
      <c r="F280" s="294">
        <f t="shared" ref="F280:G284" si="48">F281</f>
        <v>3258</v>
      </c>
      <c r="G280" s="294">
        <f t="shared" si="48"/>
        <v>3258</v>
      </c>
    </row>
    <row r="281" spans="1:7" ht="15.75" x14ac:dyDescent="0.25">
      <c r="A281" s="298" t="s">
        <v>133</v>
      </c>
      <c r="B281" s="299" t="s">
        <v>139</v>
      </c>
      <c r="C281" s="299" t="s">
        <v>203</v>
      </c>
      <c r="D281" s="299" t="s">
        <v>440</v>
      </c>
      <c r="E281" s="299"/>
      <c r="F281" s="294">
        <f t="shared" si="48"/>
        <v>3258</v>
      </c>
      <c r="G281" s="294">
        <f t="shared" si="48"/>
        <v>3258</v>
      </c>
    </row>
    <row r="282" spans="1:7" ht="31.5" x14ac:dyDescent="0.25">
      <c r="A282" s="298" t="s">
        <v>444</v>
      </c>
      <c r="B282" s="299" t="s">
        <v>139</v>
      </c>
      <c r="C282" s="299" t="s">
        <v>203</v>
      </c>
      <c r="D282" s="299" t="s">
        <v>439</v>
      </c>
      <c r="E282" s="299"/>
      <c r="F282" s="294">
        <f t="shared" si="48"/>
        <v>3258</v>
      </c>
      <c r="G282" s="294">
        <f t="shared" si="48"/>
        <v>3258</v>
      </c>
    </row>
    <row r="283" spans="1:7" ht="17.45" customHeight="1" x14ac:dyDescent="0.25">
      <c r="A283" s="345" t="s">
        <v>257</v>
      </c>
      <c r="B283" s="346" t="s">
        <v>139</v>
      </c>
      <c r="C283" s="346" t="s">
        <v>203</v>
      </c>
      <c r="D283" s="346" t="s">
        <v>520</v>
      </c>
      <c r="E283" s="346"/>
      <c r="F283" s="295">
        <f t="shared" si="48"/>
        <v>3258</v>
      </c>
      <c r="G283" s="295">
        <f t="shared" si="48"/>
        <v>3258</v>
      </c>
    </row>
    <row r="284" spans="1:7" ht="34.5" customHeight="1" x14ac:dyDescent="0.25">
      <c r="A284" s="345" t="s">
        <v>123</v>
      </c>
      <c r="B284" s="346" t="s">
        <v>139</v>
      </c>
      <c r="C284" s="346" t="s">
        <v>203</v>
      </c>
      <c r="D284" s="346" t="s">
        <v>520</v>
      </c>
      <c r="E284" s="346" t="s">
        <v>124</v>
      </c>
      <c r="F284" s="295">
        <f t="shared" si="48"/>
        <v>3258</v>
      </c>
      <c r="G284" s="295">
        <f t="shared" si="48"/>
        <v>3258</v>
      </c>
    </row>
    <row r="285" spans="1:7" ht="38.25" customHeight="1" x14ac:dyDescent="0.25">
      <c r="A285" s="345" t="s">
        <v>125</v>
      </c>
      <c r="B285" s="346" t="s">
        <v>139</v>
      </c>
      <c r="C285" s="346" t="s">
        <v>203</v>
      </c>
      <c r="D285" s="346" t="s">
        <v>520</v>
      </c>
      <c r="E285" s="346" t="s">
        <v>126</v>
      </c>
      <c r="F285" s="246">
        <f>'Пр.4.1 ведом.23-24 '!G980</f>
        <v>3258</v>
      </c>
      <c r="G285" s="246">
        <f>'Пр.4.1 ведом.23-24 '!H980</f>
        <v>3258</v>
      </c>
    </row>
    <row r="286" spans="1:7" ht="15.75" x14ac:dyDescent="0.25">
      <c r="A286" s="298" t="s">
        <v>258</v>
      </c>
      <c r="B286" s="299" t="s">
        <v>139</v>
      </c>
      <c r="C286" s="299" t="s">
        <v>161</v>
      </c>
      <c r="D286" s="346"/>
      <c r="E286" s="299"/>
      <c r="F286" s="294">
        <f t="shared" ref="F286:G286" si="49">F287</f>
        <v>3193</v>
      </c>
      <c r="G286" s="294">
        <f t="shared" si="49"/>
        <v>3226.2</v>
      </c>
    </row>
    <row r="287" spans="1:7" ht="47.25" x14ac:dyDescent="0.25">
      <c r="A287" s="24" t="s">
        <v>871</v>
      </c>
      <c r="B287" s="299" t="s">
        <v>139</v>
      </c>
      <c r="C287" s="299" t="s">
        <v>161</v>
      </c>
      <c r="D287" s="299" t="s">
        <v>259</v>
      </c>
      <c r="E287" s="299"/>
      <c r="F287" s="35">
        <f>F288+F292</f>
        <v>3193</v>
      </c>
      <c r="G287" s="35">
        <f>G288+G292</f>
        <v>3226.2</v>
      </c>
    </row>
    <row r="288" spans="1:7" ht="31.5" hidden="1" x14ac:dyDescent="0.25">
      <c r="A288" s="24" t="s">
        <v>560</v>
      </c>
      <c r="B288" s="299" t="s">
        <v>139</v>
      </c>
      <c r="C288" s="299" t="s">
        <v>161</v>
      </c>
      <c r="D288" s="6" t="s">
        <v>521</v>
      </c>
      <c r="E288" s="299"/>
      <c r="F288" s="35">
        <f t="shared" ref="F288:G290" si="50">F289</f>
        <v>144.30000000000001</v>
      </c>
      <c r="G288" s="35">
        <f t="shared" si="50"/>
        <v>0</v>
      </c>
    </row>
    <row r="289" spans="1:7" ht="15.75" hidden="1" x14ac:dyDescent="0.25">
      <c r="A289" s="20" t="s">
        <v>562</v>
      </c>
      <c r="B289" s="346" t="s">
        <v>139</v>
      </c>
      <c r="C289" s="346" t="s">
        <v>161</v>
      </c>
      <c r="D289" s="341" t="s">
        <v>561</v>
      </c>
      <c r="E289" s="346"/>
      <c r="F289" s="9">
        <f t="shared" si="50"/>
        <v>144.30000000000001</v>
      </c>
      <c r="G289" s="9">
        <f t="shared" si="50"/>
        <v>0</v>
      </c>
    </row>
    <row r="290" spans="1:7" ht="31.5" hidden="1" x14ac:dyDescent="0.25">
      <c r="A290" s="345" t="s">
        <v>123</v>
      </c>
      <c r="B290" s="346" t="s">
        <v>139</v>
      </c>
      <c r="C290" s="346" t="s">
        <v>161</v>
      </c>
      <c r="D290" s="341" t="s">
        <v>561</v>
      </c>
      <c r="E290" s="346" t="s">
        <v>124</v>
      </c>
      <c r="F290" s="246">
        <f t="shared" si="50"/>
        <v>144.30000000000001</v>
      </c>
      <c r="G290" s="246">
        <f t="shared" si="50"/>
        <v>0</v>
      </c>
    </row>
    <row r="291" spans="1:7" ht="47.25" hidden="1" x14ac:dyDescent="0.25">
      <c r="A291" s="345" t="s">
        <v>125</v>
      </c>
      <c r="B291" s="346" t="s">
        <v>139</v>
      </c>
      <c r="C291" s="346" t="s">
        <v>161</v>
      </c>
      <c r="D291" s="341" t="s">
        <v>561</v>
      </c>
      <c r="E291" s="346" t="s">
        <v>126</v>
      </c>
      <c r="F291" s="246">
        <f>'Пр.4 ведом.22'!G1097</f>
        <v>144.30000000000001</v>
      </c>
      <c r="G291" s="246">
        <f>'Пр.4 ведом.22'!H1097</f>
        <v>0</v>
      </c>
    </row>
    <row r="292" spans="1:7" ht="31.5" x14ac:dyDescent="0.25">
      <c r="A292" s="24" t="s">
        <v>616</v>
      </c>
      <c r="B292" s="299" t="s">
        <v>139</v>
      </c>
      <c r="C292" s="299" t="s">
        <v>161</v>
      </c>
      <c r="D292" s="299" t="s">
        <v>522</v>
      </c>
      <c r="E292" s="299"/>
      <c r="F292" s="248">
        <f>F293</f>
        <v>3048.7</v>
      </c>
      <c r="G292" s="248">
        <f>G293</f>
        <v>3226.2</v>
      </c>
    </row>
    <row r="293" spans="1:7" ht="15.75" x14ac:dyDescent="0.25">
      <c r="A293" s="20" t="s">
        <v>260</v>
      </c>
      <c r="B293" s="346" t="s">
        <v>139</v>
      </c>
      <c r="C293" s="346" t="s">
        <v>161</v>
      </c>
      <c r="D293" s="341" t="s">
        <v>563</v>
      </c>
      <c r="E293" s="346"/>
      <c r="F293" s="246">
        <f>F296+F298+F294</f>
        <v>3048.7</v>
      </c>
      <c r="G293" s="246">
        <f>G296+G298+G294</f>
        <v>3226.2</v>
      </c>
    </row>
    <row r="294" spans="1:7" ht="78.75" x14ac:dyDescent="0.25">
      <c r="A294" s="345" t="s">
        <v>119</v>
      </c>
      <c r="B294" s="346" t="s">
        <v>139</v>
      </c>
      <c r="C294" s="346" t="s">
        <v>161</v>
      </c>
      <c r="D294" s="341" t="s">
        <v>563</v>
      </c>
      <c r="E294" s="346" t="s">
        <v>120</v>
      </c>
      <c r="F294" s="246">
        <f>F295</f>
        <v>1907.4</v>
      </c>
      <c r="G294" s="246">
        <f>G295</f>
        <v>2062</v>
      </c>
    </row>
    <row r="295" spans="1:7" ht="15.75" x14ac:dyDescent="0.25">
      <c r="A295" s="345" t="s">
        <v>155</v>
      </c>
      <c r="B295" s="346" t="s">
        <v>139</v>
      </c>
      <c r="C295" s="346" t="s">
        <v>161</v>
      </c>
      <c r="D295" s="341" t="s">
        <v>563</v>
      </c>
      <c r="E295" s="346" t="s">
        <v>156</v>
      </c>
      <c r="F295" s="246">
        <f>'Пр.4.1 ведом.23-24 '!G990</f>
        <v>1907.4</v>
      </c>
      <c r="G295" s="246">
        <f>'Пр.4.1 ведом.23-24 '!H990</f>
        <v>2062</v>
      </c>
    </row>
    <row r="296" spans="1:7" ht="31.5" x14ac:dyDescent="0.25">
      <c r="A296" s="345" t="s">
        <v>123</v>
      </c>
      <c r="B296" s="346" t="s">
        <v>139</v>
      </c>
      <c r="C296" s="346" t="s">
        <v>161</v>
      </c>
      <c r="D296" s="341" t="s">
        <v>563</v>
      </c>
      <c r="E296" s="346" t="s">
        <v>124</v>
      </c>
      <c r="F296" s="246">
        <f>F297</f>
        <v>1141.3</v>
      </c>
      <c r="G296" s="246">
        <f>G297</f>
        <v>1164.2</v>
      </c>
    </row>
    <row r="297" spans="1:7" ht="35.450000000000003" customHeight="1" x14ac:dyDescent="0.25">
      <c r="A297" s="345" t="s">
        <v>125</v>
      </c>
      <c r="B297" s="346" t="s">
        <v>139</v>
      </c>
      <c r="C297" s="346" t="s">
        <v>161</v>
      </c>
      <c r="D297" s="341" t="s">
        <v>563</v>
      </c>
      <c r="E297" s="346" t="s">
        <v>126</v>
      </c>
      <c r="F297" s="246">
        <f>'Пр.4.1 ведом.23-24 '!G992</f>
        <v>1141.3</v>
      </c>
      <c r="G297" s="246">
        <f>'Пр.4.1 ведом.23-24 '!H992</f>
        <v>1164.2</v>
      </c>
    </row>
    <row r="298" spans="1:7" ht="15.75" hidden="1" x14ac:dyDescent="0.25">
      <c r="A298" s="345" t="s">
        <v>127</v>
      </c>
      <c r="B298" s="346" t="s">
        <v>139</v>
      </c>
      <c r="C298" s="346" t="s">
        <v>161</v>
      </c>
      <c r="D298" s="341" t="s">
        <v>563</v>
      </c>
      <c r="E298" s="346" t="s">
        <v>134</v>
      </c>
      <c r="F298" s="246">
        <f>F299</f>
        <v>0</v>
      </c>
      <c r="G298" s="246">
        <f>G299</f>
        <v>0</v>
      </c>
    </row>
    <row r="299" spans="1:7" ht="15.75" hidden="1" x14ac:dyDescent="0.25">
      <c r="A299" s="345" t="s">
        <v>280</v>
      </c>
      <c r="B299" s="346" t="s">
        <v>139</v>
      </c>
      <c r="C299" s="346" t="s">
        <v>161</v>
      </c>
      <c r="D299" s="341" t="s">
        <v>563</v>
      </c>
      <c r="E299" s="346" t="s">
        <v>130</v>
      </c>
      <c r="F299" s="246">
        <f>'Пр.4 ведом.22'!G1105</f>
        <v>0</v>
      </c>
      <c r="G299" s="246">
        <f>'Пр.4 ведом.22'!H1105</f>
        <v>0</v>
      </c>
    </row>
    <row r="300" spans="1:7" ht="41.45" customHeight="1" x14ac:dyDescent="0.25">
      <c r="A300" s="298" t="s">
        <v>170</v>
      </c>
      <c r="B300" s="299" t="s">
        <v>139</v>
      </c>
      <c r="C300" s="299" t="s">
        <v>171</v>
      </c>
      <c r="D300" s="299"/>
      <c r="E300" s="299"/>
      <c r="F300" s="35">
        <f>F301+F308+F326</f>
        <v>693.45999999999992</v>
      </c>
      <c r="G300" s="35">
        <f>G301+G308+G326</f>
        <v>706.76</v>
      </c>
    </row>
    <row r="301" spans="1:7" ht="31.5" x14ac:dyDescent="0.25">
      <c r="A301" s="298" t="s">
        <v>486</v>
      </c>
      <c r="B301" s="299" t="s">
        <v>139</v>
      </c>
      <c r="C301" s="299" t="s">
        <v>171</v>
      </c>
      <c r="D301" s="299" t="s">
        <v>432</v>
      </c>
      <c r="E301" s="299"/>
      <c r="F301" s="35">
        <f>F302</f>
        <v>328.5</v>
      </c>
      <c r="G301" s="35">
        <f>G302</f>
        <v>341.7</v>
      </c>
    </row>
    <row r="302" spans="1:7" ht="31.5" x14ac:dyDescent="0.25">
      <c r="A302" s="298" t="s">
        <v>458</v>
      </c>
      <c r="B302" s="299" t="s">
        <v>139</v>
      </c>
      <c r="C302" s="299" t="s">
        <v>171</v>
      </c>
      <c r="D302" s="299" t="s">
        <v>437</v>
      </c>
      <c r="E302" s="299"/>
      <c r="F302" s="35">
        <f>F303</f>
        <v>328.5</v>
      </c>
      <c r="G302" s="35">
        <f>G303</f>
        <v>341.7</v>
      </c>
    </row>
    <row r="303" spans="1:7" ht="63" x14ac:dyDescent="0.25">
      <c r="A303" s="22" t="s">
        <v>172</v>
      </c>
      <c r="B303" s="346" t="s">
        <v>139</v>
      </c>
      <c r="C303" s="346" t="s">
        <v>171</v>
      </c>
      <c r="D303" s="346" t="s">
        <v>493</v>
      </c>
      <c r="E303" s="346"/>
      <c r="F303" s="9">
        <f>F304+F306</f>
        <v>328.5</v>
      </c>
      <c r="G303" s="9">
        <f>G304+G306</f>
        <v>341.7</v>
      </c>
    </row>
    <row r="304" spans="1:7" ht="78.75" x14ac:dyDescent="0.25">
      <c r="A304" s="345" t="s">
        <v>119</v>
      </c>
      <c r="B304" s="346" t="s">
        <v>139</v>
      </c>
      <c r="C304" s="346" t="s">
        <v>171</v>
      </c>
      <c r="D304" s="346" t="s">
        <v>493</v>
      </c>
      <c r="E304" s="346" t="s">
        <v>120</v>
      </c>
      <c r="F304" s="9">
        <f>F305</f>
        <v>298.60000000000002</v>
      </c>
      <c r="G304" s="9">
        <f>G305</f>
        <v>310.59999999999997</v>
      </c>
    </row>
    <row r="305" spans="1:7" ht="32.25" customHeight="1" x14ac:dyDescent="0.25">
      <c r="A305" s="345" t="s">
        <v>121</v>
      </c>
      <c r="B305" s="346" t="s">
        <v>139</v>
      </c>
      <c r="C305" s="346" t="s">
        <v>171</v>
      </c>
      <c r="D305" s="346" t="s">
        <v>493</v>
      </c>
      <c r="E305" s="346" t="s">
        <v>122</v>
      </c>
      <c r="F305" s="9">
        <f>'Пр.4.1 ведом.23-24 '!G217</f>
        <v>298.60000000000002</v>
      </c>
      <c r="G305" s="9">
        <f>'Пр.4.1 ведом.23-24 '!H217</f>
        <v>310.59999999999997</v>
      </c>
    </row>
    <row r="306" spans="1:7" ht="31.5" x14ac:dyDescent="0.25">
      <c r="A306" s="345" t="s">
        <v>123</v>
      </c>
      <c r="B306" s="346" t="s">
        <v>139</v>
      </c>
      <c r="C306" s="346" t="s">
        <v>171</v>
      </c>
      <c r="D306" s="346" t="s">
        <v>493</v>
      </c>
      <c r="E306" s="346" t="s">
        <v>124</v>
      </c>
      <c r="F306" s="9">
        <f>F307</f>
        <v>29.9</v>
      </c>
      <c r="G306" s="9">
        <f>G307</f>
        <v>31.1</v>
      </c>
    </row>
    <row r="307" spans="1:7" ht="47.25" x14ac:dyDescent="0.25">
      <c r="A307" s="345" t="s">
        <v>125</v>
      </c>
      <c r="B307" s="346" t="s">
        <v>139</v>
      </c>
      <c r="C307" s="346" t="s">
        <v>171</v>
      </c>
      <c r="D307" s="346" t="s">
        <v>493</v>
      </c>
      <c r="E307" s="346" t="s">
        <v>126</v>
      </c>
      <c r="F307" s="9">
        <f>'Пр.4.1 ведом.23-24 '!G219</f>
        <v>29.9</v>
      </c>
      <c r="G307" s="9">
        <f>'Пр.4.1 ведом.23-24 '!H219</f>
        <v>31.1</v>
      </c>
    </row>
    <row r="308" spans="1:7" ht="47.25" x14ac:dyDescent="0.25">
      <c r="A308" s="298" t="s">
        <v>735</v>
      </c>
      <c r="B308" s="299" t="s">
        <v>139</v>
      </c>
      <c r="C308" s="299" t="s">
        <v>171</v>
      </c>
      <c r="D308" s="299" t="s">
        <v>213</v>
      </c>
      <c r="E308" s="304"/>
      <c r="F308" s="35">
        <f>F309</f>
        <v>215.06</v>
      </c>
      <c r="G308" s="35">
        <f>G309</f>
        <v>215.06</v>
      </c>
    </row>
    <row r="309" spans="1:7" ht="63" x14ac:dyDescent="0.25">
      <c r="A309" s="298" t="s">
        <v>224</v>
      </c>
      <c r="B309" s="299" t="s">
        <v>139</v>
      </c>
      <c r="C309" s="299" t="s">
        <v>171</v>
      </c>
      <c r="D309" s="299" t="s">
        <v>221</v>
      </c>
      <c r="E309" s="299"/>
      <c r="F309" s="35">
        <f>F310+F314+F318+F322</f>
        <v>215.06</v>
      </c>
      <c r="G309" s="35">
        <f>G310+G314+G318+G322</f>
        <v>215.06</v>
      </c>
    </row>
    <row r="310" spans="1:7" ht="47.25" hidden="1" x14ac:dyDescent="0.25">
      <c r="A310" s="136" t="s">
        <v>602</v>
      </c>
      <c r="B310" s="299" t="s">
        <v>139</v>
      </c>
      <c r="C310" s="299" t="s">
        <v>171</v>
      </c>
      <c r="D310" s="299" t="s">
        <v>476</v>
      </c>
      <c r="E310" s="299"/>
      <c r="F310" s="35">
        <f t="shared" ref="F310:G312" si="51">F311</f>
        <v>0</v>
      </c>
      <c r="G310" s="35">
        <f t="shared" si="51"/>
        <v>0</v>
      </c>
    </row>
    <row r="311" spans="1:7" ht="47.25" hidden="1" x14ac:dyDescent="0.25">
      <c r="A311" s="345" t="s">
        <v>227</v>
      </c>
      <c r="B311" s="346" t="s">
        <v>139</v>
      </c>
      <c r="C311" s="346" t="s">
        <v>171</v>
      </c>
      <c r="D311" s="346" t="s">
        <v>825</v>
      </c>
      <c r="E311" s="346"/>
      <c r="F311" s="9">
        <f t="shared" si="51"/>
        <v>0</v>
      </c>
      <c r="G311" s="9">
        <f t="shared" si="51"/>
        <v>0</v>
      </c>
    </row>
    <row r="312" spans="1:7" ht="21.2" hidden="1" customHeight="1" x14ac:dyDescent="0.25">
      <c r="A312" s="345" t="s">
        <v>177</v>
      </c>
      <c r="B312" s="346" t="s">
        <v>139</v>
      </c>
      <c r="C312" s="346" t="s">
        <v>171</v>
      </c>
      <c r="D312" s="346" t="s">
        <v>825</v>
      </c>
      <c r="E312" s="346" t="s">
        <v>178</v>
      </c>
      <c r="F312" s="9">
        <f t="shared" si="51"/>
        <v>0</v>
      </c>
      <c r="G312" s="9">
        <f t="shared" si="51"/>
        <v>0</v>
      </c>
    </row>
    <row r="313" spans="1:7" ht="31.5" hidden="1" x14ac:dyDescent="0.25">
      <c r="A313" s="345" t="s">
        <v>179</v>
      </c>
      <c r="B313" s="346" t="s">
        <v>139</v>
      </c>
      <c r="C313" s="346" t="s">
        <v>171</v>
      </c>
      <c r="D313" s="346" t="s">
        <v>825</v>
      </c>
      <c r="E313" s="346" t="s">
        <v>180</v>
      </c>
      <c r="F313" s="9">
        <f>'Пр.4 ведом.22'!G319</f>
        <v>0</v>
      </c>
      <c r="G313" s="9">
        <f>'Пр.4 ведом.22'!H319</f>
        <v>0</v>
      </c>
    </row>
    <row r="314" spans="1:7" ht="31.5" x14ac:dyDescent="0.25">
      <c r="A314" s="298" t="s">
        <v>601</v>
      </c>
      <c r="B314" s="299" t="s">
        <v>139</v>
      </c>
      <c r="C314" s="299" t="s">
        <v>171</v>
      </c>
      <c r="D314" s="299" t="s">
        <v>737</v>
      </c>
      <c r="E314" s="299"/>
      <c r="F314" s="35">
        <f>F315</f>
        <v>215.06</v>
      </c>
      <c r="G314" s="35">
        <f>G315</f>
        <v>215.06</v>
      </c>
    </row>
    <row r="315" spans="1:7" ht="110.25" x14ac:dyDescent="0.25">
      <c r="A315" s="345" t="s">
        <v>226</v>
      </c>
      <c r="B315" s="346" t="s">
        <v>139</v>
      </c>
      <c r="C315" s="346" t="s">
        <v>171</v>
      </c>
      <c r="D315" s="346" t="s">
        <v>738</v>
      </c>
      <c r="E315" s="346"/>
      <c r="F315" s="9">
        <f>F316</f>
        <v>215.06</v>
      </c>
      <c r="G315" s="9">
        <f>G316</f>
        <v>215.06</v>
      </c>
    </row>
    <row r="316" spans="1:7" ht="31.5" x14ac:dyDescent="0.25">
      <c r="A316" s="345" t="s">
        <v>191</v>
      </c>
      <c r="B316" s="346" t="s">
        <v>139</v>
      </c>
      <c r="C316" s="346" t="s">
        <v>171</v>
      </c>
      <c r="D316" s="346" t="s">
        <v>738</v>
      </c>
      <c r="E316" s="346" t="s">
        <v>192</v>
      </c>
      <c r="F316" s="9">
        <f>'Пр.4.1 ведом.23-24 '!G294</f>
        <v>215.06</v>
      </c>
      <c r="G316" s="9">
        <f>G317</f>
        <v>215.06</v>
      </c>
    </row>
    <row r="317" spans="1:7" ht="63" x14ac:dyDescent="0.25">
      <c r="A317" s="345" t="s">
        <v>641</v>
      </c>
      <c r="B317" s="346" t="s">
        <v>139</v>
      </c>
      <c r="C317" s="346" t="s">
        <v>171</v>
      </c>
      <c r="D317" s="346" t="s">
        <v>738</v>
      </c>
      <c r="E317" s="346" t="s">
        <v>225</v>
      </c>
      <c r="F317" s="9">
        <f>'Пр.4.1 ведом.23-24 '!G294</f>
        <v>215.06</v>
      </c>
      <c r="G317" s="9">
        <f>'Пр.4.1 ведом.23-24 '!H294</f>
        <v>215.06</v>
      </c>
    </row>
    <row r="318" spans="1:7" ht="31.5" hidden="1" x14ac:dyDescent="0.25">
      <c r="A318" s="298" t="s">
        <v>556</v>
      </c>
      <c r="B318" s="299" t="s">
        <v>139</v>
      </c>
      <c r="C318" s="299" t="s">
        <v>171</v>
      </c>
      <c r="D318" s="299" t="s">
        <v>822</v>
      </c>
      <c r="E318" s="299"/>
      <c r="F318" s="35">
        <f t="shared" ref="F318:G320" si="52">F319</f>
        <v>0</v>
      </c>
      <c r="G318" s="35">
        <f t="shared" si="52"/>
        <v>0</v>
      </c>
    </row>
    <row r="319" spans="1:7" ht="31.5" hidden="1" x14ac:dyDescent="0.25">
      <c r="A319" s="166" t="s">
        <v>603</v>
      </c>
      <c r="B319" s="346" t="s">
        <v>139</v>
      </c>
      <c r="C319" s="346" t="s">
        <v>171</v>
      </c>
      <c r="D319" s="346" t="s">
        <v>823</v>
      </c>
      <c r="E319" s="346"/>
      <c r="F319" s="9">
        <f t="shared" si="52"/>
        <v>0</v>
      </c>
      <c r="G319" s="9">
        <f t="shared" si="52"/>
        <v>0</v>
      </c>
    </row>
    <row r="320" spans="1:7" ht="31.5" hidden="1" x14ac:dyDescent="0.25">
      <c r="A320" s="345" t="s">
        <v>123</v>
      </c>
      <c r="B320" s="346" t="s">
        <v>139</v>
      </c>
      <c r="C320" s="346" t="s">
        <v>171</v>
      </c>
      <c r="D320" s="346" t="s">
        <v>823</v>
      </c>
      <c r="E320" s="346" t="s">
        <v>124</v>
      </c>
      <c r="F320" s="9">
        <f t="shared" si="52"/>
        <v>0</v>
      </c>
      <c r="G320" s="9">
        <f t="shared" si="52"/>
        <v>0</v>
      </c>
    </row>
    <row r="321" spans="1:12" ht="47.25" hidden="1" x14ac:dyDescent="0.25">
      <c r="A321" s="345" t="s">
        <v>125</v>
      </c>
      <c r="B321" s="346" t="s">
        <v>139</v>
      </c>
      <c r="C321" s="346" t="s">
        <v>171</v>
      </c>
      <c r="D321" s="346" t="s">
        <v>823</v>
      </c>
      <c r="E321" s="346" t="s">
        <v>126</v>
      </c>
      <c r="F321" s="9">
        <f>'Пр.4 ведом.22'!G327</f>
        <v>0</v>
      </c>
      <c r="G321" s="9">
        <f>'Пр.4 ведом.22'!H327</f>
        <v>0</v>
      </c>
    </row>
    <row r="322" spans="1:12" ht="31.5" hidden="1" x14ac:dyDescent="0.25">
      <c r="A322" s="303" t="s">
        <v>654</v>
      </c>
      <c r="B322" s="299" t="s">
        <v>139</v>
      </c>
      <c r="C322" s="299" t="s">
        <v>171</v>
      </c>
      <c r="D322" s="299" t="s">
        <v>739</v>
      </c>
      <c r="E322" s="299"/>
      <c r="F322" s="297">
        <f t="shared" ref="F322:G324" si="53">F323</f>
        <v>0</v>
      </c>
      <c r="G322" s="297">
        <f t="shared" si="53"/>
        <v>0</v>
      </c>
    </row>
    <row r="323" spans="1:12" ht="31.5" hidden="1" x14ac:dyDescent="0.25">
      <c r="A323" s="150" t="s">
        <v>655</v>
      </c>
      <c r="B323" s="346" t="s">
        <v>139</v>
      </c>
      <c r="C323" s="346" t="s">
        <v>171</v>
      </c>
      <c r="D323" s="346" t="s">
        <v>740</v>
      </c>
      <c r="E323" s="346"/>
      <c r="F323" s="300">
        <f t="shared" si="53"/>
        <v>0</v>
      </c>
      <c r="G323" s="300">
        <f t="shared" si="53"/>
        <v>0</v>
      </c>
    </row>
    <row r="324" spans="1:12" ht="31.5" hidden="1" x14ac:dyDescent="0.25">
      <c r="A324" s="345" t="s">
        <v>123</v>
      </c>
      <c r="B324" s="346" t="s">
        <v>139</v>
      </c>
      <c r="C324" s="346" t="s">
        <v>171</v>
      </c>
      <c r="D324" s="346" t="s">
        <v>740</v>
      </c>
      <c r="E324" s="346" t="s">
        <v>124</v>
      </c>
      <c r="F324" s="300">
        <f t="shared" si="53"/>
        <v>0</v>
      </c>
      <c r="G324" s="300">
        <f t="shared" si="53"/>
        <v>0</v>
      </c>
    </row>
    <row r="325" spans="1:12" ht="47.25" hidden="1" x14ac:dyDescent="0.25">
      <c r="A325" s="345" t="s">
        <v>125</v>
      </c>
      <c r="B325" s="346" t="s">
        <v>139</v>
      </c>
      <c r="C325" s="346" t="s">
        <v>171</v>
      </c>
      <c r="D325" s="346" t="s">
        <v>740</v>
      </c>
      <c r="E325" s="346" t="s">
        <v>126</v>
      </c>
      <c r="F325" s="300">
        <f>'Пр.4 ведом.22'!G331</f>
        <v>0</v>
      </c>
      <c r="G325" s="300">
        <f>'Пр.4 ведом.22'!H331</f>
        <v>0</v>
      </c>
    </row>
    <row r="326" spans="1:12" ht="47.25" x14ac:dyDescent="0.25">
      <c r="A326" s="298" t="s">
        <v>840</v>
      </c>
      <c r="B326" s="299" t="s">
        <v>139</v>
      </c>
      <c r="C326" s="299" t="s">
        <v>171</v>
      </c>
      <c r="D326" s="299" t="s">
        <v>141</v>
      </c>
      <c r="E326" s="299"/>
      <c r="F326" s="35">
        <f t="shared" ref="F326:G329" si="54">F327</f>
        <v>149.9</v>
      </c>
      <c r="G326" s="35">
        <f t="shared" si="54"/>
        <v>150</v>
      </c>
    </row>
    <row r="327" spans="1:12" ht="47.25" x14ac:dyDescent="0.25">
      <c r="A327" s="298" t="s">
        <v>619</v>
      </c>
      <c r="B327" s="299" t="s">
        <v>139</v>
      </c>
      <c r="C327" s="299" t="s">
        <v>171</v>
      </c>
      <c r="D327" s="299" t="s">
        <v>617</v>
      </c>
      <c r="E327" s="299"/>
      <c r="F327" s="35">
        <f t="shared" si="54"/>
        <v>149.9</v>
      </c>
      <c r="G327" s="35">
        <f t="shared" si="54"/>
        <v>150</v>
      </c>
    </row>
    <row r="328" spans="1:12" ht="31.5" x14ac:dyDescent="0.25">
      <c r="A328" s="345" t="s">
        <v>620</v>
      </c>
      <c r="B328" s="346" t="s">
        <v>139</v>
      </c>
      <c r="C328" s="346" t="s">
        <v>171</v>
      </c>
      <c r="D328" s="346" t="s">
        <v>618</v>
      </c>
      <c r="E328" s="346"/>
      <c r="F328" s="9">
        <f t="shared" si="54"/>
        <v>149.9</v>
      </c>
      <c r="G328" s="9">
        <f t="shared" si="54"/>
        <v>150</v>
      </c>
    </row>
    <row r="329" spans="1:12" ht="15.75" x14ac:dyDescent="0.25">
      <c r="A329" s="345" t="s">
        <v>127</v>
      </c>
      <c r="B329" s="346" t="s">
        <v>139</v>
      </c>
      <c r="C329" s="346" t="s">
        <v>171</v>
      </c>
      <c r="D329" s="346" t="s">
        <v>618</v>
      </c>
      <c r="E329" s="346" t="s">
        <v>134</v>
      </c>
      <c r="F329" s="9">
        <f t="shared" si="54"/>
        <v>149.9</v>
      </c>
      <c r="G329" s="9">
        <f t="shared" si="54"/>
        <v>150</v>
      </c>
    </row>
    <row r="330" spans="1:12" ht="47.25" x14ac:dyDescent="0.25">
      <c r="A330" s="345" t="s">
        <v>148</v>
      </c>
      <c r="B330" s="346" t="s">
        <v>139</v>
      </c>
      <c r="C330" s="346" t="s">
        <v>171</v>
      </c>
      <c r="D330" s="346" t="s">
        <v>618</v>
      </c>
      <c r="E330" s="346" t="s">
        <v>142</v>
      </c>
      <c r="F330" s="9">
        <f>'Пр.4.1 ведом.23-24 '!G224</f>
        <v>149.9</v>
      </c>
      <c r="G330" s="9">
        <f>'Пр.4.1 ведом.23-24 '!H224</f>
        <v>150</v>
      </c>
    </row>
    <row r="331" spans="1:12" ht="15.75" x14ac:dyDescent="0.25">
      <c r="A331" s="298" t="s">
        <v>231</v>
      </c>
      <c r="B331" s="299" t="s">
        <v>168</v>
      </c>
      <c r="C331" s="299"/>
      <c r="D331" s="299"/>
      <c r="E331" s="299"/>
      <c r="F331" s="294">
        <f>F332++F349+F414+F476</f>
        <v>63311.362000000001</v>
      </c>
      <c r="G331" s="294">
        <f>G332++G349+G414+G476</f>
        <v>54832.869999999995</v>
      </c>
      <c r="H331" s="71">
        <f>G331-F331</f>
        <v>-8478.4920000000056</v>
      </c>
      <c r="K331" s="149" t="e">
        <f>F331-F452-'Пр.4 ведом.22'!#REF!-'Пр.4 ведом.22'!#REF!</f>
        <v>#REF!</v>
      </c>
      <c r="L331" s="151" t="e">
        <f>F452+F469-'Пр.4 ведом.22'!#REF!-'Пр.4 ведом.22'!#REF!</f>
        <v>#REF!</v>
      </c>
    </row>
    <row r="332" spans="1:12" ht="15.75" x14ac:dyDescent="0.25">
      <c r="A332" s="298" t="s">
        <v>232</v>
      </c>
      <c r="B332" s="299" t="s">
        <v>168</v>
      </c>
      <c r="C332" s="299" t="s">
        <v>116</v>
      </c>
      <c r="D332" s="299"/>
      <c r="E332" s="299"/>
      <c r="F332" s="294">
        <f t="shared" ref="F332:G333" si="55">F333</f>
        <v>14050.63</v>
      </c>
      <c r="G332" s="294">
        <f t="shared" si="55"/>
        <v>6330.7999999999993</v>
      </c>
      <c r="H332" s="71"/>
      <c r="I332" s="71"/>
      <c r="L332" s="15"/>
    </row>
    <row r="333" spans="1:12" ht="15.75" x14ac:dyDescent="0.25">
      <c r="A333" s="298" t="s">
        <v>133</v>
      </c>
      <c r="B333" s="299" t="s">
        <v>168</v>
      </c>
      <c r="C333" s="299" t="s">
        <v>116</v>
      </c>
      <c r="D333" s="299" t="s">
        <v>440</v>
      </c>
      <c r="E333" s="299"/>
      <c r="F333" s="294">
        <f t="shared" si="55"/>
        <v>14050.63</v>
      </c>
      <c r="G333" s="294">
        <f t="shared" si="55"/>
        <v>6330.7999999999993</v>
      </c>
    </row>
    <row r="334" spans="1:12" ht="31.5" x14ac:dyDescent="0.25">
      <c r="A334" s="298" t="s">
        <v>444</v>
      </c>
      <c r="B334" s="299" t="s">
        <v>168</v>
      </c>
      <c r="C334" s="299" t="s">
        <v>116</v>
      </c>
      <c r="D334" s="299" t="s">
        <v>439</v>
      </c>
      <c r="E334" s="299"/>
      <c r="F334" s="294">
        <f>F335+F340+F343+F346</f>
        <v>14050.63</v>
      </c>
      <c r="G334" s="294">
        <f>G335+G340+G343+G346</f>
        <v>6330.7999999999993</v>
      </c>
    </row>
    <row r="335" spans="1:12" ht="15.75" hidden="1" x14ac:dyDescent="0.25">
      <c r="A335" s="345" t="s">
        <v>261</v>
      </c>
      <c r="B335" s="346" t="s">
        <v>351</v>
      </c>
      <c r="C335" s="346" t="s">
        <v>116</v>
      </c>
      <c r="D335" s="346" t="s">
        <v>523</v>
      </c>
      <c r="E335" s="299"/>
      <c r="F335" s="295">
        <f t="shared" ref="F335:G335" si="56">F336+F338</f>
        <v>300</v>
      </c>
      <c r="G335" s="295">
        <f t="shared" si="56"/>
        <v>0</v>
      </c>
    </row>
    <row r="336" spans="1:12" ht="31.5" hidden="1" x14ac:dyDescent="0.25">
      <c r="A336" s="345" t="s">
        <v>123</v>
      </c>
      <c r="B336" s="346" t="s">
        <v>168</v>
      </c>
      <c r="C336" s="346" t="s">
        <v>116</v>
      </c>
      <c r="D336" s="346" t="s">
        <v>523</v>
      </c>
      <c r="E336" s="346" t="s">
        <v>124</v>
      </c>
      <c r="F336" s="295">
        <f t="shared" ref="F336:G336" si="57">F337</f>
        <v>300</v>
      </c>
      <c r="G336" s="295">
        <f t="shared" si="57"/>
        <v>0</v>
      </c>
    </row>
    <row r="337" spans="1:8" ht="47.25" hidden="1" x14ac:dyDescent="0.25">
      <c r="A337" s="345" t="s">
        <v>125</v>
      </c>
      <c r="B337" s="346" t="s">
        <v>168</v>
      </c>
      <c r="C337" s="346" t="s">
        <v>116</v>
      </c>
      <c r="D337" s="346" t="s">
        <v>523</v>
      </c>
      <c r="E337" s="346" t="s">
        <v>126</v>
      </c>
      <c r="F337" s="295">
        <f>'Пр.4 ведом.22'!G1112</f>
        <v>300</v>
      </c>
      <c r="G337" s="295">
        <f>'Пр.4 ведом.22'!H1112</f>
        <v>0</v>
      </c>
    </row>
    <row r="338" spans="1:8" ht="15.75" hidden="1" x14ac:dyDescent="0.25">
      <c r="A338" s="345" t="s">
        <v>127</v>
      </c>
      <c r="B338" s="346" t="s">
        <v>168</v>
      </c>
      <c r="C338" s="346" t="s">
        <v>116</v>
      </c>
      <c r="D338" s="346" t="s">
        <v>523</v>
      </c>
      <c r="E338" s="346" t="s">
        <v>134</v>
      </c>
      <c r="F338" s="295">
        <f t="shared" ref="F338:G338" si="58">F339</f>
        <v>0</v>
      </c>
      <c r="G338" s="295">
        <f t="shared" si="58"/>
        <v>0</v>
      </c>
    </row>
    <row r="339" spans="1:8" ht="47.25" hidden="1" x14ac:dyDescent="0.25">
      <c r="A339" s="345" t="s">
        <v>148</v>
      </c>
      <c r="B339" s="346" t="s">
        <v>168</v>
      </c>
      <c r="C339" s="346" t="s">
        <v>116</v>
      </c>
      <c r="D339" s="346" t="s">
        <v>523</v>
      </c>
      <c r="E339" s="346" t="s">
        <v>142</v>
      </c>
      <c r="F339" s="295">
        <f>'Пр.4 ведом.22'!G1114</f>
        <v>0</v>
      </c>
      <c r="G339" s="295">
        <f>'Пр.4 ведом.22'!H1114</f>
        <v>0</v>
      </c>
    </row>
    <row r="340" spans="1:8" ht="31.5" x14ac:dyDescent="0.25">
      <c r="A340" s="20" t="s">
        <v>233</v>
      </c>
      <c r="B340" s="346" t="s">
        <v>168</v>
      </c>
      <c r="C340" s="346" t="s">
        <v>116</v>
      </c>
      <c r="D340" s="346" t="s">
        <v>524</v>
      </c>
      <c r="E340" s="299"/>
      <c r="F340" s="295">
        <f t="shared" ref="F340:G341" si="59">F341</f>
        <v>5190.7999999999993</v>
      </c>
      <c r="G340" s="295">
        <f t="shared" si="59"/>
        <v>5190.7999999999993</v>
      </c>
    </row>
    <row r="341" spans="1:8" ht="31.5" x14ac:dyDescent="0.25">
      <c r="A341" s="345" t="s">
        <v>123</v>
      </c>
      <c r="B341" s="346" t="s">
        <v>168</v>
      </c>
      <c r="C341" s="346" t="s">
        <v>116</v>
      </c>
      <c r="D341" s="346" t="s">
        <v>524</v>
      </c>
      <c r="E341" s="346" t="s">
        <v>124</v>
      </c>
      <c r="F341" s="295">
        <f t="shared" si="59"/>
        <v>5190.7999999999993</v>
      </c>
      <c r="G341" s="295">
        <f t="shared" si="59"/>
        <v>5190.7999999999993</v>
      </c>
    </row>
    <row r="342" spans="1:8" ht="47.25" x14ac:dyDescent="0.25">
      <c r="A342" s="345" t="s">
        <v>125</v>
      </c>
      <c r="B342" s="346" t="s">
        <v>168</v>
      </c>
      <c r="C342" s="346" t="s">
        <v>116</v>
      </c>
      <c r="D342" s="346" t="s">
        <v>524</v>
      </c>
      <c r="E342" s="346" t="s">
        <v>126</v>
      </c>
      <c r="F342" s="295">
        <f>'Пр.4.1 ведом.23-24 '!G598+'Пр.4.1 ведом.23-24 '!G1006</f>
        <v>5190.7999999999993</v>
      </c>
      <c r="G342" s="295">
        <f>'Пр.4.1 ведом.23-24 '!H598+'Пр.4.1 ведом.23-24 '!H1006</f>
        <v>5190.7999999999993</v>
      </c>
    </row>
    <row r="343" spans="1:8" ht="31.5" x14ac:dyDescent="0.25">
      <c r="A343" s="20" t="s">
        <v>501</v>
      </c>
      <c r="B343" s="346" t="s">
        <v>168</v>
      </c>
      <c r="C343" s="346" t="s">
        <v>116</v>
      </c>
      <c r="D343" s="346" t="s">
        <v>525</v>
      </c>
      <c r="E343" s="299"/>
      <c r="F343" s="295">
        <f>F344</f>
        <v>1140</v>
      </c>
      <c r="G343" s="295">
        <f>G344</f>
        <v>1140</v>
      </c>
    </row>
    <row r="344" spans="1:8" ht="31.5" x14ac:dyDescent="0.25">
      <c r="A344" s="345" t="s">
        <v>123</v>
      </c>
      <c r="B344" s="346" t="s">
        <v>168</v>
      </c>
      <c r="C344" s="346" t="s">
        <v>116</v>
      </c>
      <c r="D344" s="346" t="s">
        <v>525</v>
      </c>
      <c r="E344" s="346" t="s">
        <v>124</v>
      </c>
      <c r="F344" s="295">
        <f>F345</f>
        <v>1140</v>
      </c>
      <c r="G344" s="295">
        <f>G345</f>
        <v>1140</v>
      </c>
    </row>
    <row r="345" spans="1:8" ht="47.25" x14ac:dyDescent="0.25">
      <c r="A345" s="345" t="s">
        <v>125</v>
      </c>
      <c r="B345" s="346" t="s">
        <v>168</v>
      </c>
      <c r="C345" s="346" t="s">
        <v>116</v>
      </c>
      <c r="D345" s="346" t="s">
        <v>525</v>
      </c>
      <c r="E345" s="346" t="s">
        <v>126</v>
      </c>
      <c r="F345" s="295">
        <f>'Пр.4.1 ведом.23-24 '!G1009</f>
        <v>1140</v>
      </c>
      <c r="G345" s="295">
        <f>'Пр.4.1 ведом.23-24 '!H1009</f>
        <v>1140</v>
      </c>
    </row>
    <row r="346" spans="1:8" ht="31.5" x14ac:dyDescent="0.25">
      <c r="A346" s="345" t="s">
        <v>1015</v>
      </c>
      <c r="B346" s="346" t="s">
        <v>168</v>
      </c>
      <c r="C346" s="346" t="s">
        <v>116</v>
      </c>
      <c r="D346" s="346" t="s">
        <v>1016</v>
      </c>
      <c r="E346" s="346"/>
      <c r="F346" s="295">
        <f>F347</f>
        <v>7419.83</v>
      </c>
      <c r="G346" s="295">
        <f>G347</f>
        <v>0</v>
      </c>
    </row>
    <row r="347" spans="1:8" ht="31.5" x14ac:dyDescent="0.25">
      <c r="A347" s="345" t="s">
        <v>123</v>
      </c>
      <c r="B347" s="346" t="s">
        <v>168</v>
      </c>
      <c r="C347" s="346" t="s">
        <v>116</v>
      </c>
      <c r="D347" s="346" t="s">
        <v>1016</v>
      </c>
      <c r="E347" s="346" t="s">
        <v>124</v>
      </c>
      <c r="F347" s="295">
        <f>F348</f>
        <v>7419.83</v>
      </c>
      <c r="G347" s="295">
        <f>G348</f>
        <v>0</v>
      </c>
    </row>
    <row r="348" spans="1:8" ht="47.25" x14ac:dyDescent="0.25">
      <c r="A348" s="345" t="s">
        <v>125</v>
      </c>
      <c r="B348" s="346" t="s">
        <v>168</v>
      </c>
      <c r="C348" s="346" t="s">
        <v>116</v>
      </c>
      <c r="D348" s="346" t="s">
        <v>1016</v>
      </c>
      <c r="E348" s="346" t="s">
        <v>126</v>
      </c>
      <c r="F348" s="295">
        <f>'Пр.4.1 ведом.23-24 '!G1012</f>
        <v>7419.83</v>
      </c>
      <c r="G348" s="295">
        <f>'Пр.4.1 ведом.23-24 '!H1012</f>
        <v>0</v>
      </c>
    </row>
    <row r="349" spans="1:8" ht="15.75" x14ac:dyDescent="0.25">
      <c r="A349" s="298" t="s">
        <v>262</v>
      </c>
      <c r="B349" s="299" t="s">
        <v>168</v>
      </c>
      <c r="C349" s="299" t="s">
        <v>158</v>
      </c>
      <c r="D349" s="299"/>
      <c r="E349" s="299"/>
      <c r="F349" s="294">
        <f>F380+F350+F409</f>
        <v>9092.6419999999998</v>
      </c>
      <c r="G349" s="294">
        <f>G380+G350+G409</f>
        <v>8354.0300000000007</v>
      </c>
      <c r="H349" s="71"/>
    </row>
    <row r="350" spans="1:8" ht="15.75" x14ac:dyDescent="0.25">
      <c r="A350" s="298" t="s">
        <v>133</v>
      </c>
      <c r="B350" s="299" t="s">
        <v>168</v>
      </c>
      <c r="C350" s="299" t="s">
        <v>158</v>
      </c>
      <c r="D350" s="299" t="s">
        <v>440</v>
      </c>
      <c r="E350" s="299"/>
      <c r="F350" s="294">
        <f>F351+F363</f>
        <v>8188.6420000000007</v>
      </c>
      <c r="G350" s="294">
        <f>G351+G363</f>
        <v>7450.0300000000007</v>
      </c>
    </row>
    <row r="351" spans="1:8" ht="33" customHeight="1" x14ac:dyDescent="0.25">
      <c r="A351" s="298" t="s">
        <v>444</v>
      </c>
      <c r="B351" s="299" t="s">
        <v>168</v>
      </c>
      <c r="C351" s="299" t="s">
        <v>158</v>
      </c>
      <c r="D351" s="299" t="s">
        <v>439</v>
      </c>
      <c r="E351" s="299"/>
      <c r="F351" s="294">
        <f>F352+F358</f>
        <v>8188.6420000000007</v>
      </c>
      <c r="G351" s="294">
        <f>G352+G358</f>
        <v>7450.0300000000007</v>
      </c>
    </row>
    <row r="352" spans="1:8" ht="17.45" hidden="1" customHeight="1" x14ac:dyDescent="0.25">
      <c r="A352" s="25" t="s">
        <v>271</v>
      </c>
      <c r="B352" s="346" t="s">
        <v>168</v>
      </c>
      <c r="C352" s="346" t="s">
        <v>158</v>
      </c>
      <c r="D352" s="346" t="s">
        <v>542</v>
      </c>
      <c r="E352" s="346"/>
      <c r="F352" s="295">
        <f>F353+F355</f>
        <v>800.00000000000182</v>
      </c>
      <c r="G352" s="295">
        <f>G353+G355</f>
        <v>0</v>
      </c>
    </row>
    <row r="353" spans="1:12" ht="35.450000000000003" hidden="1" customHeight="1" x14ac:dyDescent="0.25">
      <c r="A353" s="345" t="s">
        <v>123</v>
      </c>
      <c r="B353" s="346" t="s">
        <v>168</v>
      </c>
      <c r="C353" s="346" t="s">
        <v>158</v>
      </c>
      <c r="D353" s="346" t="s">
        <v>542</v>
      </c>
      <c r="E353" s="346" t="s">
        <v>124</v>
      </c>
      <c r="F353" s="295">
        <f>F354</f>
        <v>800.00000000000182</v>
      </c>
      <c r="G353" s="295">
        <f>G354</f>
        <v>0</v>
      </c>
    </row>
    <row r="354" spans="1:12" ht="47.25" hidden="1" x14ac:dyDescent="0.25">
      <c r="A354" s="345" t="s">
        <v>125</v>
      </c>
      <c r="B354" s="346" t="s">
        <v>168</v>
      </c>
      <c r="C354" s="346" t="s">
        <v>158</v>
      </c>
      <c r="D354" s="346" t="s">
        <v>542</v>
      </c>
      <c r="E354" s="346" t="s">
        <v>126</v>
      </c>
      <c r="F354" s="295">
        <f>'Пр.4 ведом.22'!G1129</f>
        <v>800.00000000000182</v>
      </c>
      <c r="G354" s="295">
        <f>'Пр.4 ведом.22'!H1129</f>
        <v>0</v>
      </c>
    </row>
    <row r="355" spans="1:12" ht="15.75" hidden="1" x14ac:dyDescent="0.25">
      <c r="A355" s="345" t="s">
        <v>127</v>
      </c>
      <c r="B355" s="346" t="s">
        <v>168</v>
      </c>
      <c r="C355" s="346" t="s">
        <v>158</v>
      </c>
      <c r="D355" s="346" t="s">
        <v>542</v>
      </c>
      <c r="E355" s="346" t="s">
        <v>134</v>
      </c>
      <c r="F355" s="295">
        <f>F356+F357</f>
        <v>0</v>
      </c>
      <c r="G355" s="295">
        <f>G356+G357</f>
        <v>0</v>
      </c>
    </row>
    <row r="356" spans="1:12" ht="47.25" hidden="1" x14ac:dyDescent="0.25">
      <c r="A356" s="345" t="s">
        <v>148</v>
      </c>
      <c r="B356" s="346" t="s">
        <v>168</v>
      </c>
      <c r="C356" s="346" t="s">
        <v>158</v>
      </c>
      <c r="D356" s="346" t="s">
        <v>542</v>
      </c>
      <c r="E356" s="346" t="s">
        <v>142</v>
      </c>
      <c r="F356" s="295">
        <f>'Пр.4 ведом.22'!G1131</f>
        <v>0</v>
      </c>
      <c r="G356" s="295">
        <f>'Пр.4 ведом.22'!H1131</f>
        <v>0</v>
      </c>
    </row>
    <row r="357" spans="1:12" ht="15.75" hidden="1" x14ac:dyDescent="0.25">
      <c r="A357" s="345" t="s">
        <v>729</v>
      </c>
      <c r="B357" s="346" t="s">
        <v>168</v>
      </c>
      <c r="C357" s="346" t="s">
        <v>158</v>
      </c>
      <c r="D357" s="346" t="s">
        <v>542</v>
      </c>
      <c r="E357" s="346" t="s">
        <v>136</v>
      </c>
      <c r="F357" s="295">
        <f>'Пр.4 ведом.22'!G1132</f>
        <v>0</v>
      </c>
      <c r="G357" s="295">
        <f>'Пр.4 ведом.22'!H1132</f>
        <v>0</v>
      </c>
    </row>
    <row r="358" spans="1:12" ht="31.5" x14ac:dyDescent="0.25">
      <c r="A358" s="20" t="s">
        <v>501</v>
      </c>
      <c r="B358" s="346" t="s">
        <v>168</v>
      </c>
      <c r="C358" s="346" t="s">
        <v>158</v>
      </c>
      <c r="D358" s="346" t="s">
        <v>525</v>
      </c>
      <c r="E358" s="346"/>
      <c r="F358" s="295">
        <f>F359+F361</f>
        <v>7388.6419999999989</v>
      </c>
      <c r="G358" s="295">
        <f>G359+G361</f>
        <v>7450.0300000000007</v>
      </c>
    </row>
    <row r="359" spans="1:12" s="344" customFormat="1" ht="31.5" x14ac:dyDescent="0.25">
      <c r="A359" s="345" t="s">
        <v>123</v>
      </c>
      <c r="B359" s="346" t="s">
        <v>168</v>
      </c>
      <c r="C359" s="346" t="s">
        <v>158</v>
      </c>
      <c r="D359" s="346" t="s">
        <v>525</v>
      </c>
      <c r="E359" s="346" t="s">
        <v>124</v>
      </c>
      <c r="F359" s="295">
        <f t="shared" ref="F359:G359" si="60">F360</f>
        <v>7280.7419999999993</v>
      </c>
      <c r="G359" s="295">
        <f t="shared" si="60"/>
        <v>7450.0300000000007</v>
      </c>
      <c r="L359" s="343"/>
    </row>
    <row r="360" spans="1:12" s="344" customFormat="1" ht="47.25" x14ac:dyDescent="0.25">
      <c r="A360" s="345" t="s">
        <v>125</v>
      </c>
      <c r="B360" s="346" t="s">
        <v>168</v>
      </c>
      <c r="C360" s="346" t="s">
        <v>158</v>
      </c>
      <c r="D360" s="346" t="s">
        <v>525</v>
      </c>
      <c r="E360" s="346" t="s">
        <v>126</v>
      </c>
      <c r="F360" s="295">
        <f>'Пр.4.1 ведом.23-24 '!G1024</f>
        <v>7280.7419999999993</v>
      </c>
      <c r="G360" s="295">
        <f>'Пр.4.1 ведом.23-24 '!H1024</f>
        <v>7450.0300000000007</v>
      </c>
      <c r="L360" s="343"/>
    </row>
    <row r="361" spans="1:12" s="344" customFormat="1" ht="15.75" x14ac:dyDescent="0.25">
      <c r="A361" s="345" t="s">
        <v>127</v>
      </c>
      <c r="B361" s="346" t="s">
        <v>168</v>
      </c>
      <c r="C361" s="346" t="s">
        <v>158</v>
      </c>
      <c r="D361" s="346" t="s">
        <v>525</v>
      </c>
      <c r="E361" s="346" t="s">
        <v>134</v>
      </c>
      <c r="F361" s="295">
        <f>F362</f>
        <v>107.9</v>
      </c>
      <c r="G361" s="295">
        <f>G362</f>
        <v>0</v>
      </c>
      <c r="L361" s="343"/>
    </row>
    <row r="362" spans="1:12" s="344" customFormat="1" ht="15.75" x14ac:dyDescent="0.25">
      <c r="A362" s="345" t="s">
        <v>135</v>
      </c>
      <c r="B362" s="346" t="s">
        <v>168</v>
      </c>
      <c r="C362" s="346" t="s">
        <v>158</v>
      </c>
      <c r="D362" s="346" t="s">
        <v>525</v>
      </c>
      <c r="E362" s="346" t="s">
        <v>136</v>
      </c>
      <c r="F362" s="295">
        <f>'Пр.4 ведом.22'!G1137</f>
        <v>107.9</v>
      </c>
      <c r="G362" s="295">
        <f>'Пр.4 ведом.22'!H1137</f>
        <v>0</v>
      </c>
      <c r="L362" s="343"/>
    </row>
    <row r="363" spans="1:12" s="344" customFormat="1" ht="47.25" hidden="1" x14ac:dyDescent="0.25">
      <c r="A363" s="298" t="s">
        <v>574</v>
      </c>
      <c r="B363" s="299" t="s">
        <v>168</v>
      </c>
      <c r="C363" s="299" t="s">
        <v>158</v>
      </c>
      <c r="D363" s="299" t="s">
        <v>543</v>
      </c>
      <c r="E363" s="299"/>
      <c r="F363" s="294">
        <f>F364+F369+F372+F377</f>
        <v>0</v>
      </c>
      <c r="G363" s="294">
        <f>G364+G369+G372+G377</f>
        <v>0</v>
      </c>
      <c r="L363" s="343"/>
    </row>
    <row r="364" spans="1:12" s="344" customFormat="1" ht="47.25" hidden="1" x14ac:dyDescent="0.25">
      <c r="A364" s="345" t="s">
        <v>402</v>
      </c>
      <c r="B364" s="346" t="s">
        <v>168</v>
      </c>
      <c r="C364" s="346" t="s">
        <v>158</v>
      </c>
      <c r="D364" s="346" t="s">
        <v>544</v>
      </c>
      <c r="E364" s="346"/>
      <c r="F364" s="295">
        <f>F365+F367</f>
        <v>0</v>
      </c>
      <c r="G364" s="295">
        <f>G365+G367</f>
        <v>0</v>
      </c>
      <c r="L364" s="343"/>
    </row>
    <row r="365" spans="1:12" s="344" customFormat="1" ht="31.5" hidden="1" x14ac:dyDescent="0.25">
      <c r="A365" s="345" t="s">
        <v>123</v>
      </c>
      <c r="B365" s="346" t="s">
        <v>168</v>
      </c>
      <c r="C365" s="346" t="s">
        <v>158</v>
      </c>
      <c r="D365" s="346" t="s">
        <v>544</v>
      </c>
      <c r="E365" s="346" t="s">
        <v>124</v>
      </c>
      <c r="F365" s="295">
        <f>F366</f>
        <v>0</v>
      </c>
      <c r="G365" s="295">
        <f>G366</f>
        <v>0</v>
      </c>
      <c r="L365" s="343"/>
    </row>
    <row r="366" spans="1:12" s="344" customFormat="1" ht="47.25" hidden="1" x14ac:dyDescent="0.25">
      <c r="A366" s="345" t="s">
        <v>125</v>
      </c>
      <c r="B366" s="346" t="s">
        <v>168</v>
      </c>
      <c r="C366" s="346" t="s">
        <v>158</v>
      </c>
      <c r="D366" s="346" t="s">
        <v>544</v>
      </c>
      <c r="E366" s="346" t="s">
        <v>126</v>
      </c>
      <c r="F366" s="295">
        <f>'Пр.4 ведом.22'!G1142</f>
        <v>0</v>
      </c>
      <c r="G366" s="295">
        <f>'Пр.4 ведом.22'!H1142</f>
        <v>0</v>
      </c>
      <c r="L366" s="343"/>
    </row>
    <row r="367" spans="1:12" s="344" customFormat="1" ht="15.75" hidden="1" x14ac:dyDescent="0.25">
      <c r="A367" s="345" t="s">
        <v>127</v>
      </c>
      <c r="B367" s="346" t="s">
        <v>168</v>
      </c>
      <c r="C367" s="346" t="s">
        <v>158</v>
      </c>
      <c r="D367" s="346" t="s">
        <v>544</v>
      </c>
      <c r="E367" s="346" t="s">
        <v>412</v>
      </c>
      <c r="F367" s="295">
        <f>F368</f>
        <v>0</v>
      </c>
      <c r="G367" s="295">
        <f>G368</f>
        <v>0</v>
      </c>
      <c r="L367" s="343"/>
    </row>
    <row r="368" spans="1:12" s="344" customFormat="1" ht="15.75" hidden="1" x14ac:dyDescent="0.25">
      <c r="A368" s="345" t="s">
        <v>280</v>
      </c>
      <c r="B368" s="346" t="s">
        <v>168</v>
      </c>
      <c r="C368" s="346" t="s">
        <v>158</v>
      </c>
      <c r="D368" s="346" t="s">
        <v>544</v>
      </c>
      <c r="E368" s="346" t="s">
        <v>622</v>
      </c>
      <c r="F368" s="295">
        <f>'Пр.4 ведом.22'!G1144</f>
        <v>0</v>
      </c>
      <c r="G368" s="295">
        <f>'Пр.4 ведом.22'!H1144</f>
        <v>0</v>
      </c>
      <c r="L368" s="343"/>
    </row>
    <row r="369" spans="1:12" s="344" customFormat="1" ht="49.7" hidden="1" customHeight="1" x14ac:dyDescent="0.25">
      <c r="A369" s="345" t="s">
        <v>369</v>
      </c>
      <c r="B369" s="346" t="s">
        <v>168</v>
      </c>
      <c r="C369" s="346" t="s">
        <v>158</v>
      </c>
      <c r="D369" s="346" t="s">
        <v>545</v>
      </c>
      <c r="E369" s="346"/>
      <c r="F369" s="295">
        <f>F370</f>
        <v>0</v>
      </c>
      <c r="G369" s="295">
        <f>G370</f>
        <v>0</v>
      </c>
      <c r="L369" s="343"/>
    </row>
    <row r="370" spans="1:12" s="344" customFormat="1" ht="31.5" hidden="1" x14ac:dyDescent="0.25">
      <c r="A370" s="345" t="s">
        <v>123</v>
      </c>
      <c r="B370" s="346" t="s">
        <v>168</v>
      </c>
      <c r="C370" s="346" t="s">
        <v>158</v>
      </c>
      <c r="D370" s="346" t="s">
        <v>545</v>
      </c>
      <c r="E370" s="346" t="s">
        <v>124</v>
      </c>
      <c r="F370" s="295">
        <f>F371</f>
        <v>0</v>
      </c>
      <c r="G370" s="295">
        <f>G371</f>
        <v>0</v>
      </c>
      <c r="L370" s="343"/>
    </row>
    <row r="371" spans="1:12" s="344" customFormat="1" ht="47.25" hidden="1" x14ac:dyDescent="0.25">
      <c r="A371" s="345" t="s">
        <v>125</v>
      </c>
      <c r="B371" s="346" t="s">
        <v>168</v>
      </c>
      <c r="C371" s="346" t="s">
        <v>158</v>
      </c>
      <c r="D371" s="346" t="s">
        <v>545</v>
      </c>
      <c r="E371" s="346" t="s">
        <v>126</v>
      </c>
      <c r="F371" s="295">
        <f>'Пр.4 ведом.22'!G1147</f>
        <v>0</v>
      </c>
      <c r="G371" s="295">
        <f>'Пр.4 ведом.22'!H1147</f>
        <v>0</v>
      </c>
      <c r="L371" s="343"/>
    </row>
    <row r="372" spans="1:12" s="344" customFormat="1" ht="47.25" hidden="1" x14ac:dyDescent="0.25">
      <c r="A372" s="66" t="s">
        <v>408</v>
      </c>
      <c r="B372" s="346" t="s">
        <v>168</v>
      </c>
      <c r="C372" s="346" t="s">
        <v>158</v>
      </c>
      <c r="D372" s="346" t="s">
        <v>546</v>
      </c>
      <c r="E372" s="346"/>
      <c r="F372" s="295">
        <f>F373+F375</f>
        <v>0</v>
      </c>
      <c r="G372" s="295">
        <f>G373+G375</f>
        <v>0</v>
      </c>
      <c r="L372" s="343"/>
    </row>
    <row r="373" spans="1:12" s="344" customFormat="1" ht="31.5" hidden="1" x14ac:dyDescent="0.25">
      <c r="A373" s="345" t="s">
        <v>413</v>
      </c>
      <c r="B373" s="346" t="s">
        <v>168</v>
      </c>
      <c r="C373" s="346" t="s">
        <v>158</v>
      </c>
      <c r="D373" s="346" t="s">
        <v>546</v>
      </c>
      <c r="E373" s="346" t="s">
        <v>412</v>
      </c>
      <c r="F373" s="295">
        <f>F374</f>
        <v>0</v>
      </c>
      <c r="G373" s="295">
        <f>G374</f>
        <v>0</v>
      </c>
      <c r="L373" s="343"/>
    </row>
    <row r="374" spans="1:12" s="344" customFormat="1" ht="31.7" hidden="1" customHeight="1" x14ac:dyDescent="0.25">
      <c r="A374" s="345" t="s">
        <v>607</v>
      </c>
      <c r="B374" s="346" t="s">
        <v>168</v>
      </c>
      <c r="C374" s="346" t="s">
        <v>158</v>
      </c>
      <c r="D374" s="346" t="s">
        <v>546</v>
      </c>
      <c r="E374" s="346" t="s">
        <v>622</v>
      </c>
      <c r="F374" s="295">
        <f>'Пр.4 ведом.22'!G1150</f>
        <v>0</v>
      </c>
      <c r="G374" s="295">
        <f>'Пр.4 ведом.22'!H1150</f>
        <v>0</v>
      </c>
      <c r="L374" s="343"/>
    </row>
    <row r="375" spans="1:12" s="344" customFormat="1" ht="21.2" hidden="1" customHeight="1" x14ac:dyDescent="0.25">
      <c r="A375" s="345" t="s">
        <v>127</v>
      </c>
      <c r="B375" s="346" t="s">
        <v>168</v>
      </c>
      <c r="C375" s="346" t="s">
        <v>158</v>
      </c>
      <c r="D375" s="346" t="s">
        <v>546</v>
      </c>
      <c r="E375" s="346" t="s">
        <v>134</v>
      </c>
      <c r="F375" s="295">
        <f>F376</f>
        <v>0</v>
      </c>
      <c r="G375" s="295">
        <f>G376</f>
        <v>0</v>
      </c>
      <c r="L375" s="343"/>
    </row>
    <row r="376" spans="1:12" s="344" customFormat="1" ht="21.75" hidden="1" customHeight="1" x14ac:dyDescent="0.25">
      <c r="A376" s="345" t="s">
        <v>338</v>
      </c>
      <c r="B376" s="346" t="s">
        <v>168</v>
      </c>
      <c r="C376" s="346" t="s">
        <v>158</v>
      </c>
      <c r="D376" s="346" t="s">
        <v>546</v>
      </c>
      <c r="E376" s="346" t="s">
        <v>130</v>
      </c>
      <c r="F376" s="295">
        <f>'Пр.4 ведом.22'!G1152</f>
        <v>0</v>
      </c>
      <c r="G376" s="295">
        <f>'Пр.4 ведом.22'!H1152</f>
        <v>0</v>
      </c>
      <c r="L376" s="343"/>
    </row>
    <row r="377" spans="1:12" s="344" customFormat="1" ht="31.5" hidden="1" x14ac:dyDescent="0.25">
      <c r="A377" s="345" t="s">
        <v>623</v>
      </c>
      <c r="B377" s="346" t="s">
        <v>168</v>
      </c>
      <c r="C377" s="346" t="s">
        <v>158</v>
      </c>
      <c r="D377" s="346" t="s">
        <v>624</v>
      </c>
      <c r="E377" s="346"/>
      <c r="F377" s="295">
        <f t="shared" ref="F377:G378" si="61">F378</f>
        <v>0</v>
      </c>
      <c r="G377" s="295">
        <f t="shared" si="61"/>
        <v>0</v>
      </c>
      <c r="L377" s="343"/>
    </row>
    <row r="378" spans="1:12" s="344" customFormat="1" ht="31.5" hidden="1" x14ac:dyDescent="0.25">
      <c r="A378" s="345" t="s">
        <v>123</v>
      </c>
      <c r="B378" s="346" t="s">
        <v>168</v>
      </c>
      <c r="C378" s="346" t="s">
        <v>158</v>
      </c>
      <c r="D378" s="346" t="s">
        <v>624</v>
      </c>
      <c r="E378" s="346" t="s">
        <v>124</v>
      </c>
      <c r="F378" s="295">
        <f t="shared" si="61"/>
        <v>0</v>
      </c>
      <c r="G378" s="295">
        <f t="shared" si="61"/>
        <v>0</v>
      </c>
      <c r="L378" s="343"/>
    </row>
    <row r="379" spans="1:12" s="344" customFormat="1" ht="47.25" hidden="1" x14ac:dyDescent="0.25">
      <c r="A379" s="345" t="s">
        <v>125</v>
      </c>
      <c r="B379" s="346" t="s">
        <v>168</v>
      </c>
      <c r="C379" s="346" t="s">
        <v>158</v>
      </c>
      <c r="D379" s="346" t="s">
        <v>624</v>
      </c>
      <c r="E379" s="346" t="s">
        <v>126</v>
      </c>
      <c r="F379" s="295">
        <f>'Пр.4 ведом.22'!G1155</f>
        <v>0</v>
      </c>
      <c r="G379" s="295">
        <f>'Пр.4 ведом.22'!H1155</f>
        <v>0</v>
      </c>
      <c r="L379" s="343"/>
    </row>
    <row r="380" spans="1:12" s="344" customFormat="1" ht="63" x14ac:dyDescent="0.25">
      <c r="A380" s="298" t="s">
        <v>983</v>
      </c>
      <c r="B380" s="299" t="s">
        <v>168</v>
      </c>
      <c r="C380" s="299" t="s">
        <v>158</v>
      </c>
      <c r="D380" s="299" t="s">
        <v>263</v>
      </c>
      <c r="E380" s="299"/>
      <c r="F380" s="294">
        <f>F381+F385+F389+F393+F397+F401+F405</f>
        <v>700</v>
      </c>
      <c r="G380" s="294">
        <f>G381+G385+G389+G393+G397+G401+G405</f>
        <v>700</v>
      </c>
      <c r="L380" s="343"/>
    </row>
    <row r="381" spans="1:12" s="344" customFormat="1" ht="31.5" x14ac:dyDescent="0.25">
      <c r="A381" s="298" t="s">
        <v>526</v>
      </c>
      <c r="B381" s="299" t="s">
        <v>168</v>
      </c>
      <c r="C381" s="299" t="s">
        <v>158</v>
      </c>
      <c r="D381" s="299" t="s">
        <v>528</v>
      </c>
      <c r="E381" s="299"/>
      <c r="F381" s="294">
        <f>F382</f>
        <v>700</v>
      </c>
      <c r="G381" s="294">
        <f>G382</f>
        <v>700</v>
      </c>
      <c r="L381" s="343"/>
    </row>
    <row r="382" spans="1:12" s="344" customFormat="1" ht="15.75" x14ac:dyDescent="0.25">
      <c r="A382" s="29" t="s">
        <v>527</v>
      </c>
      <c r="B382" s="341" t="s">
        <v>168</v>
      </c>
      <c r="C382" s="341" t="s">
        <v>158</v>
      </c>
      <c r="D382" s="346" t="s">
        <v>529</v>
      </c>
      <c r="E382" s="341"/>
      <c r="F382" s="295">
        <f t="shared" ref="F382:G383" si="62">F383</f>
        <v>700</v>
      </c>
      <c r="G382" s="295">
        <f t="shared" si="62"/>
        <v>700</v>
      </c>
      <c r="L382" s="343"/>
    </row>
    <row r="383" spans="1:12" s="344" customFormat="1" ht="31.5" x14ac:dyDescent="0.25">
      <c r="A383" s="22" t="s">
        <v>123</v>
      </c>
      <c r="B383" s="341" t="s">
        <v>168</v>
      </c>
      <c r="C383" s="341" t="s">
        <v>158</v>
      </c>
      <c r="D383" s="346" t="s">
        <v>529</v>
      </c>
      <c r="E383" s="341" t="s">
        <v>124</v>
      </c>
      <c r="F383" s="295">
        <f t="shared" si="62"/>
        <v>700</v>
      </c>
      <c r="G383" s="295">
        <f t="shared" si="62"/>
        <v>700</v>
      </c>
      <c r="L383" s="343"/>
    </row>
    <row r="384" spans="1:12" s="344" customFormat="1" ht="47.25" x14ac:dyDescent="0.25">
      <c r="A384" s="22" t="s">
        <v>125</v>
      </c>
      <c r="B384" s="341" t="s">
        <v>168</v>
      </c>
      <c r="C384" s="341" t="s">
        <v>158</v>
      </c>
      <c r="D384" s="346" t="s">
        <v>529</v>
      </c>
      <c r="E384" s="341" t="s">
        <v>126</v>
      </c>
      <c r="F384" s="295">
        <f>'Пр.4.1 ведом.23-24 '!G1048</f>
        <v>700</v>
      </c>
      <c r="G384" s="295">
        <f>'Пр.4.1 ведом.23-24 '!H1048</f>
        <v>700</v>
      </c>
      <c r="L384" s="343"/>
    </row>
    <row r="385" spans="1:12" s="344" customFormat="1" ht="31.5" hidden="1" x14ac:dyDescent="0.25">
      <c r="A385" s="24" t="s">
        <v>530</v>
      </c>
      <c r="B385" s="6" t="s">
        <v>168</v>
      </c>
      <c r="C385" s="6" t="s">
        <v>158</v>
      </c>
      <c r="D385" s="299" t="s">
        <v>531</v>
      </c>
      <c r="E385" s="6"/>
      <c r="F385" s="294">
        <f t="shared" ref="F385:G387" si="63">F386</f>
        <v>0</v>
      </c>
      <c r="G385" s="294">
        <f t="shared" si="63"/>
        <v>0</v>
      </c>
      <c r="L385" s="343"/>
    </row>
    <row r="386" spans="1:12" s="344" customFormat="1" ht="15.75" hidden="1" x14ac:dyDescent="0.25">
      <c r="A386" s="29" t="s">
        <v>265</v>
      </c>
      <c r="B386" s="341" t="s">
        <v>168</v>
      </c>
      <c r="C386" s="341" t="s">
        <v>158</v>
      </c>
      <c r="D386" s="346" t="s">
        <v>534</v>
      </c>
      <c r="E386" s="341"/>
      <c r="F386" s="295">
        <f t="shared" si="63"/>
        <v>0</v>
      </c>
      <c r="G386" s="295">
        <f t="shared" si="63"/>
        <v>0</v>
      </c>
      <c r="L386" s="343"/>
    </row>
    <row r="387" spans="1:12" s="344" customFormat="1" ht="31.5" hidden="1" x14ac:dyDescent="0.25">
      <c r="A387" s="22" t="s">
        <v>123</v>
      </c>
      <c r="B387" s="341" t="s">
        <v>168</v>
      </c>
      <c r="C387" s="341" t="s">
        <v>158</v>
      </c>
      <c r="D387" s="346" t="s">
        <v>534</v>
      </c>
      <c r="E387" s="341" t="s">
        <v>124</v>
      </c>
      <c r="F387" s="295">
        <f t="shared" si="63"/>
        <v>0</v>
      </c>
      <c r="G387" s="295">
        <f t="shared" si="63"/>
        <v>0</v>
      </c>
      <c r="L387" s="343"/>
    </row>
    <row r="388" spans="1:12" s="344" customFormat="1" ht="47.25" hidden="1" x14ac:dyDescent="0.25">
      <c r="A388" s="22" t="s">
        <v>125</v>
      </c>
      <c r="B388" s="341" t="s">
        <v>168</v>
      </c>
      <c r="C388" s="341" t="s">
        <v>158</v>
      </c>
      <c r="D388" s="346" t="s">
        <v>534</v>
      </c>
      <c r="E388" s="341" t="s">
        <v>126</v>
      </c>
      <c r="F388" s="295">
        <f>'Пр.4.1 ведом.23-24 '!G1052</f>
        <v>0</v>
      </c>
      <c r="G388" s="295">
        <f>'Пр.4.1 ведом.23-24 '!H1052</f>
        <v>0</v>
      </c>
      <c r="L388" s="343"/>
    </row>
    <row r="389" spans="1:12" s="344" customFormat="1" ht="31.5" hidden="1" x14ac:dyDescent="0.25">
      <c r="A389" s="34" t="s">
        <v>532</v>
      </c>
      <c r="B389" s="6" t="s">
        <v>168</v>
      </c>
      <c r="C389" s="6" t="s">
        <v>158</v>
      </c>
      <c r="D389" s="299" t="s">
        <v>533</v>
      </c>
      <c r="E389" s="6"/>
      <c r="F389" s="294">
        <f t="shared" ref="F389:G391" si="64">F390</f>
        <v>0</v>
      </c>
      <c r="G389" s="294">
        <f t="shared" si="64"/>
        <v>0</v>
      </c>
      <c r="L389" s="343"/>
    </row>
    <row r="390" spans="1:12" s="344" customFormat="1" ht="15.75" hidden="1" x14ac:dyDescent="0.25">
      <c r="A390" s="29" t="s">
        <v>266</v>
      </c>
      <c r="B390" s="341" t="s">
        <v>168</v>
      </c>
      <c r="C390" s="341" t="s">
        <v>158</v>
      </c>
      <c r="D390" s="346" t="s">
        <v>535</v>
      </c>
      <c r="E390" s="341"/>
      <c r="F390" s="295">
        <f t="shared" si="64"/>
        <v>0</v>
      </c>
      <c r="G390" s="295">
        <f t="shared" si="64"/>
        <v>0</v>
      </c>
      <c r="L390" s="343"/>
    </row>
    <row r="391" spans="1:12" s="344" customFormat="1" ht="31.5" hidden="1" x14ac:dyDescent="0.25">
      <c r="A391" s="22" t="s">
        <v>123</v>
      </c>
      <c r="B391" s="341" t="s">
        <v>168</v>
      </c>
      <c r="C391" s="341" t="s">
        <v>158</v>
      </c>
      <c r="D391" s="346" t="s">
        <v>535</v>
      </c>
      <c r="E391" s="341" t="s">
        <v>124</v>
      </c>
      <c r="F391" s="295">
        <f t="shared" si="64"/>
        <v>0</v>
      </c>
      <c r="G391" s="295">
        <f t="shared" si="64"/>
        <v>0</v>
      </c>
      <c r="L391" s="343"/>
    </row>
    <row r="392" spans="1:12" s="344" customFormat="1" ht="47.25" hidden="1" x14ac:dyDescent="0.25">
      <c r="A392" s="22" t="s">
        <v>125</v>
      </c>
      <c r="B392" s="341" t="s">
        <v>168</v>
      </c>
      <c r="C392" s="341" t="s">
        <v>158</v>
      </c>
      <c r="D392" s="346" t="s">
        <v>535</v>
      </c>
      <c r="E392" s="341" t="s">
        <v>126</v>
      </c>
      <c r="F392" s="295">
        <f>'Пр.4.1 ведом.23-24 '!G1056</f>
        <v>0</v>
      </c>
      <c r="G392" s="295">
        <f>'Пр.4.1 ведом.23-24 '!H1056</f>
        <v>0</v>
      </c>
      <c r="L392" s="343"/>
    </row>
    <row r="393" spans="1:12" s="344" customFormat="1" ht="31.5" hidden="1" x14ac:dyDescent="0.25">
      <c r="A393" s="34" t="s">
        <v>536</v>
      </c>
      <c r="B393" s="6" t="s">
        <v>168</v>
      </c>
      <c r="C393" s="6" t="s">
        <v>158</v>
      </c>
      <c r="D393" s="299" t="s">
        <v>537</v>
      </c>
      <c r="E393" s="6"/>
      <c r="F393" s="294">
        <f t="shared" ref="F393:G395" si="65">F394</f>
        <v>0</v>
      </c>
      <c r="G393" s="294">
        <f t="shared" si="65"/>
        <v>0</v>
      </c>
      <c r="L393" s="343"/>
    </row>
    <row r="394" spans="1:12" s="344" customFormat="1" ht="15.75" hidden="1" x14ac:dyDescent="0.25">
      <c r="A394" s="29" t="s">
        <v>267</v>
      </c>
      <c r="B394" s="341" t="s">
        <v>168</v>
      </c>
      <c r="C394" s="341" t="s">
        <v>158</v>
      </c>
      <c r="D394" s="346" t="s">
        <v>538</v>
      </c>
      <c r="E394" s="341"/>
      <c r="F394" s="295">
        <f t="shared" si="65"/>
        <v>0</v>
      </c>
      <c r="G394" s="295">
        <f t="shared" si="65"/>
        <v>0</v>
      </c>
      <c r="L394" s="343"/>
    </row>
    <row r="395" spans="1:12" s="344" customFormat="1" ht="31.5" hidden="1" x14ac:dyDescent="0.25">
      <c r="A395" s="22" t="s">
        <v>123</v>
      </c>
      <c r="B395" s="341" t="s">
        <v>168</v>
      </c>
      <c r="C395" s="341" t="s">
        <v>158</v>
      </c>
      <c r="D395" s="346" t="s">
        <v>538</v>
      </c>
      <c r="E395" s="341" t="s">
        <v>124</v>
      </c>
      <c r="F395" s="295">
        <f t="shared" si="65"/>
        <v>0</v>
      </c>
      <c r="G395" s="295">
        <f t="shared" si="65"/>
        <v>0</v>
      </c>
      <c r="L395" s="343"/>
    </row>
    <row r="396" spans="1:12" s="344" customFormat="1" ht="47.25" hidden="1" x14ac:dyDescent="0.25">
      <c r="A396" s="22" t="s">
        <v>125</v>
      </c>
      <c r="B396" s="341" t="s">
        <v>168</v>
      </c>
      <c r="C396" s="341" t="s">
        <v>158</v>
      </c>
      <c r="D396" s="346" t="s">
        <v>538</v>
      </c>
      <c r="E396" s="341" t="s">
        <v>126</v>
      </c>
      <c r="F396" s="295">
        <f>'Пр.4.1 ведом.23-24 '!G1060</f>
        <v>0</v>
      </c>
      <c r="G396" s="295">
        <f>'Пр.4.1 ведом.23-24 '!H1060</f>
        <v>0</v>
      </c>
      <c r="L396" s="343"/>
    </row>
    <row r="397" spans="1:12" s="344" customFormat="1" ht="31.5" hidden="1" x14ac:dyDescent="0.25">
      <c r="A397" s="24" t="s">
        <v>575</v>
      </c>
      <c r="B397" s="6" t="s">
        <v>168</v>
      </c>
      <c r="C397" s="6" t="s">
        <v>158</v>
      </c>
      <c r="D397" s="299" t="s">
        <v>576</v>
      </c>
      <c r="E397" s="6"/>
      <c r="F397" s="294">
        <f t="shared" ref="F397:G399" si="66">F398</f>
        <v>0</v>
      </c>
      <c r="G397" s="294">
        <f t="shared" si="66"/>
        <v>0</v>
      </c>
      <c r="L397" s="343"/>
    </row>
    <row r="398" spans="1:12" s="344" customFormat="1" ht="18" hidden="1" customHeight="1" x14ac:dyDescent="0.25">
      <c r="A398" s="29" t="s">
        <v>268</v>
      </c>
      <c r="B398" s="341" t="s">
        <v>168</v>
      </c>
      <c r="C398" s="341" t="s">
        <v>158</v>
      </c>
      <c r="D398" s="346" t="s">
        <v>579</v>
      </c>
      <c r="E398" s="341"/>
      <c r="F398" s="295">
        <f t="shared" si="66"/>
        <v>0</v>
      </c>
      <c r="G398" s="295">
        <f t="shared" si="66"/>
        <v>0</v>
      </c>
      <c r="L398" s="343"/>
    </row>
    <row r="399" spans="1:12" s="344" customFormat="1" ht="31.5" hidden="1" x14ac:dyDescent="0.25">
      <c r="A399" s="22" t="s">
        <v>123</v>
      </c>
      <c r="B399" s="341" t="s">
        <v>168</v>
      </c>
      <c r="C399" s="341" t="s">
        <v>158</v>
      </c>
      <c r="D399" s="346" t="s">
        <v>579</v>
      </c>
      <c r="E399" s="341" t="s">
        <v>124</v>
      </c>
      <c r="F399" s="295">
        <f t="shared" si="66"/>
        <v>0</v>
      </c>
      <c r="G399" s="295">
        <f t="shared" si="66"/>
        <v>0</v>
      </c>
      <c r="L399" s="343"/>
    </row>
    <row r="400" spans="1:12" s="344" customFormat="1" ht="47.25" hidden="1" x14ac:dyDescent="0.25">
      <c r="A400" s="22" t="s">
        <v>125</v>
      </c>
      <c r="B400" s="341" t="s">
        <v>168</v>
      </c>
      <c r="C400" s="341" t="s">
        <v>158</v>
      </c>
      <c r="D400" s="346" t="s">
        <v>579</v>
      </c>
      <c r="E400" s="341" t="s">
        <v>126</v>
      </c>
      <c r="F400" s="295">
        <f>'Пр.4.1 ведом.23-24 '!G1064</f>
        <v>0</v>
      </c>
      <c r="G400" s="295">
        <f>'Пр.4.1 ведом.23-24 '!H1064</f>
        <v>0</v>
      </c>
      <c r="L400" s="343"/>
    </row>
    <row r="401" spans="1:12" s="344" customFormat="1" ht="31.5" hidden="1" x14ac:dyDescent="0.25">
      <c r="A401" s="141" t="s">
        <v>577</v>
      </c>
      <c r="B401" s="6" t="s">
        <v>168</v>
      </c>
      <c r="C401" s="6" t="s">
        <v>158</v>
      </c>
      <c r="D401" s="299" t="s">
        <v>578</v>
      </c>
      <c r="E401" s="6"/>
      <c r="F401" s="294">
        <f t="shared" ref="F401:G403" si="67">F402</f>
        <v>0</v>
      </c>
      <c r="G401" s="294">
        <f t="shared" si="67"/>
        <v>0</v>
      </c>
      <c r="L401" s="343"/>
    </row>
    <row r="402" spans="1:12" s="344" customFormat="1" ht="31.5" hidden="1" x14ac:dyDescent="0.25">
      <c r="A402" s="100" t="s">
        <v>269</v>
      </c>
      <c r="B402" s="341" t="s">
        <v>168</v>
      </c>
      <c r="C402" s="341" t="s">
        <v>158</v>
      </c>
      <c r="D402" s="346" t="s">
        <v>580</v>
      </c>
      <c r="E402" s="341"/>
      <c r="F402" s="295">
        <f t="shared" si="67"/>
        <v>0</v>
      </c>
      <c r="G402" s="295">
        <f t="shared" si="67"/>
        <v>0</v>
      </c>
      <c r="L402" s="343"/>
    </row>
    <row r="403" spans="1:12" s="344" customFormat="1" ht="31.5" hidden="1" x14ac:dyDescent="0.25">
      <c r="A403" s="22" t="s">
        <v>123</v>
      </c>
      <c r="B403" s="341" t="s">
        <v>168</v>
      </c>
      <c r="C403" s="341" t="s">
        <v>158</v>
      </c>
      <c r="D403" s="346" t="s">
        <v>580</v>
      </c>
      <c r="E403" s="341" t="s">
        <v>124</v>
      </c>
      <c r="F403" s="295">
        <f t="shared" si="67"/>
        <v>0</v>
      </c>
      <c r="G403" s="295">
        <f t="shared" si="67"/>
        <v>0</v>
      </c>
      <c r="L403" s="343"/>
    </row>
    <row r="404" spans="1:12" s="344" customFormat="1" ht="47.25" hidden="1" x14ac:dyDescent="0.25">
      <c r="A404" s="22" t="s">
        <v>125</v>
      </c>
      <c r="B404" s="341" t="s">
        <v>168</v>
      </c>
      <c r="C404" s="341" t="s">
        <v>158</v>
      </c>
      <c r="D404" s="346" t="s">
        <v>580</v>
      </c>
      <c r="E404" s="341" t="s">
        <v>126</v>
      </c>
      <c r="F404" s="295">
        <f>'Пр.4.1 ведом.23-24 '!G1068</f>
        <v>0</v>
      </c>
      <c r="G404" s="295">
        <f>'Пр.4.1 ведом.23-24 '!H1068</f>
        <v>0</v>
      </c>
      <c r="L404" s="343"/>
    </row>
    <row r="405" spans="1:12" s="344" customFormat="1" ht="31.5" hidden="1" x14ac:dyDescent="0.25">
      <c r="A405" s="141" t="s">
        <v>540</v>
      </c>
      <c r="B405" s="6" t="s">
        <v>168</v>
      </c>
      <c r="C405" s="6" t="s">
        <v>158</v>
      </c>
      <c r="D405" s="299" t="s">
        <v>541</v>
      </c>
      <c r="E405" s="6"/>
      <c r="F405" s="294">
        <f t="shared" ref="F405:G407" si="68">F406</f>
        <v>0</v>
      </c>
      <c r="G405" s="294">
        <f t="shared" si="68"/>
        <v>0</v>
      </c>
      <c r="L405" s="343"/>
    </row>
    <row r="406" spans="1:12" s="344" customFormat="1" ht="15.75" hidden="1" x14ac:dyDescent="0.25">
      <c r="A406" s="100" t="s">
        <v>270</v>
      </c>
      <c r="B406" s="341" t="s">
        <v>168</v>
      </c>
      <c r="C406" s="341" t="s">
        <v>158</v>
      </c>
      <c r="D406" s="346" t="s">
        <v>539</v>
      </c>
      <c r="E406" s="341"/>
      <c r="F406" s="295">
        <f t="shared" si="68"/>
        <v>0</v>
      </c>
      <c r="G406" s="295">
        <f t="shared" si="68"/>
        <v>0</v>
      </c>
      <c r="L406" s="343"/>
    </row>
    <row r="407" spans="1:12" ht="31.5" hidden="1" x14ac:dyDescent="0.25">
      <c r="A407" s="345" t="s">
        <v>123</v>
      </c>
      <c r="B407" s="341" t="s">
        <v>168</v>
      </c>
      <c r="C407" s="341" t="s">
        <v>158</v>
      </c>
      <c r="D407" s="346" t="s">
        <v>539</v>
      </c>
      <c r="E407" s="341" t="s">
        <v>124</v>
      </c>
      <c r="F407" s="295">
        <f t="shared" si="68"/>
        <v>0</v>
      </c>
      <c r="G407" s="295">
        <f t="shared" si="68"/>
        <v>0</v>
      </c>
    </row>
    <row r="408" spans="1:12" ht="47.25" hidden="1" x14ac:dyDescent="0.25">
      <c r="A408" s="345" t="s">
        <v>125</v>
      </c>
      <c r="B408" s="341" t="s">
        <v>168</v>
      </c>
      <c r="C408" s="341" t="s">
        <v>158</v>
      </c>
      <c r="D408" s="346" t="s">
        <v>539</v>
      </c>
      <c r="E408" s="341" t="s">
        <v>126</v>
      </c>
      <c r="F408" s="295">
        <f>'Пр.4.1 ведом.23-24 '!G1072</f>
        <v>0</v>
      </c>
      <c r="G408" s="295">
        <f>'Пр.4.1 ведом.23-24 '!H1072</f>
        <v>0</v>
      </c>
    </row>
    <row r="409" spans="1:12" ht="47.25" x14ac:dyDescent="0.25">
      <c r="A409" s="298" t="s">
        <v>984</v>
      </c>
      <c r="B409" s="6" t="s">
        <v>168</v>
      </c>
      <c r="C409" s="6" t="s">
        <v>158</v>
      </c>
      <c r="D409" s="299" t="s">
        <v>690</v>
      </c>
      <c r="E409" s="6"/>
      <c r="F409" s="294">
        <f t="shared" ref="F409:G412" si="69">F410</f>
        <v>204</v>
      </c>
      <c r="G409" s="294">
        <f t="shared" si="69"/>
        <v>204</v>
      </c>
    </row>
    <row r="410" spans="1:12" ht="31.5" x14ac:dyDescent="0.25">
      <c r="A410" s="298" t="s">
        <v>691</v>
      </c>
      <c r="B410" s="6" t="s">
        <v>168</v>
      </c>
      <c r="C410" s="6" t="s">
        <v>158</v>
      </c>
      <c r="D410" s="299" t="s">
        <v>692</v>
      </c>
      <c r="E410" s="6"/>
      <c r="F410" s="294">
        <f t="shared" si="69"/>
        <v>204</v>
      </c>
      <c r="G410" s="294">
        <f t="shared" si="69"/>
        <v>204</v>
      </c>
    </row>
    <row r="411" spans="1:12" ht="15.75" x14ac:dyDescent="0.25">
      <c r="A411" s="345" t="s">
        <v>271</v>
      </c>
      <c r="B411" s="341" t="s">
        <v>168</v>
      </c>
      <c r="C411" s="341" t="s">
        <v>158</v>
      </c>
      <c r="D411" s="346" t="s">
        <v>693</v>
      </c>
      <c r="E411" s="341"/>
      <c r="F411" s="295">
        <f t="shared" si="69"/>
        <v>204</v>
      </c>
      <c r="G411" s="295">
        <f t="shared" si="69"/>
        <v>204</v>
      </c>
    </row>
    <row r="412" spans="1:12" ht="31.5" x14ac:dyDescent="0.25">
      <c r="A412" s="345" t="s">
        <v>123</v>
      </c>
      <c r="B412" s="341" t="s">
        <v>168</v>
      </c>
      <c r="C412" s="341" t="s">
        <v>158</v>
      </c>
      <c r="D412" s="346" t="s">
        <v>693</v>
      </c>
      <c r="E412" s="341" t="s">
        <v>124</v>
      </c>
      <c r="F412" s="295">
        <f t="shared" si="69"/>
        <v>204</v>
      </c>
      <c r="G412" s="295">
        <f t="shared" si="69"/>
        <v>204</v>
      </c>
    </row>
    <row r="413" spans="1:12" ht="47.25" x14ac:dyDescent="0.25">
      <c r="A413" s="345" t="s">
        <v>125</v>
      </c>
      <c r="B413" s="341" t="s">
        <v>168</v>
      </c>
      <c r="C413" s="341" t="s">
        <v>158</v>
      </c>
      <c r="D413" s="346" t="s">
        <v>693</v>
      </c>
      <c r="E413" s="341" t="s">
        <v>126</v>
      </c>
      <c r="F413" s="295">
        <f>'Пр.4.1 ведом.23-24 '!G1077</f>
        <v>204</v>
      </c>
      <c r="G413" s="295">
        <f>'Пр.4.1 ведом.23-24 '!H1077</f>
        <v>204</v>
      </c>
    </row>
    <row r="414" spans="1:12" ht="15.75" x14ac:dyDescent="0.25">
      <c r="A414" s="340" t="s">
        <v>272</v>
      </c>
      <c r="B414" s="6" t="s">
        <v>168</v>
      </c>
      <c r="C414" s="6" t="s">
        <v>159</v>
      </c>
      <c r="D414" s="6"/>
      <c r="E414" s="6"/>
      <c r="F414" s="294">
        <f>F415+F420+F467</f>
        <v>9771.4399999999987</v>
      </c>
      <c r="G414" s="294">
        <f>G415+G420+G467</f>
        <v>9771.4399999999987</v>
      </c>
      <c r="H414" s="71"/>
    </row>
    <row r="415" spans="1:12" ht="15.75" x14ac:dyDescent="0.25">
      <c r="A415" s="298" t="s">
        <v>133</v>
      </c>
      <c r="B415" s="299" t="s">
        <v>168</v>
      </c>
      <c r="C415" s="299" t="s">
        <v>159</v>
      </c>
      <c r="D415" s="299" t="s">
        <v>440</v>
      </c>
      <c r="E415" s="299"/>
      <c r="F415" s="294">
        <f t="shared" ref="F415:G418" si="70">F416</f>
        <v>390</v>
      </c>
      <c r="G415" s="294">
        <f t="shared" si="70"/>
        <v>390</v>
      </c>
      <c r="H415" s="71"/>
    </row>
    <row r="416" spans="1:12" ht="31.5" x14ac:dyDescent="0.25">
      <c r="A416" s="298" t="s">
        <v>444</v>
      </c>
      <c r="B416" s="299" t="s">
        <v>168</v>
      </c>
      <c r="C416" s="299" t="s">
        <v>159</v>
      </c>
      <c r="D416" s="299" t="s">
        <v>439</v>
      </c>
      <c r="E416" s="299"/>
      <c r="F416" s="294">
        <f t="shared" si="70"/>
        <v>390</v>
      </c>
      <c r="G416" s="294">
        <f t="shared" si="70"/>
        <v>390</v>
      </c>
      <c r="H416" s="71"/>
    </row>
    <row r="417" spans="1:8" ht="15.75" x14ac:dyDescent="0.25">
      <c r="A417" s="345" t="s">
        <v>279</v>
      </c>
      <c r="B417" s="346" t="s">
        <v>168</v>
      </c>
      <c r="C417" s="346" t="s">
        <v>159</v>
      </c>
      <c r="D417" s="346" t="s">
        <v>627</v>
      </c>
      <c r="E417" s="346"/>
      <c r="F417" s="295">
        <f t="shared" si="70"/>
        <v>390</v>
      </c>
      <c r="G417" s="295">
        <f t="shared" si="70"/>
        <v>390</v>
      </c>
      <c r="H417" s="71"/>
    </row>
    <row r="418" spans="1:8" ht="31.5" x14ac:dyDescent="0.25">
      <c r="A418" s="345" t="s">
        <v>123</v>
      </c>
      <c r="B418" s="346" t="s">
        <v>168</v>
      </c>
      <c r="C418" s="346" t="s">
        <v>159</v>
      </c>
      <c r="D418" s="346" t="s">
        <v>627</v>
      </c>
      <c r="E418" s="346" t="s">
        <v>124</v>
      </c>
      <c r="F418" s="295">
        <f t="shared" si="70"/>
        <v>390</v>
      </c>
      <c r="G418" s="295">
        <f t="shared" si="70"/>
        <v>390</v>
      </c>
      <c r="H418" s="71"/>
    </row>
    <row r="419" spans="1:8" ht="47.25" x14ac:dyDescent="0.25">
      <c r="A419" s="345" t="s">
        <v>125</v>
      </c>
      <c r="B419" s="346" t="s">
        <v>168</v>
      </c>
      <c r="C419" s="346" t="s">
        <v>159</v>
      </c>
      <c r="D419" s="346" t="s">
        <v>627</v>
      </c>
      <c r="E419" s="346" t="s">
        <v>126</v>
      </c>
      <c r="F419" s="295">
        <f>'Пр.4.1 ведом.23-24 '!G1083</f>
        <v>390</v>
      </c>
      <c r="G419" s="295">
        <f>'Пр.4.1 ведом.23-24 '!H1083</f>
        <v>390</v>
      </c>
      <c r="H419" s="71"/>
    </row>
    <row r="420" spans="1:8" ht="39.4" customHeight="1" x14ac:dyDescent="0.25">
      <c r="A420" s="298" t="s">
        <v>865</v>
      </c>
      <c r="B420" s="6" t="s">
        <v>168</v>
      </c>
      <c r="C420" s="6" t="s">
        <v>159</v>
      </c>
      <c r="D420" s="6" t="s">
        <v>273</v>
      </c>
      <c r="E420" s="6"/>
      <c r="F420" s="294">
        <f>F421+F425+F452+F459+F463</f>
        <v>8881.4399999999987</v>
      </c>
      <c r="G420" s="294">
        <f>G421+G425+G452+G459+G463</f>
        <v>8881.4399999999987</v>
      </c>
    </row>
    <row r="421" spans="1:8" ht="47.25" hidden="1" x14ac:dyDescent="0.25">
      <c r="A421" s="298" t="s">
        <v>920</v>
      </c>
      <c r="B421" s="299" t="s">
        <v>168</v>
      </c>
      <c r="C421" s="299" t="s">
        <v>159</v>
      </c>
      <c r="D421" s="299" t="s">
        <v>798</v>
      </c>
      <c r="E421" s="299"/>
      <c r="F421" s="294">
        <f t="shared" ref="F421:G423" si="71">F422</f>
        <v>0</v>
      </c>
      <c r="G421" s="294">
        <f t="shared" si="71"/>
        <v>0</v>
      </c>
    </row>
    <row r="422" spans="1:8" ht="31.5" hidden="1" x14ac:dyDescent="0.25">
      <c r="A422" s="205" t="s">
        <v>921</v>
      </c>
      <c r="B422" s="346" t="s">
        <v>168</v>
      </c>
      <c r="C422" s="346" t="s">
        <v>159</v>
      </c>
      <c r="D422" s="346" t="s">
        <v>911</v>
      </c>
      <c r="E422" s="346"/>
      <c r="F422" s="300">
        <f t="shared" si="71"/>
        <v>0</v>
      </c>
      <c r="G422" s="300">
        <f t="shared" si="71"/>
        <v>0</v>
      </c>
    </row>
    <row r="423" spans="1:8" ht="31.5" hidden="1" x14ac:dyDescent="0.25">
      <c r="A423" s="345" t="s">
        <v>123</v>
      </c>
      <c r="B423" s="346" t="s">
        <v>168</v>
      </c>
      <c r="C423" s="346" t="s">
        <v>159</v>
      </c>
      <c r="D423" s="346" t="s">
        <v>911</v>
      </c>
      <c r="E423" s="346" t="s">
        <v>124</v>
      </c>
      <c r="F423" s="300">
        <f t="shared" si="71"/>
        <v>0</v>
      </c>
      <c r="G423" s="300">
        <f t="shared" si="71"/>
        <v>0</v>
      </c>
    </row>
    <row r="424" spans="1:8" ht="47.25" hidden="1" x14ac:dyDescent="0.25">
      <c r="A424" s="345" t="s">
        <v>125</v>
      </c>
      <c r="B424" s="346" t="s">
        <v>168</v>
      </c>
      <c r="C424" s="346" t="s">
        <v>159</v>
      </c>
      <c r="D424" s="346" t="s">
        <v>911</v>
      </c>
      <c r="E424" s="346" t="s">
        <v>126</v>
      </c>
      <c r="F424" s="300">
        <f>'Пр.4 ведом.22'!G1206</f>
        <v>0</v>
      </c>
      <c r="G424" s="300">
        <f>'Пр.4 ведом.22'!H1206</f>
        <v>0</v>
      </c>
    </row>
    <row r="425" spans="1:8" ht="31.5" x14ac:dyDescent="0.25">
      <c r="A425" s="298" t="s">
        <v>923</v>
      </c>
      <c r="B425" s="299" t="s">
        <v>168</v>
      </c>
      <c r="C425" s="299" t="s">
        <v>159</v>
      </c>
      <c r="D425" s="299" t="s">
        <v>799</v>
      </c>
      <c r="E425" s="299"/>
      <c r="F425" s="294">
        <f>F426+F429+F435+F438+F441+F446+F449</f>
        <v>2248</v>
      </c>
      <c r="G425" s="294">
        <f>G426+G429+G435+G438+G441+G446+G449</f>
        <v>2248</v>
      </c>
    </row>
    <row r="426" spans="1:8" ht="24" customHeight="1" x14ac:dyDescent="0.25">
      <c r="A426" s="345" t="s">
        <v>274</v>
      </c>
      <c r="B426" s="346" t="s">
        <v>168</v>
      </c>
      <c r="C426" s="346" t="s">
        <v>159</v>
      </c>
      <c r="D426" s="346" t="s">
        <v>919</v>
      </c>
      <c r="E426" s="346"/>
      <c r="F426" s="295">
        <f t="shared" ref="F426:G427" si="72">F427</f>
        <v>365</v>
      </c>
      <c r="G426" s="295">
        <f t="shared" si="72"/>
        <v>365</v>
      </c>
    </row>
    <row r="427" spans="1:8" ht="31.5" x14ac:dyDescent="0.25">
      <c r="A427" s="345" t="s">
        <v>123</v>
      </c>
      <c r="B427" s="346" t="s">
        <v>168</v>
      </c>
      <c r="C427" s="346" t="s">
        <v>159</v>
      </c>
      <c r="D427" s="346" t="s">
        <v>919</v>
      </c>
      <c r="E427" s="346" t="s">
        <v>124</v>
      </c>
      <c r="F427" s="295">
        <f t="shared" si="72"/>
        <v>365</v>
      </c>
      <c r="G427" s="295">
        <f t="shared" si="72"/>
        <v>365</v>
      </c>
    </row>
    <row r="428" spans="1:8" ht="47.25" x14ac:dyDescent="0.25">
      <c r="A428" s="345" t="s">
        <v>125</v>
      </c>
      <c r="B428" s="346" t="s">
        <v>168</v>
      </c>
      <c r="C428" s="346" t="s">
        <v>159</v>
      </c>
      <c r="D428" s="346" t="s">
        <v>919</v>
      </c>
      <c r="E428" s="346" t="s">
        <v>126</v>
      </c>
      <c r="F428" s="295">
        <f>'Пр.4.1 ведом.23-24 '!G1092</f>
        <v>365</v>
      </c>
      <c r="G428" s="295">
        <f>'Пр.4.1 ведом.23-24 '!H1092</f>
        <v>365</v>
      </c>
    </row>
    <row r="429" spans="1:8" ht="15.75" x14ac:dyDescent="0.25">
      <c r="A429" s="345" t="s">
        <v>275</v>
      </c>
      <c r="B429" s="346" t="s">
        <v>168</v>
      </c>
      <c r="C429" s="346" t="s">
        <v>159</v>
      </c>
      <c r="D429" s="346" t="s">
        <v>910</v>
      </c>
      <c r="E429" s="346"/>
      <c r="F429" s="295">
        <f>F430+F432</f>
        <v>1408</v>
      </c>
      <c r="G429" s="295">
        <f>G430+G432</f>
        <v>1408</v>
      </c>
    </row>
    <row r="430" spans="1:8" ht="31.5" x14ac:dyDescent="0.25">
      <c r="A430" s="345" t="s">
        <v>123</v>
      </c>
      <c r="B430" s="346" t="s">
        <v>168</v>
      </c>
      <c r="C430" s="346" t="s">
        <v>159</v>
      </c>
      <c r="D430" s="346" t="s">
        <v>910</v>
      </c>
      <c r="E430" s="346" t="s">
        <v>124</v>
      </c>
      <c r="F430" s="295">
        <f t="shared" ref="F430:G430" si="73">F431</f>
        <v>1408</v>
      </c>
      <c r="G430" s="295">
        <f t="shared" si="73"/>
        <v>1408</v>
      </c>
    </row>
    <row r="431" spans="1:8" ht="47.25" x14ac:dyDescent="0.25">
      <c r="A431" s="345" t="s">
        <v>125</v>
      </c>
      <c r="B431" s="346" t="s">
        <v>168</v>
      </c>
      <c r="C431" s="346" t="s">
        <v>159</v>
      </c>
      <c r="D431" s="346" t="s">
        <v>910</v>
      </c>
      <c r="E431" s="346" t="s">
        <v>126</v>
      </c>
      <c r="F431" s="295">
        <f>'Пр.4.1 ведом.23-24 '!G1095</f>
        <v>1408</v>
      </c>
      <c r="G431" s="295">
        <f>'Пр.4.1 ведом.23-24 '!H1095</f>
        <v>1408</v>
      </c>
    </row>
    <row r="432" spans="1:8" ht="15.75" hidden="1" x14ac:dyDescent="0.25">
      <c r="A432" s="20" t="s">
        <v>127</v>
      </c>
      <c r="B432" s="346" t="s">
        <v>168</v>
      </c>
      <c r="C432" s="346" t="s">
        <v>159</v>
      </c>
      <c r="D432" s="346" t="s">
        <v>910</v>
      </c>
      <c r="E432" s="346" t="s">
        <v>134</v>
      </c>
      <c r="F432" s="295">
        <f>F434+F433</f>
        <v>0</v>
      </c>
      <c r="G432" s="295">
        <f>G434+G433</f>
        <v>0</v>
      </c>
    </row>
    <row r="433" spans="1:7" ht="47.25" hidden="1" x14ac:dyDescent="0.25">
      <c r="A433" s="345" t="s">
        <v>411</v>
      </c>
      <c r="B433" s="346" t="s">
        <v>168</v>
      </c>
      <c r="C433" s="346" t="s">
        <v>159</v>
      </c>
      <c r="D433" s="346" t="s">
        <v>910</v>
      </c>
      <c r="E433" s="346" t="s">
        <v>136</v>
      </c>
      <c r="F433" s="295">
        <f>'Пр.4 ведом.22'!G1215</f>
        <v>0</v>
      </c>
      <c r="G433" s="295">
        <f>'Пр.4 ведом.22'!H1215</f>
        <v>0</v>
      </c>
    </row>
    <row r="434" spans="1:7" ht="15.75" hidden="1" x14ac:dyDescent="0.25">
      <c r="A434" s="20" t="s">
        <v>280</v>
      </c>
      <c r="B434" s="346" t="s">
        <v>168</v>
      </c>
      <c r="C434" s="346" t="s">
        <v>159</v>
      </c>
      <c r="D434" s="346" t="s">
        <v>910</v>
      </c>
      <c r="E434" s="346" t="s">
        <v>130</v>
      </c>
      <c r="F434" s="295">
        <f>'Пр.4 ведом.22'!G1216</f>
        <v>0</v>
      </c>
      <c r="G434" s="295">
        <f>'Пр.4 ведом.22'!H1216</f>
        <v>0</v>
      </c>
    </row>
    <row r="435" spans="1:7" ht="15.75" hidden="1" x14ac:dyDescent="0.25">
      <c r="A435" s="345" t="s">
        <v>276</v>
      </c>
      <c r="B435" s="346" t="s">
        <v>168</v>
      </c>
      <c r="C435" s="346" t="s">
        <v>159</v>
      </c>
      <c r="D435" s="346" t="s">
        <v>814</v>
      </c>
      <c r="E435" s="346"/>
      <c r="F435" s="295">
        <f t="shared" ref="F435:G436" si="74">F436</f>
        <v>0</v>
      </c>
      <c r="G435" s="295">
        <f t="shared" si="74"/>
        <v>0</v>
      </c>
    </row>
    <row r="436" spans="1:7" ht="31.5" hidden="1" x14ac:dyDescent="0.25">
      <c r="A436" s="345" t="s">
        <v>123</v>
      </c>
      <c r="B436" s="346" t="s">
        <v>168</v>
      </c>
      <c r="C436" s="346" t="s">
        <v>159</v>
      </c>
      <c r="D436" s="346" t="s">
        <v>814</v>
      </c>
      <c r="E436" s="346" t="s">
        <v>124</v>
      </c>
      <c r="F436" s="295">
        <f t="shared" si="74"/>
        <v>0</v>
      </c>
      <c r="G436" s="295">
        <f t="shared" si="74"/>
        <v>0</v>
      </c>
    </row>
    <row r="437" spans="1:7" ht="47.25" hidden="1" x14ac:dyDescent="0.25">
      <c r="A437" s="345" t="s">
        <v>125</v>
      </c>
      <c r="B437" s="346" t="s">
        <v>168</v>
      </c>
      <c r="C437" s="346" t="s">
        <v>159</v>
      </c>
      <c r="D437" s="346" t="s">
        <v>814</v>
      </c>
      <c r="E437" s="346" t="s">
        <v>126</v>
      </c>
      <c r="F437" s="295">
        <f>'Пр.4 ведом.22'!G1219</f>
        <v>0</v>
      </c>
      <c r="G437" s="295">
        <f>'Пр.4 ведом.22'!H1219</f>
        <v>0</v>
      </c>
    </row>
    <row r="438" spans="1:7" ht="15.75" x14ac:dyDescent="0.25">
      <c r="A438" s="345" t="s">
        <v>277</v>
      </c>
      <c r="B438" s="346" t="s">
        <v>168</v>
      </c>
      <c r="C438" s="346" t="s">
        <v>159</v>
      </c>
      <c r="D438" s="346" t="s">
        <v>800</v>
      </c>
      <c r="E438" s="346"/>
      <c r="F438" s="295">
        <f t="shared" ref="F438:G439" si="75">F439</f>
        <v>50</v>
      </c>
      <c r="G438" s="295">
        <f t="shared" si="75"/>
        <v>50</v>
      </c>
    </row>
    <row r="439" spans="1:7" ht="31.5" x14ac:dyDescent="0.25">
      <c r="A439" s="345" t="s">
        <v>123</v>
      </c>
      <c r="B439" s="346" t="s">
        <v>168</v>
      </c>
      <c r="C439" s="346" t="s">
        <v>159</v>
      </c>
      <c r="D439" s="346" t="s">
        <v>800</v>
      </c>
      <c r="E439" s="346" t="s">
        <v>124</v>
      </c>
      <c r="F439" s="295">
        <f t="shared" si="75"/>
        <v>50</v>
      </c>
      <c r="G439" s="295">
        <f t="shared" si="75"/>
        <v>50</v>
      </c>
    </row>
    <row r="440" spans="1:7" ht="47.25" x14ac:dyDescent="0.25">
      <c r="A440" s="345" t="s">
        <v>125</v>
      </c>
      <c r="B440" s="346" t="s">
        <v>168</v>
      </c>
      <c r="C440" s="346" t="s">
        <v>159</v>
      </c>
      <c r="D440" s="346" t="s">
        <v>800</v>
      </c>
      <c r="E440" s="346" t="s">
        <v>126</v>
      </c>
      <c r="F440" s="295">
        <f>'Пр.4.1 ведом.23-24 '!G1104</f>
        <v>50</v>
      </c>
      <c r="G440" s="295">
        <f>'Пр.4.1 ведом.23-24 '!H1104</f>
        <v>50</v>
      </c>
    </row>
    <row r="441" spans="1:7" ht="31.5" x14ac:dyDescent="0.25">
      <c r="A441" s="204" t="s">
        <v>922</v>
      </c>
      <c r="B441" s="346" t="s">
        <v>168</v>
      </c>
      <c r="C441" s="346" t="s">
        <v>159</v>
      </c>
      <c r="D441" s="346" t="s">
        <v>801</v>
      </c>
      <c r="E441" s="346"/>
      <c r="F441" s="295">
        <f>F442+F444</f>
        <v>375</v>
      </c>
      <c r="G441" s="295">
        <f>G442+G444</f>
        <v>375</v>
      </c>
    </row>
    <row r="442" spans="1:7" ht="31.5" x14ac:dyDescent="0.25">
      <c r="A442" s="345" t="s">
        <v>123</v>
      </c>
      <c r="B442" s="346" t="s">
        <v>168</v>
      </c>
      <c r="C442" s="346" t="s">
        <v>159</v>
      </c>
      <c r="D442" s="346" t="s">
        <v>801</v>
      </c>
      <c r="E442" s="346" t="s">
        <v>124</v>
      </c>
      <c r="F442" s="295">
        <f t="shared" ref="F442:G442" si="76">F443</f>
        <v>375</v>
      </c>
      <c r="G442" s="295">
        <f t="shared" si="76"/>
        <v>375</v>
      </c>
    </row>
    <row r="443" spans="1:7" ht="47.25" x14ac:dyDescent="0.25">
      <c r="A443" s="345" t="s">
        <v>125</v>
      </c>
      <c r="B443" s="346" t="s">
        <v>168</v>
      </c>
      <c r="C443" s="346" t="s">
        <v>159</v>
      </c>
      <c r="D443" s="346" t="s">
        <v>801</v>
      </c>
      <c r="E443" s="346" t="s">
        <v>126</v>
      </c>
      <c r="F443" s="295">
        <f>'Пр.4.1 ведом.23-24 '!G1107</f>
        <v>375</v>
      </c>
      <c r="G443" s="295">
        <f>'Пр.4.1 ведом.23-24 '!H1107</f>
        <v>375</v>
      </c>
    </row>
    <row r="444" spans="1:7" ht="15.75" hidden="1" x14ac:dyDescent="0.25">
      <c r="A444" s="20" t="s">
        <v>127</v>
      </c>
      <c r="B444" s="346" t="s">
        <v>168</v>
      </c>
      <c r="C444" s="346" t="s">
        <v>159</v>
      </c>
      <c r="D444" s="346" t="s">
        <v>801</v>
      </c>
      <c r="E444" s="346" t="s">
        <v>134</v>
      </c>
      <c r="F444" s="295">
        <f>F445</f>
        <v>0</v>
      </c>
      <c r="G444" s="295">
        <f>G445</f>
        <v>0</v>
      </c>
    </row>
    <row r="445" spans="1:7" ht="15.75" hidden="1" x14ac:dyDescent="0.25">
      <c r="A445" s="20" t="s">
        <v>280</v>
      </c>
      <c r="B445" s="346" t="s">
        <v>168</v>
      </c>
      <c r="C445" s="346" t="s">
        <v>159</v>
      </c>
      <c r="D445" s="346" t="s">
        <v>801</v>
      </c>
      <c r="E445" s="346" t="s">
        <v>130</v>
      </c>
      <c r="F445" s="295">
        <f>'Пр.4 ведом.22'!G1227</f>
        <v>0</v>
      </c>
      <c r="G445" s="295">
        <f>'Пр.4 ведом.22'!H1227</f>
        <v>0</v>
      </c>
    </row>
    <row r="446" spans="1:7" ht="15.75" hidden="1" x14ac:dyDescent="0.25">
      <c r="A446" s="67" t="s">
        <v>278</v>
      </c>
      <c r="B446" s="346" t="s">
        <v>168</v>
      </c>
      <c r="C446" s="346" t="s">
        <v>159</v>
      </c>
      <c r="D446" s="346" t="s">
        <v>802</v>
      </c>
      <c r="E446" s="346"/>
      <c r="F446" s="295">
        <f t="shared" ref="F446:G447" si="77">F447</f>
        <v>0</v>
      </c>
      <c r="G446" s="295">
        <f t="shared" si="77"/>
        <v>0</v>
      </c>
    </row>
    <row r="447" spans="1:7" ht="31.5" hidden="1" x14ac:dyDescent="0.25">
      <c r="A447" s="345" t="s">
        <v>123</v>
      </c>
      <c r="B447" s="346" t="s">
        <v>168</v>
      </c>
      <c r="C447" s="346" t="s">
        <v>159</v>
      </c>
      <c r="D447" s="346" t="s">
        <v>802</v>
      </c>
      <c r="E447" s="346" t="s">
        <v>124</v>
      </c>
      <c r="F447" s="295">
        <f t="shared" si="77"/>
        <v>0</v>
      </c>
      <c r="G447" s="295">
        <f t="shared" si="77"/>
        <v>0</v>
      </c>
    </row>
    <row r="448" spans="1:7" ht="47.25" hidden="1" x14ac:dyDescent="0.25">
      <c r="A448" s="345" t="s">
        <v>125</v>
      </c>
      <c r="B448" s="346" t="s">
        <v>168</v>
      </c>
      <c r="C448" s="346" t="s">
        <v>159</v>
      </c>
      <c r="D448" s="346" t="s">
        <v>802</v>
      </c>
      <c r="E448" s="346" t="s">
        <v>126</v>
      </c>
      <c r="F448" s="295">
        <f>'Пр.4 ведом.22'!G1230</f>
        <v>0</v>
      </c>
      <c r="G448" s="295">
        <f>'Пр.4 ведом.22'!H1230</f>
        <v>0</v>
      </c>
    </row>
    <row r="449" spans="1:7" ht="31.5" x14ac:dyDescent="0.25">
      <c r="A449" s="148" t="s">
        <v>640</v>
      </c>
      <c r="B449" s="346" t="s">
        <v>168</v>
      </c>
      <c r="C449" s="346" t="s">
        <v>159</v>
      </c>
      <c r="D449" s="346" t="s">
        <v>803</v>
      </c>
      <c r="E449" s="346"/>
      <c r="F449" s="300">
        <f>F450</f>
        <v>50</v>
      </c>
      <c r="G449" s="300">
        <f>G450</f>
        <v>50</v>
      </c>
    </row>
    <row r="450" spans="1:7" ht="31.5" x14ac:dyDescent="0.25">
      <c r="A450" s="345" t="s">
        <v>123</v>
      </c>
      <c r="B450" s="346" t="s">
        <v>168</v>
      </c>
      <c r="C450" s="346" t="s">
        <v>159</v>
      </c>
      <c r="D450" s="346" t="s">
        <v>803</v>
      </c>
      <c r="E450" s="346" t="s">
        <v>124</v>
      </c>
      <c r="F450" s="300">
        <f>F451</f>
        <v>50</v>
      </c>
      <c r="G450" s="300">
        <f>G451</f>
        <v>50</v>
      </c>
    </row>
    <row r="451" spans="1:7" ht="47.25" x14ac:dyDescent="0.25">
      <c r="A451" s="345" t="s">
        <v>125</v>
      </c>
      <c r="B451" s="346" t="s">
        <v>168</v>
      </c>
      <c r="C451" s="346" t="s">
        <v>159</v>
      </c>
      <c r="D451" s="346" t="s">
        <v>803</v>
      </c>
      <c r="E451" s="346" t="s">
        <v>126</v>
      </c>
      <c r="F451" s="300">
        <f>'Пр.4.1 ведом.23-24 '!G1115</f>
        <v>50</v>
      </c>
      <c r="G451" s="300">
        <f>'Пр.4.1 ведом.23-24 '!H1115</f>
        <v>50</v>
      </c>
    </row>
    <row r="452" spans="1:7" ht="31.5" x14ac:dyDescent="0.25">
      <c r="A452" s="298" t="s">
        <v>462</v>
      </c>
      <c r="B452" s="6" t="s">
        <v>168</v>
      </c>
      <c r="C452" s="6" t="s">
        <v>159</v>
      </c>
      <c r="D452" s="299" t="s">
        <v>813</v>
      </c>
      <c r="E452" s="299"/>
      <c r="F452" s="294">
        <f>F453+F456</f>
        <v>2145.8000000000002</v>
      </c>
      <c r="G452" s="294">
        <f>G453+G456</f>
        <v>2145.8000000000002</v>
      </c>
    </row>
    <row r="453" spans="1:7" ht="31.5" hidden="1" x14ac:dyDescent="0.25">
      <c r="A453" s="345" t="s">
        <v>332</v>
      </c>
      <c r="B453" s="346" t="s">
        <v>168</v>
      </c>
      <c r="C453" s="346" t="s">
        <v>159</v>
      </c>
      <c r="D453" s="346" t="s">
        <v>835</v>
      </c>
      <c r="E453" s="346"/>
      <c r="F453" s="295">
        <f t="shared" ref="F453:G453" si="78">F454</f>
        <v>0</v>
      </c>
      <c r="G453" s="295">
        <f t="shared" si="78"/>
        <v>0</v>
      </c>
    </row>
    <row r="454" spans="1:7" ht="31.5" hidden="1" x14ac:dyDescent="0.25">
      <c r="A454" s="345" t="s">
        <v>123</v>
      </c>
      <c r="B454" s="346" t="s">
        <v>168</v>
      </c>
      <c r="C454" s="346" t="s">
        <v>159</v>
      </c>
      <c r="D454" s="346" t="s">
        <v>835</v>
      </c>
      <c r="E454" s="346" t="s">
        <v>124</v>
      </c>
      <c r="F454" s="295">
        <f>F455</f>
        <v>0</v>
      </c>
      <c r="G454" s="295">
        <f>G455</f>
        <v>0</v>
      </c>
    </row>
    <row r="455" spans="1:7" ht="47.25" hidden="1" x14ac:dyDescent="0.25">
      <c r="A455" s="345" t="s">
        <v>125</v>
      </c>
      <c r="B455" s="346" t="s">
        <v>168</v>
      </c>
      <c r="C455" s="346" t="s">
        <v>159</v>
      </c>
      <c r="D455" s="346" t="s">
        <v>835</v>
      </c>
      <c r="E455" s="346" t="s">
        <v>126</v>
      </c>
      <c r="F455" s="295">
        <f>'Пр.4 ведом.22'!G1237</f>
        <v>0</v>
      </c>
      <c r="G455" s="295">
        <f>'Пр.4 ведом.22'!H1237</f>
        <v>0</v>
      </c>
    </row>
    <row r="456" spans="1:7" ht="63" x14ac:dyDescent="0.25">
      <c r="A456" s="345" t="s">
        <v>625</v>
      </c>
      <c r="B456" s="346" t="s">
        <v>168</v>
      </c>
      <c r="C456" s="346" t="s">
        <v>159</v>
      </c>
      <c r="D456" s="346" t="s">
        <v>812</v>
      </c>
      <c r="E456" s="346"/>
      <c r="F456" s="295">
        <f>F457</f>
        <v>2145.8000000000002</v>
      </c>
      <c r="G456" s="295">
        <f>G457</f>
        <v>2145.8000000000002</v>
      </c>
    </row>
    <row r="457" spans="1:7" ht="31.5" x14ac:dyDescent="0.25">
      <c r="A457" s="345" t="s">
        <v>123</v>
      </c>
      <c r="B457" s="346" t="s">
        <v>168</v>
      </c>
      <c r="C457" s="346" t="s">
        <v>159</v>
      </c>
      <c r="D457" s="346" t="s">
        <v>812</v>
      </c>
      <c r="E457" s="346" t="s">
        <v>124</v>
      </c>
      <c r="F457" s="295">
        <f>F458</f>
        <v>2145.8000000000002</v>
      </c>
      <c r="G457" s="295">
        <f>G458</f>
        <v>2145.8000000000002</v>
      </c>
    </row>
    <row r="458" spans="1:7" ht="47.25" x14ac:dyDescent="0.25">
      <c r="A458" s="345" t="s">
        <v>125</v>
      </c>
      <c r="B458" s="346" t="s">
        <v>168</v>
      </c>
      <c r="C458" s="346" t="s">
        <v>159</v>
      </c>
      <c r="D458" s="346" t="s">
        <v>812</v>
      </c>
      <c r="E458" s="346" t="s">
        <v>126</v>
      </c>
      <c r="F458" s="295">
        <f>'Пр.4.1 ведом.23-24 '!G1122</f>
        <v>2145.8000000000002</v>
      </c>
      <c r="G458" s="295">
        <f>'Пр.4.1 ведом.23-24 '!H1122</f>
        <v>2145.8000000000002</v>
      </c>
    </row>
    <row r="459" spans="1:7" ht="31.5" hidden="1" x14ac:dyDescent="0.25">
      <c r="A459" s="24" t="s">
        <v>1054</v>
      </c>
      <c r="B459" s="299" t="s">
        <v>168</v>
      </c>
      <c r="C459" s="299" t="s">
        <v>159</v>
      </c>
      <c r="D459" s="299" t="s">
        <v>1055</v>
      </c>
      <c r="E459" s="299"/>
      <c r="F459" s="294">
        <f t="shared" ref="F459:G461" si="79">F460</f>
        <v>0</v>
      </c>
      <c r="G459" s="294">
        <f t="shared" si="79"/>
        <v>0</v>
      </c>
    </row>
    <row r="460" spans="1:7" ht="31.5" hidden="1" x14ac:dyDescent="0.25">
      <c r="A460" s="22" t="s">
        <v>1053</v>
      </c>
      <c r="B460" s="346" t="s">
        <v>168</v>
      </c>
      <c r="C460" s="346" t="s">
        <v>159</v>
      </c>
      <c r="D460" s="346" t="s">
        <v>1056</v>
      </c>
      <c r="E460" s="346"/>
      <c r="F460" s="295">
        <f t="shared" si="79"/>
        <v>0</v>
      </c>
      <c r="G460" s="295">
        <f t="shared" si="79"/>
        <v>0</v>
      </c>
    </row>
    <row r="461" spans="1:7" ht="31.5" hidden="1" x14ac:dyDescent="0.25">
      <c r="A461" s="345" t="s">
        <v>123</v>
      </c>
      <c r="B461" s="346" t="s">
        <v>168</v>
      </c>
      <c r="C461" s="346" t="s">
        <v>159</v>
      </c>
      <c r="D461" s="346" t="s">
        <v>1056</v>
      </c>
      <c r="E461" s="346" t="s">
        <v>124</v>
      </c>
      <c r="F461" s="295">
        <f t="shared" si="79"/>
        <v>0</v>
      </c>
      <c r="G461" s="295">
        <f t="shared" si="79"/>
        <v>0</v>
      </c>
    </row>
    <row r="462" spans="1:7" ht="47.25" hidden="1" x14ac:dyDescent="0.25">
      <c r="A462" s="345" t="s">
        <v>125</v>
      </c>
      <c r="B462" s="346" t="s">
        <v>168</v>
      </c>
      <c r="C462" s="346" t="s">
        <v>159</v>
      </c>
      <c r="D462" s="346" t="s">
        <v>1056</v>
      </c>
      <c r="E462" s="346" t="s">
        <v>126</v>
      </c>
      <c r="F462" s="295">
        <f>'Пр.4.1 ведом.23-24 '!G1126</f>
        <v>0</v>
      </c>
      <c r="G462" s="295">
        <f>'Пр.4.1 ведом.23-24 '!H1126</f>
        <v>0</v>
      </c>
    </row>
    <row r="463" spans="1:7" ht="47.25" x14ac:dyDescent="0.25">
      <c r="A463" s="24" t="s">
        <v>1080</v>
      </c>
      <c r="B463" s="299" t="s">
        <v>168</v>
      </c>
      <c r="C463" s="299" t="s">
        <v>159</v>
      </c>
      <c r="D463" s="299" t="s">
        <v>1079</v>
      </c>
      <c r="E463" s="299"/>
      <c r="F463" s="294">
        <f t="shared" ref="F463:G465" si="80">F464</f>
        <v>4487.6399999999994</v>
      </c>
      <c r="G463" s="294">
        <f t="shared" si="80"/>
        <v>4487.6399999999994</v>
      </c>
    </row>
    <row r="464" spans="1:7" ht="31.5" x14ac:dyDescent="0.25">
      <c r="A464" s="22" t="s">
        <v>1146</v>
      </c>
      <c r="B464" s="346" t="s">
        <v>168</v>
      </c>
      <c r="C464" s="346" t="s">
        <v>159</v>
      </c>
      <c r="D464" s="346" t="s">
        <v>1088</v>
      </c>
      <c r="E464" s="346"/>
      <c r="F464" s="295">
        <f t="shared" si="80"/>
        <v>4487.6399999999994</v>
      </c>
      <c r="G464" s="295">
        <f t="shared" si="80"/>
        <v>4487.6399999999994</v>
      </c>
    </row>
    <row r="465" spans="1:11" ht="31.5" x14ac:dyDescent="0.25">
      <c r="A465" s="345" t="s">
        <v>123</v>
      </c>
      <c r="B465" s="346" t="s">
        <v>168</v>
      </c>
      <c r="C465" s="346" t="s">
        <v>159</v>
      </c>
      <c r="D465" s="346" t="s">
        <v>1088</v>
      </c>
      <c r="E465" s="346" t="s">
        <v>124</v>
      </c>
      <c r="F465" s="295">
        <f t="shared" si="80"/>
        <v>4487.6399999999994</v>
      </c>
      <c r="G465" s="295">
        <f t="shared" si="80"/>
        <v>4487.6399999999994</v>
      </c>
    </row>
    <row r="466" spans="1:11" ht="33.75" customHeight="1" x14ac:dyDescent="0.25">
      <c r="A466" s="345" t="s">
        <v>125</v>
      </c>
      <c r="B466" s="346" t="s">
        <v>168</v>
      </c>
      <c r="C466" s="346" t="s">
        <v>159</v>
      </c>
      <c r="D466" s="346" t="s">
        <v>1088</v>
      </c>
      <c r="E466" s="346" t="s">
        <v>126</v>
      </c>
      <c r="F466" s="295">
        <f>'Пр.4.1 ведом.23-24 '!G1130</f>
        <v>4487.6399999999994</v>
      </c>
      <c r="G466" s="295">
        <f>'Пр.4.1 ведом.23-24 '!H1130</f>
        <v>4487.6399999999994</v>
      </c>
    </row>
    <row r="467" spans="1:11" ht="63" x14ac:dyDescent="0.25">
      <c r="A467" s="298" t="s">
        <v>986</v>
      </c>
      <c r="B467" s="299" t="s">
        <v>168</v>
      </c>
      <c r="C467" s="299" t="s">
        <v>159</v>
      </c>
      <c r="D467" s="299" t="s">
        <v>341</v>
      </c>
      <c r="E467" s="299"/>
      <c r="F467" s="294">
        <f>F469+F473</f>
        <v>500</v>
      </c>
      <c r="G467" s="294">
        <f>G469+G473</f>
        <v>500</v>
      </c>
    </row>
    <row r="468" spans="1:11" ht="31.5" x14ac:dyDescent="0.25">
      <c r="A468" s="298" t="s">
        <v>621</v>
      </c>
      <c r="B468" s="299" t="s">
        <v>168</v>
      </c>
      <c r="C468" s="299" t="s">
        <v>159</v>
      </c>
      <c r="D468" s="299" t="s">
        <v>410</v>
      </c>
      <c r="E468" s="346"/>
      <c r="F468" s="294">
        <f>F469</f>
        <v>500</v>
      </c>
      <c r="G468" s="294">
        <f>G469</f>
        <v>500</v>
      </c>
    </row>
    <row r="469" spans="1:11" ht="31.5" x14ac:dyDescent="0.25">
      <c r="A469" s="167" t="s">
        <v>340</v>
      </c>
      <c r="B469" s="346" t="s">
        <v>168</v>
      </c>
      <c r="C469" s="346" t="s">
        <v>159</v>
      </c>
      <c r="D469" s="346" t="s">
        <v>410</v>
      </c>
      <c r="E469" s="346"/>
      <c r="F469" s="295">
        <f t="shared" ref="F469:G470" si="81">F470</f>
        <v>500</v>
      </c>
      <c r="G469" s="295">
        <f t="shared" si="81"/>
        <v>500</v>
      </c>
    </row>
    <row r="470" spans="1:11" ht="31.5" x14ac:dyDescent="0.25">
      <c r="A470" s="345" t="s">
        <v>123</v>
      </c>
      <c r="B470" s="346" t="s">
        <v>168</v>
      </c>
      <c r="C470" s="346" t="s">
        <v>159</v>
      </c>
      <c r="D470" s="346" t="s">
        <v>410</v>
      </c>
      <c r="E470" s="346" t="s">
        <v>124</v>
      </c>
      <c r="F470" s="295">
        <f t="shared" si="81"/>
        <v>500</v>
      </c>
      <c r="G470" s="295">
        <f t="shared" si="81"/>
        <v>500</v>
      </c>
    </row>
    <row r="471" spans="1:11" ht="47.25" x14ac:dyDescent="0.25">
      <c r="A471" s="345" t="s">
        <v>125</v>
      </c>
      <c r="B471" s="346" t="s">
        <v>168</v>
      </c>
      <c r="C471" s="346" t="s">
        <v>159</v>
      </c>
      <c r="D471" s="346" t="s">
        <v>410</v>
      </c>
      <c r="E471" s="346" t="s">
        <v>126</v>
      </c>
      <c r="F471" s="295">
        <f>'Пр.4.1 ведом.23-24 '!G1135</f>
        <v>500</v>
      </c>
      <c r="G471" s="295">
        <f>'Пр.4.1 ведом.23-24 '!H1135</f>
        <v>500</v>
      </c>
    </row>
    <row r="472" spans="1:11" s="111" customFormat="1" ht="110.25" hidden="1" x14ac:dyDescent="0.25">
      <c r="A472" s="298" t="s">
        <v>1083</v>
      </c>
      <c r="B472" s="299" t="s">
        <v>168</v>
      </c>
      <c r="C472" s="299" t="s">
        <v>159</v>
      </c>
      <c r="D472" s="299" t="s">
        <v>1084</v>
      </c>
      <c r="E472" s="299"/>
      <c r="F472" s="294">
        <f t="shared" ref="F472:G474" si="82">F473</f>
        <v>0</v>
      </c>
      <c r="G472" s="294">
        <f t="shared" si="82"/>
        <v>0</v>
      </c>
      <c r="H472" s="132"/>
      <c r="I472" s="132"/>
      <c r="J472" s="132"/>
      <c r="K472" s="132"/>
    </row>
    <row r="473" spans="1:11" s="74" customFormat="1" ht="94.5" hidden="1" x14ac:dyDescent="0.25">
      <c r="A473" s="49" t="s">
        <v>1106</v>
      </c>
      <c r="B473" s="346" t="s">
        <v>168</v>
      </c>
      <c r="C473" s="346" t="s">
        <v>159</v>
      </c>
      <c r="D473" s="346" t="s">
        <v>1085</v>
      </c>
      <c r="E473" s="346"/>
      <c r="F473" s="295">
        <f t="shared" si="82"/>
        <v>0</v>
      </c>
      <c r="G473" s="295">
        <f t="shared" si="82"/>
        <v>0</v>
      </c>
      <c r="H473" s="131"/>
      <c r="I473" s="131"/>
      <c r="J473" s="131"/>
      <c r="K473" s="131"/>
    </row>
    <row r="474" spans="1:11" ht="31.5" hidden="1" x14ac:dyDescent="0.25">
      <c r="A474" s="345" t="s">
        <v>123</v>
      </c>
      <c r="B474" s="346" t="s">
        <v>168</v>
      </c>
      <c r="C474" s="346" t="s">
        <v>159</v>
      </c>
      <c r="D474" s="346" t="s">
        <v>1085</v>
      </c>
      <c r="E474" s="346" t="s">
        <v>124</v>
      </c>
      <c r="F474" s="295">
        <f t="shared" si="82"/>
        <v>0</v>
      </c>
      <c r="G474" s="295">
        <f t="shared" si="82"/>
        <v>0</v>
      </c>
    </row>
    <row r="475" spans="1:11" ht="47.25" hidden="1" x14ac:dyDescent="0.25">
      <c r="A475" s="345" t="s">
        <v>125</v>
      </c>
      <c r="B475" s="346" t="s">
        <v>168</v>
      </c>
      <c r="C475" s="346" t="s">
        <v>159</v>
      </c>
      <c r="D475" s="346" t="s">
        <v>1085</v>
      </c>
      <c r="E475" s="346" t="s">
        <v>126</v>
      </c>
      <c r="F475" s="295">
        <f>'Пр.4 ведом.22'!G1265</f>
        <v>0</v>
      </c>
      <c r="G475" s="295">
        <f>'Пр.4 ведом.22'!H1265</f>
        <v>0</v>
      </c>
    </row>
    <row r="476" spans="1:11" ht="31.5" x14ac:dyDescent="0.25">
      <c r="A476" s="340" t="s">
        <v>281</v>
      </c>
      <c r="B476" s="6" t="s">
        <v>168</v>
      </c>
      <c r="C476" s="6" t="s">
        <v>168</v>
      </c>
      <c r="D476" s="6"/>
      <c r="E476" s="6"/>
      <c r="F476" s="294">
        <f>F477+F492+F517</f>
        <v>30396.65</v>
      </c>
      <c r="G476" s="294">
        <f>G477+G492+G517</f>
        <v>30376.6</v>
      </c>
      <c r="H476" s="71"/>
    </row>
    <row r="477" spans="1:11" ht="31.5" x14ac:dyDescent="0.25">
      <c r="A477" s="298" t="s">
        <v>486</v>
      </c>
      <c r="B477" s="299" t="s">
        <v>168</v>
      </c>
      <c r="C477" s="299" t="s">
        <v>168</v>
      </c>
      <c r="D477" s="299" t="s">
        <v>432</v>
      </c>
      <c r="E477" s="299"/>
      <c r="F477" s="294">
        <f>F478</f>
        <v>16397.150000000001</v>
      </c>
      <c r="G477" s="294">
        <f>G478</f>
        <v>16377</v>
      </c>
    </row>
    <row r="478" spans="1:11" ht="15.75" x14ac:dyDescent="0.25">
      <c r="A478" s="298" t="s">
        <v>487</v>
      </c>
      <c r="B478" s="299" t="s">
        <v>168</v>
      </c>
      <c r="C478" s="299" t="s">
        <v>168</v>
      </c>
      <c r="D478" s="299" t="s">
        <v>433</v>
      </c>
      <c r="E478" s="299"/>
      <c r="F478" s="294">
        <f>F479+F489+F486</f>
        <v>16397.150000000001</v>
      </c>
      <c r="G478" s="294">
        <f>G479+G489+G486</f>
        <v>16377</v>
      </c>
    </row>
    <row r="479" spans="1:11" ht="31.5" x14ac:dyDescent="0.25">
      <c r="A479" s="345" t="s">
        <v>466</v>
      </c>
      <c r="B479" s="346" t="s">
        <v>168</v>
      </c>
      <c r="C479" s="346" t="s">
        <v>168</v>
      </c>
      <c r="D479" s="346" t="s">
        <v>434</v>
      </c>
      <c r="E479" s="346"/>
      <c r="F479" s="295">
        <f t="shared" ref="F479:G479" si="83">F480+F482+F484</f>
        <v>14408.65</v>
      </c>
      <c r="G479" s="295">
        <f t="shared" si="83"/>
        <v>14388.5</v>
      </c>
    </row>
    <row r="480" spans="1:11" ht="81.75" customHeight="1" x14ac:dyDescent="0.25">
      <c r="A480" s="345" t="s">
        <v>119</v>
      </c>
      <c r="B480" s="346" t="s">
        <v>168</v>
      </c>
      <c r="C480" s="346" t="s">
        <v>168</v>
      </c>
      <c r="D480" s="346" t="s">
        <v>434</v>
      </c>
      <c r="E480" s="346" t="s">
        <v>120</v>
      </c>
      <c r="F480" s="246">
        <f t="shared" ref="F480:G480" si="84">F481</f>
        <v>14363.5</v>
      </c>
      <c r="G480" s="246">
        <f t="shared" si="84"/>
        <v>14363.5</v>
      </c>
    </row>
    <row r="481" spans="1:7" ht="31.5" x14ac:dyDescent="0.25">
      <c r="A481" s="345" t="s">
        <v>121</v>
      </c>
      <c r="B481" s="346" t="s">
        <v>168</v>
      </c>
      <c r="C481" s="346" t="s">
        <v>168</v>
      </c>
      <c r="D481" s="346" t="s">
        <v>434</v>
      </c>
      <c r="E481" s="346" t="s">
        <v>122</v>
      </c>
      <c r="F481" s="246">
        <f>'Пр.4.1 ведом.23-24 '!G1145</f>
        <v>14363.5</v>
      </c>
      <c r="G481" s="246">
        <f>'Пр.4.1 ведом.23-24 '!H1145</f>
        <v>14363.5</v>
      </c>
    </row>
    <row r="482" spans="1:7" ht="31.5" x14ac:dyDescent="0.25">
      <c r="A482" s="345" t="s">
        <v>123</v>
      </c>
      <c r="B482" s="346" t="s">
        <v>168</v>
      </c>
      <c r="C482" s="346" t="s">
        <v>168</v>
      </c>
      <c r="D482" s="346" t="s">
        <v>434</v>
      </c>
      <c r="E482" s="346" t="s">
        <v>124</v>
      </c>
      <c r="F482" s="246">
        <f t="shared" ref="F482:G482" si="85">F483</f>
        <v>25</v>
      </c>
      <c r="G482" s="246">
        <f t="shared" si="85"/>
        <v>25</v>
      </c>
    </row>
    <row r="483" spans="1:7" ht="47.25" x14ac:dyDescent="0.25">
      <c r="A483" s="345" t="s">
        <v>125</v>
      </c>
      <c r="B483" s="346" t="s">
        <v>168</v>
      </c>
      <c r="C483" s="346" t="s">
        <v>168</v>
      </c>
      <c r="D483" s="346" t="s">
        <v>434</v>
      </c>
      <c r="E483" s="346" t="s">
        <v>126</v>
      </c>
      <c r="F483" s="246">
        <f>'Пр.4.1 ведом.23-24 '!G1147</f>
        <v>25</v>
      </c>
      <c r="G483" s="246">
        <f>'Пр.4.1 ведом.23-24 '!H1147</f>
        <v>25</v>
      </c>
    </row>
    <row r="484" spans="1:7" ht="15.75" hidden="1" x14ac:dyDescent="0.25">
      <c r="A484" s="345" t="s">
        <v>127</v>
      </c>
      <c r="B484" s="346" t="s">
        <v>168</v>
      </c>
      <c r="C484" s="346" t="s">
        <v>168</v>
      </c>
      <c r="D484" s="346" t="s">
        <v>434</v>
      </c>
      <c r="E484" s="346" t="s">
        <v>134</v>
      </c>
      <c r="F484" s="246">
        <f t="shared" ref="F484:G484" si="86">F485</f>
        <v>20.150000000000002</v>
      </c>
      <c r="G484" s="246">
        <f t="shared" si="86"/>
        <v>0</v>
      </c>
    </row>
    <row r="485" spans="1:7" ht="15.75" hidden="1" x14ac:dyDescent="0.25">
      <c r="A485" s="345" t="s">
        <v>280</v>
      </c>
      <c r="B485" s="346" t="s">
        <v>168</v>
      </c>
      <c r="C485" s="346" t="s">
        <v>168</v>
      </c>
      <c r="D485" s="346" t="s">
        <v>434</v>
      </c>
      <c r="E485" s="346" t="s">
        <v>130</v>
      </c>
      <c r="F485" s="246">
        <f>'Пр.4 ведом.22'!G1278</f>
        <v>20.150000000000002</v>
      </c>
      <c r="G485" s="246">
        <f>'Пр.4 ведом.22'!H1278</f>
        <v>0</v>
      </c>
    </row>
    <row r="486" spans="1:7" ht="31.5" x14ac:dyDescent="0.25">
      <c r="A486" s="345" t="s">
        <v>415</v>
      </c>
      <c r="B486" s="346" t="s">
        <v>168</v>
      </c>
      <c r="C486" s="346" t="s">
        <v>168</v>
      </c>
      <c r="D486" s="346" t="s">
        <v>435</v>
      </c>
      <c r="E486" s="346"/>
      <c r="F486" s="246">
        <f>F487</f>
        <v>1280.5</v>
      </c>
      <c r="G486" s="246">
        <f>G487</f>
        <v>1280.5</v>
      </c>
    </row>
    <row r="487" spans="1:7" ht="78.75" x14ac:dyDescent="0.25">
      <c r="A487" s="345" t="s">
        <v>119</v>
      </c>
      <c r="B487" s="346" t="s">
        <v>168</v>
      </c>
      <c r="C487" s="346" t="s">
        <v>168</v>
      </c>
      <c r="D487" s="346" t="s">
        <v>435</v>
      </c>
      <c r="E487" s="346" t="s">
        <v>120</v>
      </c>
      <c r="F487" s="246">
        <f>F488</f>
        <v>1280.5</v>
      </c>
      <c r="G487" s="246">
        <f>G488</f>
        <v>1280.5</v>
      </c>
    </row>
    <row r="488" spans="1:7" ht="31.5" x14ac:dyDescent="0.25">
      <c r="A488" s="345" t="s">
        <v>121</v>
      </c>
      <c r="B488" s="346" t="s">
        <v>168</v>
      </c>
      <c r="C488" s="346" t="s">
        <v>168</v>
      </c>
      <c r="D488" s="346" t="s">
        <v>435</v>
      </c>
      <c r="E488" s="346" t="s">
        <v>122</v>
      </c>
      <c r="F488" s="246">
        <f>'Пр.4.1 ведом.23-24 '!G1152</f>
        <v>1280.5</v>
      </c>
      <c r="G488" s="246">
        <f>'Пр.4.1 ведом.23-24 '!H1152</f>
        <v>1280.5</v>
      </c>
    </row>
    <row r="489" spans="1:7" ht="47.25" x14ac:dyDescent="0.25">
      <c r="A489" s="345" t="s">
        <v>414</v>
      </c>
      <c r="B489" s="346" t="s">
        <v>168</v>
      </c>
      <c r="C489" s="346" t="s">
        <v>168</v>
      </c>
      <c r="D489" s="346" t="s">
        <v>436</v>
      </c>
      <c r="E489" s="346"/>
      <c r="F489" s="246">
        <f>F490</f>
        <v>708</v>
      </c>
      <c r="G489" s="246">
        <f>G490</f>
        <v>708</v>
      </c>
    </row>
    <row r="490" spans="1:7" ht="78.75" x14ac:dyDescent="0.25">
      <c r="A490" s="345" t="s">
        <v>119</v>
      </c>
      <c r="B490" s="346" t="s">
        <v>168</v>
      </c>
      <c r="C490" s="346" t="s">
        <v>168</v>
      </c>
      <c r="D490" s="346" t="s">
        <v>436</v>
      </c>
      <c r="E490" s="346" t="s">
        <v>120</v>
      </c>
      <c r="F490" s="246">
        <f>F491</f>
        <v>708</v>
      </c>
      <c r="G490" s="246">
        <f>G491</f>
        <v>708</v>
      </c>
    </row>
    <row r="491" spans="1:7" ht="31.5" x14ac:dyDescent="0.25">
      <c r="A491" s="345" t="s">
        <v>121</v>
      </c>
      <c r="B491" s="346" t="s">
        <v>168</v>
      </c>
      <c r="C491" s="346" t="s">
        <v>168</v>
      </c>
      <c r="D491" s="346" t="s">
        <v>436</v>
      </c>
      <c r="E491" s="346" t="s">
        <v>122</v>
      </c>
      <c r="F491" s="246">
        <f>'Пр.4.1 ведом.23-24 '!G1155</f>
        <v>708</v>
      </c>
      <c r="G491" s="246">
        <f>'Пр.4.1 ведом.23-24 '!H1155</f>
        <v>708</v>
      </c>
    </row>
    <row r="492" spans="1:7" ht="15.75" x14ac:dyDescent="0.25">
      <c r="A492" s="298" t="s">
        <v>133</v>
      </c>
      <c r="B492" s="299" t="s">
        <v>168</v>
      </c>
      <c r="C492" s="299" t="s">
        <v>168</v>
      </c>
      <c r="D492" s="299" t="s">
        <v>440</v>
      </c>
      <c r="E492" s="299"/>
      <c r="F492" s="294">
        <f>F493+F504</f>
        <v>13999.5</v>
      </c>
      <c r="G492" s="294">
        <f>G493+G504</f>
        <v>13999.6</v>
      </c>
    </row>
    <row r="493" spans="1:7" ht="15.75" x14ac:dyDescent="0.25">
      <c r="A493" s="298" t="s">
        <v>517</v>
      </c>
      <c r="B493" s="299" t="s">
        <v>168</v>
      </c>
      <c r="C493" s="299" t="s">
        <v>168</v>
      </c>
      <c r="D493" s="299" t="s">
        <v>516</v>
      </c>
      <c r="E493" s="299"/>
      <c r="F493" s="294">
        <f>F494+F497</f>
        <v>13017.5</v>
      </c>
      <c r="G493" s="294">
        <f>G494+G497</f>
        <v>13017.6</v>
      </c>
    </row>
    <row r="494" spans="1:7" ht="47.25" x14ac:dyDescent="0.25">
      <c r="A494" s="345" t="s">
        <v>414</v>
      </c>
      <c r="B494" s="346" t="s">
        <v>168</v>
      </c>
      <c r="C494" s="346" t="s">
        <v>168</v>
      </c>
      <c r="D494" s="346" t="s">
        <v>519</v>
      </c>
      <c r="E494" s="346"/>
      <c r="F494" s="295">
        <f>F495</f>
        <v>498</v>
      </c>
      <c r="G494" s="295">
        <f>G495</f>
        <v>498</v>
      </c>
    </row>
    <row r="495" spans="1:7" ht="78.75" x14ac:dyDescent="0.25">
      <c r="A495" s="345" t="s">
        <v>119</v>
      </c>
      <c r="B495" s="346" t="s">
        <v>168</v>
      </c>
      <c r="C495" s="346" t="s">
        <v>168</v>
      </c>
      <c r="D495" s="346" t="s">
        <v>519</v>
      </c>
      <c r="E495" s="346" t="s">
        <v>120</v>
      </c>
      <c r="F495" s="295">
        <f>F496</f>
        <v>498</v>
      </c>
      <c r="G495" s="295">
        <f>G496</f>
        <v>498</v>
      </c>
    </row>
    <row r="496" spans="1:7" ht="31.5" x14ac:dyDescent="0.25">
      <c r="A496" s="345" t="s">
        <v>212</v>
      </c>
      <c r="B496" s="346" t="s">
        <v>168</v>
      </c>
      <c r="C496" s="346" t="s">
        <v>168</v>
      </c>
      <c r="D496" s="346" t="s">
        <v>519</v>
      </c>
      <c r="E496" s="346" t="s">
        <v>156</v>
      </c>
      <c r="F496" s="295">
        <f>'Пр.4.1 ведом.23-24 '!G1160</f>
        <v>498</v>
      </c>
      <c r="G496" s="295">
        <f>'Пр.4.1 ведом.23-24 '!H1160</f>
        <v>498</v>
      </c>
    </row>
    <row r="497" spans="1:7" ht="15.75" x14ac:dyDescent="0.25">
      <c r="A497" s="345" t="s">
        <v>377</v>
      </c>
      <c r="B497" s="346" t="s">
        <v>168</v>
      </c>
      <c r="C497" s="346" t="s">
        <v>168</v>
      </c>
      <c r="D497" s="346" t="s">
        <v>518</v>
      </c>
      <c r="E497" s="346"/>
      <c r="F497" s="295">
        <f>F498+F501+F503</f>
        <v>12519.5</v>
      </c>
      <c r="G497" s="295">
        <f>G498+G501+G503</f>
        <v>12519.6</v>
      </c>
    </row>
    <row r="498" spans="1:7" ht="78.75" x14ac:dyDescent="0.25">
      <c r="A498" s="345" t="s">
        <v>119</v>
      </c>
      <c r="B498" s="346" t="s">
        <v>168</v>
      </c>
      <c r="C498" s="346" t="s">
        <v>168</v>
      </c>
      <c r="D498" s="346" t="s">
        <v>518</v>
      </c>
      <c r="E498" s="346" t="s">
        <v>120</v>
      </c>
      <c r="F498" s="295">
        <f>F499</f>
        <v>10681.4</v>
      </c>
      <c r="G498" s="295">
        <f>G499</f>
        <v>10681.5</v>
      </c>
    </row>
    <row r="499" spans="1:7" ht="31.5" x14ac:dyDescent="0.25">
      <c r="A499" s="345" t="s">
        <v>212</v>
      </c>
      <c r="B499" s="346" t="s">
        <v>168</v>
      </c>
      <c r="C499" s="346" t="s">
        <v>168</v>
      </c>
      <c r="D499" s="346" t="s">
        <v>518</v>
      </c>
      <c r="E499" s="346" t="s">
        <v>156</v>
      </c>
      <c r="F499" s="295">
        <f>'Пр.4.1 ведом.23-24 '!G1163</f>
        <v>10681.4</v>
      </c>
      <c r="G499" s="295">
        <f>'Пр.4.1 ведом.23-24 '!H1163</f>
        <v>10681.5</v>
      </c>
    </row>
    <row r="500" spans="1:7" ht="31.5" x14ac:dyDescent="0.25">
      <c r="A500" s="345" t="s">
        <v>123</v>
      </c>
      <c r="B500" s="346" t="s">
        <v>168</v>
      </c>
      <c r="C500" s="346" t="s">
        <v>168</v>
      </c>
      <c r="D500" s="346" t="s">
        <v>518</v>
      </c>
      <c r="E500" s="346" t="s">
        <v>124</v>
      </c>
      <c r="F500" s="295">
        <f>F501</f>
        <v>1791.1</v>
      </c>
      <c r="G500" s="295">
        <f>G501</f>
        <v>1791.1</v>
      </c>
    </row>
    <row r="501" spans="1:7" ht="47.25" x14ac:dyDescent="0.25">
      <c r="A501" s="345" t="s">
        <v>125</v>
      </c>
      <c r="B501" s="346" t="s">
        <v>168</v>
      </c>
      <c r="C501" s="346" t="s">
        <v>168</v>
      </c>
      <c r="D501" s="346" t="s">
        <v>518</v>
      </c>
      <c r="E501" s="346" t="s">
        <v>126</v>
      </c>
      <c r="F501" s="295">
        <f>'Пр.4.1 ведом.23-24 '!G1165</f>
        <v>1791.1</v>
      </c>
      <c r="G501" s="295">
        <f>'Пр.4.1 ведом.23-24 '!H1165</f>
        <v>1791.1</v>
      </c>
    </row>
    <row r="502" spans="1:7" ht="15.75" x14ac:dyDescent="0.25">
      <c r="A502" s="345" t="s">
        <v>127</v>
      </c>
      <c r="B502" s="346" t="s">
        <v>168</v>
      </c>
      <c r="C502" s="346" t="s">
        <v>168</v>
      </c>
      <c r="D502" s="346" t="s">
        <v>518</v>
      </c>
      <c r="E502" s="346" t="s">
        <v>134</v>
      </c>
      <c r="F502" s="295">
        <f>F503</f>
        <v>47</v>
      </c>
      <c r="G502" s="295">
        <f>G503</f>
        <v>47</v>
      </c>
    </row>
    <row r="503" spans="1:7" ht="15.75" x14ac:dyDescent="0.25">
      <c r="A503" s="345" t="s">
        <v>280</v>
      </c>
      <c r="B503" s="346" t="s">
        <v>168</v>
      </c>
      <c r="C503" s="346" t="s">
        <v>168</v>
      </c>
      <c r="D503" s="346" t="s">
        <v>518</v>
      </c>
      <c r="E503" s="346" t="s">
        <v>130</v>
      </c>
      <c r="F503" s="295">
        <f>'Пр.4.1 ведом.23-24 '!G1167</f>
        <v>47</v>
      </c>
      <c r="G503" s="295">
        <f>'Пр.4.1 ведом.23-24 '!H1167</f>
        <v>47</v>
      </c>
    </row>
    <row r="504" spans="1:7" ht="31.5" x14ac:dyDescent="0.25">
      <c r="A504" s="298" t="s">
        <v>444</v>
      </c>
      <c r="B504" s="299" t="s">
        <v>168</v>
      </c>
      <c r="C504" s="299" t="s">
        <v>168</v>
      </c>
      <c r="D504" s="299" t="s">
        <v>439</v>
      </c>
      <c r="E504" s="299"/>
      <c r="F504" s="248">
        <f>F505+F512</f>
        <v>982</v>
      </c>
      <c r="G504" s="248">
        <f>G505+G512</f>
        <v>982</v>
      </c>
    </row>
    <row r="505" spans="1:7" ht="31.5" x14ac:dyDescent="0.25">
      <c r="A505" s="345" t="s">
        <v>282</v>
      </c>
      <c r="B505" s="346" t="s">
        <v>168</v>
      </c>
      <c r="C505" s="346" t="s">
        <v>168</v>
      </c>
      <c r="D505" s="346" t="s">
        <v>547</v>
      </c>
      <c r="E505" s="346"/>
      <c r="F505" s="246">
        <f>F508+F506</f>
        <v>982</v>
      </c>
      <c r="G505" s="246">
        <f>G508+G506</f>
        <v>982</v>
      </c>
    </row>
    <row r="506" spans="1:7" ht="19.5" hidden="1" customHeight="1" x14ac:dyDescent="0.25">
      <c r="A506" s="22" t="s">
        <v>177</v>
      </c>
      <c r="B506" s="346" t="s">
        <v>168</v>
      </c>
      <c r="C506" s="346" t="s">
        <v>168</v>
      </c>
      <c r="D506" s="346" t="s">
        <v>547</v>
      </c>
      <c r="E506" s="346" t="s">
        <v>178</v>
      </c>
      <c r="F506" s="246">
        <f>F507</f>
        <v>0</v>
      </c>
      <c r="G506" s="246">
        <f>G507</f>
        <v>0</v>
      </c>
    </row>
    <row r="507" spans="1:7" ht="15.75" hidden="1" x14ac:dyDescent="0.25">
      <c r="A507" s="345" t="s">
        <v>989</v>
      </c>
      <c r="B507" s="346" t="s">
        <v>168</v>
      </c>
      <c r="C507" s="346" t="s">
        <v>168</v>
      </c>
      <c r="D507" s="346" t="s">
        <v>547</v>
      </c>
      <c r="E507" s="346" t="s">
        <v>991</v>
      </c>
      <c r="F507" s="246">
        <f>'Пр.4 ведом.22'!G1306</f>
        <v>0</v>
      </c>
      <c r="G507" s="246">
        <f>'Пр.4 ведом.22'!H1306</f>
        <v>0</v>
      </c>
    </row>
    <row r="508" spans="1:7" ht="15.75" x14ac:dyDescent="0.25">
      <c r="A508" s="345" t="s">
        <v>127</v>
      </c>
      <c r="B508" s="346" t="s">
        <v>168</v>
      </c>
      <c r="C508" s="346" t="s">
        <v>168</v>
      </c>
      <c r="D508" s="346" t="s">
        <v>547</v>
      </c>
      <c r="E508" s="346" t="s">
        <v>134</v>
      </c>
      <c r="F508" s="246">
        <f>F509+F510+F511</f>
        <v>982</v>
      </c>
      <c r="G508" s="246">
        <f>G509+G510+G511</f>
        <v>982</v>
      </c>
    </row>
    <row r="509" spans="1:7" ht="47.25" x14ac:dyDescent="0.25">
      <c r="A509" s="345" t="s">
        <v>148</v>
      </c>
      <c r="B509" s="346" t="s">
        <v>168</v>
      </c>
      <c r="C509" s="346" t="s">
        <v>168</v>
      </c>
      <c r="D509" s="346" t="s">
        <v>547</v>
      </c>
      <c r="E509" s="346" t="s">
        <v>142</v>
      </c>
      <c r="F509" s="295">
        <f>'Пр.4.1 ведом.23-24 '!G1173</f>
        <v>982</v>
      </c>
      <c r="G509" s="295">
        <f>'Пр.4.1 ведом.23-24 '!H1173</f>
        <v>982</v>
      </c>
    </row>
    <row r="510" spans="1:7" ht="15.75" hidden="1" x14ac:dyDescent="0.25">
      <c r="A510" s="345" t="s">
        <v>338</v>
      </c>
      <c r="B510" s="346" t="s">
        <v>168</v>
      </c>
      <c r="C510" s="346" t="s">
        <v>168</v>
      </c>
      <c r="D510" s="346" t="s">
        <v>547</v>
      </c>
      <c r="E510" s="346" t="s">
        <v>130</v>
      </c>
      <c r="F510" s="295">
        <f>'Пр.4 ведом.22'!G1309</f>
        <v>0</v>
      </c>
      <c r="G510" s="295">
        <f>'Пр.4 ведом.22'!H1309</f>
        <v>0</v>
      </c>
    </row>
    <row r="511" spans="1:7" ht="15.75" hidden="1" x14ac:dyDescent="0.25">
      <c r="A511" s="345" t="s">
        <v>1060</v>
      </c>
      <c r="B511" s="346" t="s">
        <v>168</v>
      </c>
      <c r="C511" s="346" t="s">
        <v>168</v>
      </c>
      <c r="D511" s="346" t="s">
        <v>547</v>
      </c>
      <c r="E511" s="346" t="s">
        <v>1061</v>
      </c>
      <c r="F511" s="295">
        <f>'Пр.4 ведом.22'!G1310</f>
        <v>0</v>
      </c>
      <c r="G511" s="295">
        <f>'Пр.4 ведом.22'!H1310</f>
        <v>0</v>
      </c>
    </row>
    <row r="512" spans="1:7" ht="31.5" hidden="1" x14ac:dyDescent="0.25">
      <c r="A512" s="345" t="s">
        <v>1073</v>
      </c>
      <c r="B512" s="346" t="s">
        <v>168</v>
      </c>
      <c r="C512" s="346" t="s">
        <v>168</v>
      </c>
      <c r="D512" s="346" t="s">
        <v>1074</v>
      </c>
      <c r="E512" s="346"/>
      <c r="F512" s="246">
        <f>F513+F515</f>
        <v>0</v>
      </c>
      <c r="G512" s="246">
        <f>G513+G515</f>
        <v>0</v>
      </c>
    </row>
    <row r="513" spans="1:12" ht="15.75" hidden="1" x14ac:dyDescent="0.25">
      <c r="A513" s="345" t="s">
        <v>1076</v>
      </c>
      <c r="B513" s="346" t="s">
        <v>168</v>
      </c>
      <c r="C513" s="346" t="s">
        <v>168</v>
      </c>
      <c r="D513" s="346" t="s">
        <v>1074</v>
      </c>
      <c r="E513" s="346" t="s">
        <v>412</v>
      </c>
      <c r="F513" s="246">
        <f>F514</f>
        <v>0</v>
      </c>
      <c r="G513" s="246">
        <f>G514</f>
        <v>0</v>
      </c>
    </row>
    <row r="514" spans="1:12" ht="31.5" hidden="1" x14ac:dyDescent="0.25">
      <c r="A514" s="345" t="s">
        <v>413</v>
      </c>
      <c r="B514" s="346" t="s">
        <v>168</v>
      </c>
      <c r="C514" s="346" t="s">
        <v>168</v>
      </c>
      <c r="D514" s="346" t="s">
        <v>1074</v>
      </c>
      <c r="E514" s="346" t="s">
        <v>1077</v>
      </c>
      <c r="F514" s="246">
        <f>'Пр.4 ведом.22'!G1313</f>
        <v>0</v>
      </c>
      <c r="G514" s="246">
        <f>'Пр.4 ведом.22'!H1313</f>
        <v>0</v>
      </c>
    </row>
    <row r="515" spans="1:12" ht="15.75" hidden="1" x14ac:dyDescent="0.25">
      <c r="A515" s="345" t="s">
        <v>127</v>
      </c>
      <c r="B515" s="346" t="s">
        <v>168</v>
      </c>
      <c r="C515" s="346" t="s">
        <v>168</v>
      </c>
      <c r="D515" s="346" t="s">
        <v>1074</v>
      </c>
      <c r="E515" s="346" t="s">
        <v>134</v>
      </c>
      <c r="F515" s="246">
        <f>F516</f>
        <v>0</v>
      </c>
      <c r="G515" s="246">
        <f>G516</f>
        <v>0</v>
      </c>
    </row>
    <row r="516" spans="1:12" ht="47.25" hidden="1" x14ac:dyDescent="0.25">
      <c r="A516" s="345" t="s">
        <v>148</v>
      </c>
      <c r="B516" s="346" t="s">
        <v>168</v>
      </c>
      <c r="C516" s="346" t="s">
        <v>168</v>
      </c>
      <c r="D516" s="346" t="s">
        <v>1074</v>
      </c>
      <c r="E516" s="346" t="s">
        <v>142</v>
      </c>
      <c r="F516" s="246">
        <f>'Пр.4 ведом.22'!G1315</f>
        <v>0</v>
      </c>
      <c r="G516" s="246">
        <f>'Пр.4 ведом.22'!H1315</f>
        <v>0</v>
      </c>
    </row>
    <row r="517" spans="1:12" ht="47.25" hidden="1" x14ac:dyDescent="0.25">
      <c r="A517" s="24" t="s">
        <v>876</v>
      </c>
      <c r="B517" s="299" t="s">
        <v>168</v>
      </c>
      <c r="C517" s="299" t="s">
        <v>168</v>
      </c>
      <c r="D517" s="299" t="s">
        <v>206</v>
      </c>
      <c r="E517" s="299"/>
      <c r="F517" s="297">
        <f t="shared" ref="F517:G520" si="87">F518</f>
        <v>0</v>
      </c>
      <c r="G517" s="297">
        <f t="shared" si="87"/>
        <v>0</v>
      </c>
    </row>
    <row r="518" spans="1:12" ht="63" hidden="1" x14ac:dyDescent="0.25">
      <c r="A518" s="24" t="s">
        <v>570</v>
      </c>
      <c r="B518" s="299" t="s">
        <v>168</v>
      </c>
      <c r="C518" s="299" t="s">
        <v>168</v>
      </c>
      <c r="D518" s="299" t="s">
        <v>502</v>
      </c>
      <c r="E518" s="299"/>
      <c r="F518" s="297">
        <f t="shared" si="87"/>
        <v>0</v>
      </c>
      <c r="G518" s="297">
        <f t="shared" si="87"/>
        <v>0</v>
      </c>
    </row>
    <row r="519" spans="1:12" ht="47.25" hidden="1" x14ac:dyDescent="0.25">
      <c r="A519" s="22" t="s">
        <v>632</v>
      </c>
      <c r="B519" s="346" t="s">
        <v>168</v>
      </c>
      <c r="C519" s="346" t="s">
        <v>168</v>
      </c>
      <c r="D519" s="346" t="s">
        <v>587</v>
      </c>
      <c r="E519" s="346"/>
      <c r="F519" s="300">
        <f t="shared" si="87"/>
        <v>0</v>
      </c>
      <c r="G519" s="300">
        <f t="shared" si="87"/>
        <v>0</v>
      </c>
    </row>
    <row r="520" spans="1:12" ht="31.5" hidden="1" x14ac:dyDescent="0.25">
      <c r="A520" s="345" t="s">
        <v>123</v>
      </c>
      <c r="B520" s="346" t="s">
        <v>168</v>
      </c>
      <c r="C520" s="346" t="s">
        <v>168</v>
      </c>
      <c r="D520" s="346" t="s">
        <v>587</v>
      </c>
      <c r="E520" s="346" t="s">
        <v>124</v>
      </c>
      <c r="F520" s="300">
        <f t="shared" si="87"/>
        <v>0</v>
      </c>
      <c r="G520" s="300">
        <f t="shared" si="87"/>
        <v>0</v>
      </c>
    </row>
    <row r="521" spans="1:12" ht="47.25" hidden="1" x14ac:dyDescent="0.25">
      <c r="A521" s="345" t="s">
        <v>125</v>
      </c>
      <c r="B521" s="346" t="s">
        <v>168</v>
      </c>
      <c r="C521" s="346" t="s">
        <v>168</v>
      </c>
      <c r="D521" s="346" t="s">
        <v>587</v>
      </c>
      <c r="E521" s="346" t="s">
        <v>126</v>
      </c>
      <c r="F521" s="300">
        <f>'Пр.4 ведом.22'!G1320</f>
        <v>0</v>
      </c>
      <c r="G521" s="300">
        <f>'Пр.4 ведом.22'!H1320</f>
        <v>0</v>
      </c>
    </row>
    <row r="522" spans="1:12" ht="15.75" x14ac:dyDescent="0.25">
      <c r="A522" s="340" t="s">
        <v>186</v>
      </c>
      <c r="B522" s="6" t="s">
        <v>187</v>
      </c>
      <c r="C522" s="341"/>
      <c r="D522" s="341"/>
      <c r="E522" s="341"/>
      <c r="F522" s="294">
        <f>F523+F582+F765+F671+F740</f>
        <v>386334.69999999995</v>
      </c>
      <c r="G522" s="294">
        <f>G523+G582+G765+G671+G740</f>
        <v>342389.10000000003</v>
      </c>
      <c r="H522" s="71">
        <f>G522-F522</f>
        <v>-43945.599999999919</v>
      </c>
      <c r="K522" s="149">
        <v>384273.2</v>
      </c>
      <c r="L522" s="151">
        <f>F522-K522</f>
        <v>2061.4999999999418</v>
      </c>
    </row>
    <row r="523" spans="1:12" ht="15.75" x14ac:dyDescent="0.25">
      <c r="A523" s="340" t="s">
        <v>236</v>
      </c>
      <c r="B523" s="6" t="s">
        <v>187</v>
      </c>
      <c r="C523" s="6" t="s">
        <v>116</v>
      </c>
      <c r="D523" s="6"/>
      <c r="E523" s="6"/>
      <c r="F523" s="294">
        <f>F524+F572+F577</f>
        <v>90820.19</v>
      </c>
      <c r="G523" s="294">
        <f>G524+G572+G577</f>
        <v>84821.090000000011</v>
      </c>
      <c r="H523" s="71"/>
    </row>
    <row r="524" spans="1:12" ht="40.700000000000003" customHeight="1" x14ac:dyDescent="0.25">
      <c r="A524" s="298" t="s">
        <v>877</v>
      </c>
      <c r="B524" s="299" t="s">
        <v>187</v>
      </c>
      <c r="C524" s="299" t="s">
        <v>116</v>
      </c>
      <c r="D524" s="299" t="s">
        <v>237</v>
      </c>
      <c r="E524" s="299"/>
      <c r="F524" s="294">
        <f>F525+F529+F536+F546+F556+F560+F564+F568</f>
        <v>90168.39</v>
      </c>
      <c r="G524" s="294">
        <f>G525+G529+G536+G546+G556+G560+G564+G568</f>
        <v>84224.290000000008</v>
      </c>
    </row>
    <row r="525" spans="1:12" ht="31.5" x14ac:dyDescent="0.25">
      <c r="A525" s="298" t="s">
        <v>505</v>
      </c>
      <c r="B525" s="299" t="s">
        <v>187</v>
      </c>
      <c r="C525" s="299" t="s">
        <v>116</v>
      </c>
      <c r="D525" s="299" t="s">
        <v>764</v>
      </c>
      <c r="E525" s="299"/>
      <c r="F525" s="294">
        <f t="shared" ref="F525:G527" si="88">F526</f>
        <v>16777.2</v>
      </c>
      <c r="G525" s="294">
        <f t="shared" si="88"/>
        <v>16777.2</v>
      </c>
    </row>
    <row r="526" spans="1:12" ht="42.75" customHeight="1" x14ac:dyDescent="0.25">
      <c r="A526" s="345" t="s">
        <v>763</v>
      </c>
      <c r="B526" s="346" t="s">
        <v>187</v>
      </c>
      <c r="C526" s="346" t="s">
        <v>116</v>
      </c>
      <c r="D526" s="346" t="s">
        <v>765</v>
      </c>
      <c r="E526" s="346"/>
      <c r="F526" s="295">
        <f t="shared" si="88"/>
        <v>16777.2</v>
      </c>
      <c r="G526" s="295">
        <f t="shared" si="88"/>
        <v>16777.2</v>
      </c>
    </row>
    <row r="527" spans="1:12" ht="40.700000000000003" customHeight="1" x14ac:dyDescent="0.25">
      <c r="A527" s="345" t="s">
        <v>191</v>
      </c>
      <c r="B527" s="346" t="s">
        <v>187</v>
      </c>
      <c r="C527" s="346" t="s">
        <v>116</v>
      </c>
      <c r="D527" s="346" t="s">
        <v>765</v>
      </c>
      <c r="E527" s="346" t="s">
        <v>192</v>
      </c>
      <c r="F527" s="295">
        <f t="shared" si="88"/>
        <v>16777.2</v>
      </c>
      <c r="G527" s="295">
        <f t="shared" si="88"/>
        <v>16777.2</v>
      </c>
    </row>
    <row r="528" spans="1:12" ht="15.75" x14ac:dyDescent="0.25">
      <c r="A528" s="345" t="s">
        <v>193</v>
      </c>
      <c r="B528" s="346" t="s">
        <v>187</v>
      </c>
      <c r="C528" s="346" t="s">
        <v>116</v>
      </c>
      <c r="D528" s="346" t="s">
        <v>765</v>
      </c>
      <c r="E528" s="346" t="s">
        <v>194</v>
      </c>
      <c r="F528" s="246">
        <f>'Пр.4.1 ведом.23-24 '!G622</f>
        <v>16777.2</v>
      </c>
      <c r="G528" s="246">
        <f>'Пр.4.1 ведом.23-24 '!H622</f>
        <v>16777.2</v>
      </c>
      <c r="H528" s="71"/>
    </row>
    <row r="529" spans="1:12" ht="47.25" x14ac:dyDescent="0.25">
      <c r="A529" s="298" t="s">
        <v>469</v>
      </c>
      <c r="B529" s="299" t="s">
        <v>187</v>
      </c>
      <c r="C529" s="299" t="s">
        <v>116</v>
      </c>
      <c r="D529" s="299" t="s">
        <v>766</v>
      </c>
      <c r="E529" s="299"/>
      <c r="F529" s="294">
        <f>F530+F533</f>
        <v>63608.810000000005</v>
      </c>
      <c r="G529" s="294">
        <f>G530+G533</f>
        <v>57657.810000000005</v>
      </c>
    </row>
    <row r="530" spans="1:12" ht="94.5" x14ac:dyDescent="0.25">
      <c r="A530" s="22" t="s">
        <v>200</v>
      </c>
      <c r="B530" s="346" t="s">
        <v>187</v>
      </c>
      <c r="C530" s="346" t="s">
        <v>116</v>
      </c>
      <c r="D530" s="346" t="s">
        <v>885</v>
      </c>
      <c r="E530" s="346"/>
      <c r="F530" s="295">
        <f t="shared" ref="F530:G531" si="89">F531</f>
        <v>3430</v>
      </c>
      <c r="G530" s="295">
        <f t="shared" si="89"/>
        <v>3430</v>
      </c>
    </row>
    <row r="531" spans="1:12" ht="31.5" x14ac:dyDescent="0.25">
      <c r="A531" s="345" t="s">
        <v>191</v>
      </c>
      <c r="B531" s="346" t="s">
        <v>187</v>
      </c>
      <c r="C531" s="346" t="s">
        <v>116</v>
      </c>
      <c r="D531" s="346" t="s">
        <v>885</v>
      </c>
      <c r="E531" s="346" t="s">
        <v>192</v>
      </c>
      <c r="F531" s="295">
        <f t="shared" si="89"/>
        <v>3430</v>
      </c>
      <c r="G531" s="295">
        <f t="shared" si="89"/>
        <v>3430</v>
      </c>
    </row>
    <row r="532" spans="1:12" ht="15.75" x14ac:dyDescent="0.25">
      <c r="A532" s="345" t="s">
        <v>193</v>
      </c>
      <c r="B532" s="346" t="s">
        <v>187</v>
      </c>
      <c r="C532" s="346" t="s">
        <v>116</v>
      </c>
      <c r="D532" s="346" t="s">
        <v>885</v>
      </c>
      <c r="E532" s="346" t="s">
        <v>194</v>
      </c>
      <c r="F532" s="295">
        <f>'Пр.4.1 ведом.23-24 '!G626</f>
        <v>3430</v>
      </c>
      <c r="G532" s="295">
        <f>'Пр.4.1 ведом.23-24 '!H626</f>
        <v>3430</v>
      </c>
    </row>
    <row r="533" spans="1:12" ht="47.25" customHeight="1" x14ac:dyDescent="0.25">
      <c r="A533" s="22" t="s">
        <v>1165</v>
      </c>
      <c r="B533" s="346" t="s">
        <v>187</v>
      </c>
      <c r="C533" s="346" t="s">
        <v>116</v>
      </c>
      <c r="D533" s="346" t="s">
        <v>1166</v>
      </c>
      <c r="E533" s="346"/>
      <c r="F533" s="295">
        <f t="shared" ref="F533:G534" si="90">F534</f>
        <v>60178.810000000005</v>
      </c>
      <c r="G533" s="295">
        <f t="shared" si="90"/>
        <v>54227.810000000005</v>
      </c>
    </row>
    <row r="534" spans="1:12" ht="39.75" customHeight="1" x14ac:dyDescent="0.25">
      <c r="A534" s="345" t="s">
        <v>191</v>
      </c>
      <c r="B534" s="346" t="s">
        <v>187</v>
      </c>
      <c r="C534" s="346" t="s">
        <v>116</v>
      </c>
      <c r="D534" s="346" t="s">
        <v>1166</v>
      </c>
      <c r="E534" s="346" t="s">
        <v>192</v>
      </c>
      <c r="F534" s="295">
        <f t="shared" si="90"/>
        <v>60178.810000000005</v>
      </c>
      <c r="G534" s="295">
        <f t="shared" si="90"/>
        <v>54227.810000000005</v>
      </c>
    </row>
    <row r="535" spans="1:12" s="344" customFormat="1" ht="15.75" customHeight="1" x14ac:dyDescent="0.25">
      <c r="A535" s="345" t="s">
        <v>193</v>
      </c>
      <c r="B535" s="346" t="s">
        <v>187</v>
      </c>
      <c r="C535" s="346" t="s">
        <v>116</v>
      </c>
      <c r="D535" s="346" t="s">
        <v>1166</v>
      </c>
      <c r="E535" s="346" t="s">
        <v>194</v>
      </c>
      <c r="F535" s="295">
        <f>'Пр.4.1 ведом.23-24 '!G629</f>
        <v>60178.810000000005</v>
      </c>
      <c r="G535" s="295">
        <f>'Пр.4.1 ведом.23-24 '!H629</f>
        <v>54227.810000000005</v>
      </c>
      <c r="L535" s="343"/>
    </row>
    <row r="536" spans="1:12" s="344" customFormat="1" ht="36" customHeight="1" x14ac:dyDescent="0.25">
      <c r="A536" s="298" t="s">
        <v>810</v>
      </c>
      <c r="B536" s="299" t="s">
        <v>187</v>
      </c>
      <c r="C536" s="299" t="s">
        <v>116</v>
      </c>
      <c r="D536" s="299" t="s">
        <v>768</v>
      </c>
      <c r="E536" s="299"/>
      <c r="F536" s="294">
        <f>F537+F540+F543</f>
        <v>4749.3999999999996</v>
      </c>
      <c r="G536" s="294">
        <f>G537+G540+G543</f>
        <v>4749.3999999999996</v>
      </c>
      <c r="L536" s="343"/>
    </row>
    <row r="537" spans="1:12" s="344" customFormat="1" ht="40.700000000000003" hidden="1" customHeight="1" x14ac:dyDescent="0.25">
      <c r="A537" s="345" t="s">
        <v>195</v>
      </c>
      <c r="B537" s="346" t="s">
        <v>187</v>
      </c>
      <c r="C537" s="346" t="s">
        <v>116</v>
      </c>
      <c r="D537" s="346" t="s">
        <v>827</v>
      </c>
      <c r="E537" s="346"/>
      <c r="F537" s="295">
        <f>F538</f>
        <v>0</v>
      </c>
      <c r="G537" s="295">
        <f>G538</f>
        <v>0</v>
      </c>
      <c r="L537" s="343"/>
    </row>
    <row r="538" spans="1:12" s="344" customFormat="1" ht="42" hidden="1" customHeight="1" x14ac:dyDescent="0.25">
      <c r="A538" s="345" t="s">
        <v>191</v>
      </c>
      <c r="B538" s="346" t="s">
        <v>187</v>
      </c>
      <c r="C538" s="346" t="s">
        <v>116</v>
      </c>
      <c r="D538" s="346" t="s">
        <v>827</v>
      </c>
      <c r="E538" s="346" t="s">
        <v>192</v>
      </c>
      <c r="F538" s="295">
        <f t="shared" ref="F538:G538" si="91">F539</f>
        <v>0</v>
      </c>
      <c r="G538" s="295">
        <f t="shared" si="91"/>
        <v>0</v>
      </c>
      <c r="L538" s="343"/>
    </row>
    <row r="539" spans="1:12" s="344" customFormat="1" ht="20.25" hidden="1" customHeight="1" x14ac:dyDescent="0.25">
      <c r="A539" s="345" t="s">
        <v>193</v>
      </c>
      <c r="B539" s="346" t="s">
        <v>187</v>
      </c>
      <c r="C539" s="346" t="s">
        <v>116</v>
      </c>
      <c r="D539" s="346" t="s">
        <v>827</v>
      </c>
      <c r="E539" s="346" t="s">
        <v>194</v>
      </c>
      <c r="F539" s="295">
        <f>'Пр.4 ведом.22'!G704</f>
        <v>0</v>
      </c>
      <c r="G539" s="295">
        <f>'Пр.4 ведом.22'!H704</f>
        <v>0</v>
      </c>
      <c r="L539" s="343"/>
    </row>
    <row r="540" spans="1:12" s="344" customFormat="1" ht="39.200000000000003" hidden="1" customHeight="1" x14ac:dyDescent="0.25">
      <c r="A540" s="345" t="s">
        <v>196</v>
      </c>
      <c r="B540" s="346" t="s">
        <v>187</v>
      </c>
      <c r="C540" s="346" t="s">
        <v>116</v>
      </c>
      <c r="D540" s="346" t="s">
        <v>828</v>
      </c>
      <c r="E540" s="346"/>
      <c r="F540" s="295">
        <f>F541</f>
        <v>0</v>
      </c>
      <c r="G540" s="295">
        <f>G541</f>
        <v>0</v>
      </c>
      <c r="L540" s="343"/>
    </row>
    <row r="541" spans="1:12" s="344" customFormat="1" ht="35.450000000000003" hidden="1" customHeight="1" x14ac:dyDescent="0.25">
      <c r="A541" s="345" t="s">
        <v>191</v>
      </c>
      <c r="B541" s="346" t="s">
        <v>187</v>
      </c>
      <c r="C541" s="346" t="s">
        <v>116</v>
      </c>
      <c r="D541" s="346" t="s">
        <v>828</v>
      </c>
      <c r="E541" s="346" t="s">
        <v>192</v>
      </c>
      <c r="F541" s="295">
        <f t="shared" ref="F541:G541" si="92">F542</f>
        <v>0</v>
      </c>
      <c r="G541" s="295">
        <f t="shared" si="92"/>
        <v>0</v>
      </c>
      <c r="L541" s="343"/>
    </row>
    <row r="542" spans="1:12" s="344" customFormat="1" ht="17.45" hidden="1" customHeight="1" x14ac:dyDescent="0.25">
      <c r="A542" s="345" t="s">
        <v>193</v>
      </c>
      <c r="B542" s="346" t="s">
        <v>187</v>
      </c>
      <c r="C542" s="346" t="s">
        <v>116</v>
      </c>
      <c r="D542" s="346" t="s">
        <v>828</v>
      </c>
      <c r="E542" s="346" t="s">
        <v>194</v>
      </c>
      <c r="F542" s="295">
        <f>'Пр.4 ведом.22'!G707</f>
        <v>0</v>
      </c>
      <c r="G542" s="295">
        <f>'Пр.4 ведом.22'!H707</f>
        <v>0</v>
      </c>
      <c r="L542" s="343"/>
    </row>
    <row r="543" spans="1:12" s="344" customFormat="1" ht="38.25" customHeight="1" x14ac:dyDescent="0.25">
      <c r="A543" s="20" t="s">
        <v>238</v>
      </c>
      <c r="B543" s="346" t="s">
        <v>187</v>
      </c>
      <c r="C543" s="346" t="s">
        <v>116</v>
      </c>
      <c r="D543" s="346" t="s">
        <v>769</v>
      </c>
      <c r="E543" s="346"/>
      <c r="F543" s="295">
        <f>F544</f>
        <v>4749.3999999999996</v>
      </c>
      <c r="G543" s="295">
        <f>G544</f>
        <v>4749.3999999999996</v>
      </c>
      <c r="L543" s="343"/>
    </row>
    <row r="544" spans="1:12" s="344" customFormat="1" ht="34.5" customHeight="1" x14ac:dyDescent="0.25">
      <c r="A544" s="345" t="s">
        <v>191</v>
      </c>
      <c r="B544" s="346" t="s">
        <v>187</v>
      </c>
      <c r="C544" s="346" t="s">
        <v>116</v>
      </c>
      <c r="D544" s="346" t="s">
        <v>769</v>
      </c>
      <c r="E544" s="346" t="s">
        <v>192</v>
      </c>
      <c r="F544" s="295">
        <f>F545</f>
        <v>4749.3999999999996</v>
      </c>
      <c r="G544" s="295">
        <f>G545</f>
        <v>4749.3999999999996</v>
      </c>
      <c r="L544" s="343"/>
    </row>
    <row r="545" spans="1:12" s="344" customFormat="1" ht="15.75" x14ac:dyDescent="0.25">
      <c r="A545" s="345" t="s">
        <v>193</v>
      </c>
      <c r="B545" s="346" t="s">
        <v>187</v>
      </c>
      <c r="C545" s="346" t="s">
        <v>116</v>
      </c>
      <c r="D545" s="346" t="s">
        <v>769</v>
      </c>
      <c r="E545" s="346" t="s">
        <v>194</v>
      </c>
      <c r="F545" s="295">
        <f>'Пр.4.1 ведом.23-24 '!G639</f>
        <v>4749.3999999999996</v>
      </c>
      <c r="G545" s="295">
        <f>'Пр.4.1 ведом.23-24 '!H639</f>
        <v>4749.3999999999996</v>
      </c>
      <c r="L545" s="343"/>
    </row>
    <row r="546" spans="1:12" s="344" customFormat="1" ht="31.5" x14ac:dyDescent="0.25">
      <c r="A546" s="140" t="s">
        <v>513</v>
      </c>
      <c r="B546" s="299" t="s">
        <v>187</v>
      </c>
      <c r="C546" s="299" t="s">
        <v>116</v>
      </c>
      <c r="D546" s="299" t="s">
        <v>771</v>
      </c>
      <c r="E546" s="299"/>
      <c r="F546" s="294">
        <f>F547+F550+F553</f>
        <v>4142</v>
      </c>
      <c r="G546" s="294">
        <f>G547+G550+G553</f>
        <v>4142</v>
      </c>
      <c r="L546" s="343"/>
    </row>
    <row r="547" spans="1:12" s="344" customFormat="1" ht="31.5" hidden="1" x14ac:dyDescent="0.25">
      <c r="A547" s="345" t="s">
        <v>198</v>
      </c>
      <c r="B547" s="346" t="s">
        <v>187</v>
      </c>
      <c r="C547" s="346" t="s">
        <v>116</v>
      </c>
      <c r="D547" s="346" t="s">
        <v>784</v>
      </c>
      <c r="E547" s="346"/>
      <c r="F547" s="295">
        <f>F548</f>
        <v>0</v>
      </c>
      <c r="G547" s="295">
        <f>G548</f>
        <v>0</v>
      </c>
      <c r="L547" s="343"/>
    </row>
    <row r="548" spans="1:12" s="344" customFormat="1" ht="31.5" hidden="1" x14ac:dyDescent="0.25">
      <c r="A548" s="345" t="s">
        <v>191</v>
      </c>
      <c r="B548" s="346" t="s">
        <v>187</v>
      </c>
      <c r="C548" s="346" t="s">
        <v>116</v>
      </c>
      <c r="D548" s="346" t="s">
        <v>784</v>
      </c>
      <c r="E548" s="346" t="s">
        <v>192</v>
      </c>
      <c r="F548" s="295">
        <f>F549</f>
        <v>0</v>
      </c>
      <c r="G548" s="295">
        <f>G549</f>
        <v>0</v>
      </c>
      <c r="L548" s="343"/>
    </row>
    <row r="549" spans="1:12" s="344" customFormat="1" ht="15.75" hidden="1" x14ac:dyDescent="0.25">
      <c r="A549" s="345" t="s">
        <v>193</v>
      </c>
      <c r="B549" s="346" t="s">
        <v>187</v>
      </c>
      <c r="C549" s="346" t="s">
        <v>116</v>
      </c>
      <c r="D549" s="346" t="s">
        <v>784</v>
      </c>
      <c r="E549" s="346" t="s">
        <v>194</v>
      </c>
      <c r="F549" s="295">
        <f>'Пр.4 ведом.22'!G714</f>
        <v>0</v>
      </c>
      <c r="G549" s="295">
        <f>'Пр.4 ведом.22'!H714</f>
        <v>0</v>
      </c>
      <c r="L549" s="343"/>
    </row>
    <row r="550" spans="1:12" s="344" customFormat="1" ht="31.5" x14ac:dyDescent="0.25">
      <c r="A550" s="36" t="s">
        <v>342</v>
      </c>
      <c r="B550" s="346" t="s">
        <v>187</v>
      </c>
      <c r="C550" s="346" t="s">
        <v>116</v>
      </c>
      <c r="D550" s="346" t="s">
        <v>772</v>
      </c>
      <c r="E550" s="346"/>
      <c r="F550" s="295">
        <f>F551</f>
        <v>2882</v>
      </c>
      <c r="G550" s="295">
        <f>G551</f>
        <v>2882</v>
      </c>
      <c r="L550" s="343"/>
    </row>
    <row r="551" spans="1:12" ht="31.5" x14ac:dyDescent="0.25">
      <c r="A551" s="20" t="s">
        <v>191</v>
      </c>
      <c r="B551" s="346" t="s">
        <v>187</v>
      </c>
      <c r="C551" s="346" t="s">
        <v>116</v>
      </c>
      <c r="D551" s="346" t="s">
        <v>772</v>
      </c>
      <c r="E551" s="346" t="s">
        <v>192</v>
      </c>
      <c r="F551" s="295">
        <f>F552</f>
        <v>2882</v>
      </c>
      <c r="G551" s="295">
        <f>G552</f>
        <v>2882</v>
      </c>
    </row>
    <row r="552" spans="1:12" ht="15.75" x14ac:dyDescent="0.25">
      <c r="A552" s="108" t="s">
        <v>193</v>
      </c>
      <c r="B552" s="346" t="s">
        <v>187</v>
      </c>
      <c r="C552" s="346" t="s">
        <v>116</v>
      </c>
      <c r="D552" s="346" t="s">
        <v>772</v>
      </c>
      <c r="E552" s="346" t="s">
        <v>194</v>
      </c>
      <c r="F552" s="295">
        <f>'Пр.4.1 ведом.23-24 '!G646</f>
        <v>2882</v>
      </c>
      <c r="G552" s="295">
        <f>'Пр.4.1 ведом.23-24 '!H646</f>
        <v>2882</v>
      </c>
    </row>
    <row r="553" spans="1:12" ht="47.25" x14ac:dyDescent="0.25">
      <c r="A553" s="36" t="s">
        <v>343</v>
      </c>
      <c r="B553" s="346" t="s">
        <v>187</v>
      </c>
      <c r="C553" s="346" t="s">
        <v>116</v>
      </c>
      <c r="D553" s="346" t="s">
        <v>773</v>
      </c>
      <c r="E553" s="346"/>
      <c r="F553" s="295">
        <f>F554</f>
        <v>1260</v>
      </c>
      <c r="G553" s="295">
        <f>G554</f>
        <v>1260</v>
      </c>
    </row>
    <row r="554" spans="1:12" ht="31.5" x14ac:dyDescent="0.25">
      <c r="A554" s="20" t="s">
        <v>191</v>
      </c>
      <c r="B554" s="346" t="s">
        <v>187</v>
      </c>
      <c r="C554" s="346" t="s">
        <v>116</v>
      </c>
      <c r="D554" s="346" t="s">
        <v>773</v>
      </c>
      <c r="E554" s="346" t="s">
        <v>192</v>
      </c>
      <c r="F554" s="295">
        <f>F555</f>
        <v>1260</v>
      </c>
      <c r="G554" s="295">
        <f>G555</f>
        <v>1260</v>
      </c>
    </row>
    <row r="555" spans="1:12" ht="15.75" x14ac:dyDescent="0.25">
      <c r="A555" s="108" t="s">
        <v>193</v>
      </c>
      <c r="B555" s="346" t="s">
        <v>187</v>
      </c>
      <c r="C555" s="346" t="s">
        <v>116</v>
      </c>
      <c r="D555" s="346" t="s">
        <v>773</v>
      </c>
      <c r="E555" s="346" t="s">
        <v>194</v>
      </c>
      <c r="F555" s="295">
        <f>'Пр.4.1 ведом.23-24 '!G649</f>
        <v>1260</v>
      </c>
      <c r="G555" s="295">
        <f>'Пр.4.1 ведом.23-24 '!H649</f>
        <v>1260</v>
      </c>
    </row>
    <row r="556" spans="1:12" ht="31.5" x14ac:dyDescent="0.25">
      <c r="A556" s="298" t="s">
        <v>1117</v>
      </c>
      <c r="B556" s="299" t="s">
        <v>187</v>
      </c>
      <c r="C556" s="299" t="s">
        <v>116</v>
      </c>
      <c r="D556" s="299" t="s">
        <v>774</v>
      </c>
      <c r="E556" s="299"/>
      <c r="F556" s="294">
        <f t="shared" ref="F556:G558" si="93">F557</f>
        <v>189.9</v>
      </c>
      <c r="G556" s="294">
        <f t="shared" si="93"/>
        <v>196.79999999999998</v>
      </c>
      <c r="H556" s="71"/>
    </row>
    <row r="557" spans="1:12" ht="31.5" x14ac:dyDescent="0.25">
      <c r="A557" s="345" t="s">
        <v>1118</v>
      </c>
      <c r="B557" s="346" t="s">
        <v>187</v>
      </c>
      <c r="C557" s="346" t="s">
        <v>116</v>
      </c>
      <c r="D557" s="346" t="s">
        <v>1119</v>
      </c>
      <c r="E557" s="346"/>
      <c r="F557" s="295">
        <f t="shared" si="93"/>
        <v>189.9</v>
      </c>
      <c r="G557" s="295">
        <f t="shared" si="93"/>
        <v>196.79999999999998</v>
      </c>
      <c r="H557" s="71"/>
    </row>
    <row r="558" spans="1:12" ht="31.5" x14ac:dyDescent="0.25">
      <c r="A558" s="20" t="s">
        <v>191</v>
      </c>
      <c r="B558" s="346" t="s">
        <v>187</v>
      </c>
      <c r="C558" s="346" t="s">
        <v>116</v>
      </c>
      <c r="D558" s="346" t="s">
        <v>1119</v>
      </c>
      <c r="E558" s="346" t="s">
        <v>192</v>
      </c>
      <c r="F558" s="295">
        <f t="shared" si="93"/>
        <v>189.9</v>
      </c>
      <c r="G558" s="295">
        <f t="shared" si="93"/>
        <v>196.79999999999998</v>
      </c>
      <c r="H558" s="71"/>
    </row>
    <row r="559" spans="1:12" ht="15.75" x14ac:dyDescent="0.25">
      <c r="A559" s="108" t="s">
        <v>193</v>
      </c>
      <c r="B559" s="346" t="s">
        <v>187</v>
      </c>
      <c r="C559" s="346" t="s">
        <v>116</v>
      </c>
      <c r="D559" s="346" t="s">
        <v>1119</v>
      </c>
      <c r="E559" s="346" t="s">
        <v>194</v>
      </c>
      <c r="F559" s="295">
        <f>'Пр.4.1 ведом.23-24 '!G653</f>
        <v>189.9</v>
      </c>
      <c r="G559" s="295">
        <f>'Пр.4.1 ведом.23-24 '!H653</f>
        <v>196.79999999999998</v>
      </c>
      <c r="H559" s="71"/>
    </row>
    <row r="560" spans="1:12" ht="94.5" x14ac:dyDescent="0.25">
      <c r="A560" s="298" t="s">
        <v>715</v>
      </c>
      <c r="B560" s="299" t="s">
        <v>187</v>
      </c>
      <c r="C560" s="299" t="s">
        <v>116</v>
      </c>
      <c r="D560" s="299" t="s">
        <v>775</v>
      </c>
      <c r="E560" s="299"/>
      <c r="F560" s="297">
        <f t="shared" ref="F560:G562" si="94">F561</f>
        <v>701.07999999999993</v>
      </c>
      <c r="G560" s="297">
        <f t="shared" si="94"/>
        <v>701.07999999999993</v>
      </c>
    </row>
    <row r="561" spans="1:7" ht="94.5" x14ac:dyDescent="0.25">
      <c r="A561" s="96" t="s">
        <v>969</v>
      </c>
      <c r="B561" s="346" t="s">
        <v>187</v>
      </c>
      <c r="C561" s="346" t="s">
        <v>116</v>
      </c>
      <c r="D561" s="346" t="s">
        <v>776</v>
      </c>
      <c r="E561" s="346"/>
      <c r="F561" s="300">
        <f t="shared" si="94"/>
        <v>701.07999999999993</v>
      </c>
      <c r="G561" s="300">
        <f t="shared" si="94"/>
        <v>701.07999999999993</v>
      </c>
    </row>
    <row r="562" spans="1:7" ht="31.5" x14ac:dyDescent="0.25">
      <c r="A562" s="345" t="s">
        <v>191</v>
      </c>
      <c r="B562" s="346" t="s">
        <v>187</v>
      </c>
      <c r="C562" s="346" t="s">
        <v>116</v>
      </c>
      <c r="D562" s="346" t="s">
        <v>776</v>
      </c>
      <c r="E562" s="346" t="s">
        <v>192</v>
      </c>
      <c r="F562" s="300">
        <f t="shared" si="94"/>
        <v>701.07999999999993</v>
      </c>
      <c r="G562" s="300">
        <f t="shared" si="94"/>
        <v>701.07999999999993</v>
      </c>
    </row>
    <row r="563" spans="1:7" ht="15.75" x14ac:dyDescent="0.25">
      <c r="A563" s="345" t="s">
        <v>193</v>
      </c>
      <c r="B563" s="346" t="s">
        <v>187</v>
      </c>
      <c r="C563" s="346" t="s">
        <v>116</v>
      </c>
      <c r="D563" s="346" t="s">
        <v>776</v>
      </c>
      <c r="E563" s="346" t="s">
        <v>194</v>
      </c>
      <c r="F563" s="300">
        <f>'Пр.4.1 ведом.23-24 '!G657</f>
        <v>701.07999999999993</v>
      </c>
      <c r="G563" s="300">
        <f>'Пр.4.1 ведом.23-24 '!H657</f>
        <v>701.07999999999993</v>
      </c>
    </row>
    <row r="564" spans="1:7" ht="31.5" hidden="1" x14ac:dyDescent="0.25">
      <c r="A564" s="195" t="s">
        <v>1034</v>
      </c>
      <c r="B564" s="299" t="s">
        <v>187</v>
      </c>
      <c r="C564" s="299" t="s">
        <v>116</v>
      </c>
      <c r="D564" s="299" t="s">
        <v>1036</v>
      </c>
      <c r="E564" s="299"/>
      <c r="F564" s="297">
        <f t="shared" ref="F564:G566" si="95">F565</f>
        <v>0</v>
      </c>
      <c r="G564" s="297">
        <f t="shared" si="95"/>
        <v>0</v>
      </c>
    </row>
    <row r="565" spans="1:7" ht="31.5" hidden="1" x14ac:dyDescent="0.25">
      <c r="A565" s="194" t="s">
        <v>1035</v>
      </c>
      <c r="B565" s="346" t="s">
        <v>187</v>
      </c>
      <c r="C565" s="346" t="s">
        <v>116</v>
      </c>
      <c r="D565" s="346" t="s">
        <v>1037</v>
      </c>
      <c r="E565" s="346"/>
      <c r="F565" s="300">
        <f t="shared" si="95"/>
        <v>0</v>
      </c>
      <c r="G565" s="300">
        <f t="shared" si="95"/>
        <v>0</v>
      </c>
    </row>
    <row r="566" spans="1:7" ht="31.5" hidden="1" x14ac:dyDescent="0.25">
      <c r="A566" s="22" t="s">
        <v>191</v>
      </c>
      <c r="B566" s="346" t="s">
        <v>187</v>
      </c>
      <c r="C566" s="346" t="s">
        <v>116</v>
      </c>
      <c r="D566" s="346" t="s">
        <v>1037</v>
      </c>
      <c r="E566" s="346" t="s">
        <v>192</v>
      </c>
      <c r="F566" s="300">
        <f t="shared" si="95"/>
        <v>0</v>
      </c>
      <c r="G566" s="300">
        <f t="shared" si="95"/>
        <v>0</v>
      </c>
    </row>
    <row r="567" spans="1:7" ht="15.75" hidden="1" x14ac:dyDescent="0.25">
      <c r="A567" s="22" t="s">
        <v>193</v>
      </c>
      <c r="B567" s="346" t="s">
        <v>187</v>
      </c>
      <c r="C567" s="346" t="s">
        <v>116</v>
      </c>
      <c r="D567" s="346" t="s">
        <v>1037</v>
      </c>
      <c r="E567" s="346" t="s">
        <v>194</v>
      </c>
      <c r="F567" s="300">
        <f>'Пр.4 ведом.22'!G738</f>
        <v>0</v>
      </c>
      <c r="G567" s="300">
        <f>'Пр.4 ведом.22'!H738</f>
        <v>0</v>
      </c>
    </row>
    <row r="568" spans="1:7" ht="47.25" hidden="1" x14ac:dyDescent="0.25">
      <c r="A568" s="195" t="s">
        <v>1038</v>
      </c>
      <c r="B568" s="299" t="s">
        <v>187</v>
      </c>
      <c r="C568" s="299" t="s">
        <v>116</v>
      </c>
      <c r="D568" s="299" t="s">
        <v>1041</v>
      </c>
      <c r="E568" s="299"/>
      <c r="F568" s="297">
        <f t="shared" ref="F568:G570" si="96">F569</f>
        <v>0</v>
      </c>
      <c r="G568" s="297">
        <f t="shared" si="96"/>
        <v>0</v>
      </c>
    </row>
    <row r="569" spans="1:7" ht="47.25" hidden="1" x14ac:dyDescent="0.25">
      <c r="A569" s="194" t="s">
        <v>1039</v>
      </c>
      <c r="B569" s="346" t="s">
        <v>187</v>
      </c>
      <c r="C569" s="346" t="s">
        <v>116</v>
      </c>
      <c r="D569" s="346" t="s">
        <v>1040</v>
      </c>
      <c r="E569" s="346"/>
      <c r="F569" s="300">
        <f t="shared" si="96"/>
        <v>0</v>
      </c>
      <c r="G569" s="300">
        <f t="shared" si="96"/>
        <v>0</v>
      </c>
    </row>
    <row r="570" spans="1:7" ht="31.5" hidden="1" x14ac:dyDescent="0.25">
      <c r="A570" s="22" t="s">
        <v>191</v>
      </c>
      <c r="B570" s="346" t="s">
        <v>187</v>
      </c>
      <c r="C570" s="346" t="s">
        <v>116</v>
      </c>
      <c r="D570" s="346" t="s">
        <v>1040</v>
      </c>
      <c r="E570" s="346" t="s">
        <v>192</v>
      </c>
      <c r="F570" s="300">
        <f t="shared" si="96"/>
        <v>0</v>
      </c>
      <c r="G570" s="300">
        <f t="shared" si="96"/>
        <v>0</v>
      </c>
    </row>
    <row r="571" spans="1:7" ht="15.75" hidden="1" x14ac:dyDescent="0.25">
      <c r="A571" s="22" t="s">
        <v>193</v>
      </c>
      <c r="B571" s="346" t="s">
        <v>187</v>
      </c>
      <c r="C571" s="346" t="s">
        <v>116</v>
      </c>
      <c r="D571" s="346" t="s">
        <v>1040</v>
      </c>
      <c r="E571" s="346" t="s">
        <v>194</v>
      </c>
      <c r="F571" s="300">
        <f>'Пр.4 ведом.22'!G742</f>
        <v>0</v>
      </c>
      <c r="G571" s="300">
        <f>'Пр.4 ведом.22'!H742</f>
        <v>0</v>
      </c>
    </row>
    <row r="572" spans="1:7" ht="53.65" customHeight="1" x14ac:dyDescent="0.25">
      <c r="A572" s="24" t="s">
        <v>860</v>
      </c>
      <c r="B572" s="299" t="s">
        <v>187</v>
      </c>
      <c r="C572" s="299" t="s">
        <v>116</v>
      </c>
      <c r="D572" s="299" t="s">
        <v>206</v>
      </c>
      <c r="E572" s="299"/>
      <c r="F572" s="294">
        <f t="shared" ref="F572:G574" si="97">F573</f>
        <v>80</v>
      </c>
      <c r="G572" s="294">
        <f t="shared" si="97"/>
        <v>25</v>
      </c>
    </row>
    <row r="573" spans="1:7" ht="63" x14ac:dyDescent="0.25">
      <c r="A573" s="24" t="s">
        <v>570</v>
      </c>
      <c r="B573" s="299" t="s">
        <v>187</v>
      </c>
      <c r="C573" s="299" t="s">
        <v>116</v>
      </c>
      <c r="D573" s="299" t="s">
        <v>502</v>
      </c>
      <c r="E573" s="299"/>
      <c r="F573" s="294">
        <f t="shared" si="97"/>
        <v>80</v>
      </c>
      <c r="G573" s="294">
        <f t="shared" si="97"/>
        <v>25</v>
      </c>
    </row>
    <row r="574" spans="1:7" ht="47.25" x14ac:dyDescent="0.25">
      <c r="A574" s="22" t="s">
        <v>569</v>
      </c>
      <c r="B574" s="346" t="s">
        <v>187</v>
      </c>
      <c r="C574" s="346" t="s">
        <v>116</v>
      </c>
      <c r="D574" s="346" t="s">
        <v>503</v>
      </c>
      <c r="E574" s="346"/>
      <c r="F574" s="295">
        <f t="shared" si="97"/>
        <v>80</v>
      </c>
      <c r="G574" s="295">
        <f t="shared" si="97"/>
        <v>25</v>
      </c>
    </row>
    <row r="575" spans="1:7" ht="31.5" x14ac:dyDescent="0.25">
      <c r="A575" s="22" t="s">
        <v>191</v>
      </c>
      <c r="B575" s="346" t="s">
        <v>187</v>
      </c>
      <c r="C575" s="346" t="s">
        <v>116</v>
      </c>
      <c r="D575" s="346" t="s">
        <v>503</v>
      </c>
      <c r="E575" s="346" t="s">
        <v>192</v>
      </c>
      <c r="F575" s="295">
        <f t="shared" ref="F575:G575" si="98">F576</f>
        <v>80</v>
      </c>
      <c r="G575" s="295">
        <f t="shared" si="98"/>
        <v>25</v>
      </c>
    </row>
    <row r="576" spans="1:7" ht="15.75" x14ac:dyDescent="0.25">
      <c r="A576" s="22" t="s">
        <v>193</v>
      </c>
      <c r="B576" s="346" t="s">
        <v>187</v>
      </c>
      <c r="C576" s="346" t="s">
        <v>116</v>
      </c>
      <c r="D576" s="346" t="s">
        <v>503</v>
      </c>
      <c r="E576" s="346" t="s">
        <v>194</v>
      </c>
      <c r="F576" s="295">
        <f>'Пр.4.1 ведом.23-24 '!G673</f>
        <v>80</v>
      </c>
      <c r="G576" s="295">
        <f>'Пр.4.1 ведом.23-24 '!H673</f>
        <v>25</v>
      </c>
    </row>
    <row r="577" spans="1:8" ht="47.25" x14ac:dyDescent="0.25">
      <c r="A577" s="340" t="s">
        <v>856</v>
      </c>
      <c r="B577" s="299" t="s">
        <v>187</v>
      </c>
      <c r="C577" s="299" t="s">
        <v>116</v>
      </c>
      <c r="D577" s="299" t="s">
        <v>339</v>
      </c>
      <c r="E577" s="304"/>
      <c r="F577" s="294">
        <f>F578</f>
        <v>571.79999999999995</v>
      </c>
      <c r="G577" s="294">
        <f>G578</f>
        <v>571.79999999999995</v>
      </c>
    </row>
    <row r="578" spans="1:8" ht="47.25" x14ac:dyDescent="0.25">
      <c r="A578" s="340" t="s">
        <v>461</v>
      </c>
      <c r="B578" s="299" t="s">
        <v>187</v>
      </c>
      <c r="C578" s="299" t="s">
        <v>116</v>
      </c>
      <c r="D578" s="299" t="s">
        <v>459</v>
      </c>
      <c r="E578" s="304"/>
      <c r="F578" s="294">
        <f t="shared" ref="F578:G579" si="99">F579</f>
        <v>571.79999999999995</v>
      </c>
      <c r="G578" s="294">
        <f t="shared" si="99"/>
        <v>571.79999999999995</v>
      </c>
    </row>
    <row r="579" spans="1:8" ht="47.25" x14ac:dyDescent="0.25">
      <c r="A579" s="67" t="s">
        <v>357</v>
      </c>
      <c r="B579" s="346" t="s">
        <v>187</v>
      </c>
      <c r="C579" s="346" t="s">
        <v>116</v>
      </c>
      <c r="D579" s="346" t="s">
        <v>504</v>
      </c>
      <c r="E579" s="301"/>
      <c r="F579" s="295">
        <f t="shared" si="99"/>
        <v>571.79999999999995</v>
      </c>
      <c r="G579" s="295">
        <f t="shared" si="99"/>
        <v>571.79999999999995</v>
      </c>
    </row>
    <row r="580" spans="1:8" ht="31.5" x14ac:dyDescent="0.25">
      <c r="A580" s="20" t="s">
        <v>191</v>
      </c>
      <c r="B580" s="346" t="s">
        <v>187</v>
      </c>
      <c r="C580" s="346" t="s">
        <v>116</v>
      </c>
      <c r="D580" s="346" t="s">
        <v>504</v>
      </c>
      <c r="E580" s="301" t="s">
        <v>192</v>
      </c>
      <c r="F580" s="295">
        <f>F581</f>
        <v>571.79999999999995</v>
      </c>
      <c r="G580" s="295">
        <f>G581</f>
        <v>571.79999999999995</v>
      </c>
    </row>
    <row r="581" spans="1:8" ht="24.75" customHeight="1" x14ac:dyDescent="0.25">
      <c r="A581" s="108" t="s">
        <v>193</v>
      </c>
      <c r="B581" s="346" t="s">
        <v>187</v>
      </c>
      <c r="C581" s="346" t="s">
        <v>116</v>
      </c>
      <c r="D581" s="346" t="s">
        <v>504</v>
      </c>
      <c r="E581" s="301" t="s">
        <v>194</v>
      </c>
      <c r="F581" s="295">
        <f>'Пр.4.1 ведом.23-24 '!G678</f>
        <v>571.79999999999995</v>
      </c>
      <c r="G581" s="295">
        <f>'Пр.4.1 ведом.23-24 '!H678</f>
        <v>571.79999999999995</v>
      </c>
    </row>
    <row r="582" spans="1:8" ht="15.75" x14ac:dyDescent="0.25">
      <c r="A582" s="340" t="s">
        <v>239</v>
      </c>
      <c r="B582" s="6" t="s">
        <v>187</v>
      </c>
      <c r="C582" s="6" t="s">
        <v>158</v>
      </c>
      <c r="D582" s="6"/>
      <c r="E582" s="6"/>
      <c r="F582" s="294">
        <f>F583+F661+F666</f>
        <v>202665.56</v>
      </c>
      <c r="G582" s="294">
        <f>G583+G661+G666</f>
        <v>164386.26</v>
      </c>
      <c r="H582" s="71"/>
    </row>
    <row r="583" spans="1:8" ht="34.700000000000003" customHeight="1" x14ac:dyDescent="0.25">
      <c r="A583" s="298" t="s">
        <v>861</v>
      </c>
      <c r="B583" s="299" t="s">
        <v>187</v>
      </c>
      <c r="C583" s="299" t="s">
        <v>158</v>
      </c>
      <c r="D583" s="299" t="s">
        <v>237</v>
      </c>
      <c r="E583" s="299"/>
      <c r="F583" s="294">
        <f>F584+F588+F601+F614+F621+F625+F629+F633+F637+F653+F649+F641+F645+F657</f>
        <v>201734.72</v>
      </c>
      <c r="G583" s="294">
        <f>G584+G588+G601+G614+G621+G625+G629+G633+G637+G653+G649+G641+G645+G657</f>
        <v>163455.42000000001</v>
      </c>
    </row>
    <row r="584" spans="1:8" ht="31.5" x14ac:dyDescent="0.25">
      <c r="A584" s="298" t="s">
        <v>505</v>
      </c>
      <c r="B584" s="299" t="s">
        <v>187</v>
      </c>
      <c r="C584" s="299" t="s">
        <v>158</v>
      </c>
      <c r="D584" s="299" t="s">
        <v>764</v>
      </c>
      <c r="E584" s="299"/>
      <c r="F584" s="294">
        <f>F585</f>
        <v>30618.400000000001</v>
      </c>
      <c r="G584" s="294">
        <f>G585</f>
        <v>30618.400000000001</v>
      </c>
    </row>
    <row r="585" spans="1:8" ht="47.25" x14ac:dyDescent="0.25">
      <c r="A585" s="345" t="s">
        <v>767</v>
      </c>
      <c r="B585" s="346" t="s">
        <v>187</v>
      </c>
      <c r="C585" s="346" t="s">
        <v>158</v>
      </c>
      <c r="D585" s="346" t="s">
        <v>778</v>
      </c>
      <c r="E585" s="346"/>
      <c r="F585" s="246">
        <f t="shared" ref="F585:G585" si="100">F586</f>
        <v>30618.400000000001</v>
      </c>
      <c r="G585" s="246">
        <f t="shared" si="100"/>
        <v>30618.400000000001</v>
      </c>
    </row>
    <row r="586" spans="1:8" ht="39.75" customHeight="1" x14ac:dyDescent="0.25">
      <c r="A586" s="345" t="s">
        <v>191</v>
      </c>
      <c r="B586" s="346" t="s">
        <v>187</v>
      </c>
      <c r="C586" s="346" t="s">
        <v>158</v>
      </c>
      <c r="D586" s="346" t="s">
        <v>778</v>
      </c>
      <c r="E586" s="346" t="s">
        <v>192</v>
      </c>
      <c r="F586" s="246">
        <f>F587</f>
        <v>30618.400000000001</v>
      </c>
      <c r="G586" s="246">
        <f>G587</f>
        <v>30618.400000000001</v>
      </c>
    </row>
    <row r="587" spans="1:8" ht="15.75" x14ac:dyDescent="0.25">
      <c r="A587" s="345" t="s">
        <v>193</v>
      </c>
      <c r="B587" s="346" t="s">
        <v>187</v>
      </c>
      <c r="C587" s="346" t="s">
        <v>158</v>
      </c>
      <c r="D587" s="346" t="s">
        <v>778</v>
      </c>
      <c r="E587" s="346" t="s">
        <v>194</v>
      </c>
      <c r="F587" s="295">
        <f>'Пр.4.1 ведом.23-24 '!G684</f>
        <v>30618.400000000001</v>
      </c>
      <c r="G587" s="295">
        <f>'Пр.4.1 ведом.23-24 '!H684</f>
        <v>30618.400000000001</v>
      </c>
    </row>
    <row r="588" spans="1:8" ht="48.95" customHeight="1" x14ac:dyDescent="0.25">
      <c r="A588" s="298" t="s">
        <v>469</v>
      </c>
      <c r="B588" s="299" t="s">
        <v>187</v>
      </c>
      <c r="C588" s="299" t="s">
        <v>158</v>
      </c>
      <c r="D588" s="299" t="s">
        <v>766</v>
      </c>
      <c r="E588" s="299"/>
      <c r="F588" s="294">
        <f>F589+F592+F595+F598</f>
        <v>154802.51</v>
      </c>
      <c r="G588" s="294">
        <f>G589+G592+G595+G598</f>
        <v>118711.51</v>
      </c>
    </row>
    <row r="589" spans="1:8" ht="67.7" customHeight="1" x14ac:dyDescent="0.25">
      <c r="A589" s="345" t="s">
        <v>887</v>
      </c>
      <c r="B589" s="346" t="s">
        <v>187</v>
      </c>
      <c r="C589" s="346" t="s">
        <v>158</v>
      </c>
      <c r="D589" s="346" t="s">
        <v>888</v>
      </c>
      <c r="E589" s="346"/>
      <c r="F589" s="18">
        <f>F590</f>
        <v>7421.4</v>
      </c>
      <c r="G589" s="18">
        <f>G590</f>
        <v>7421.4</v>
      </c>
    </row>
    <row r="590" spans="1:8" ht="36.75" customHeight="1" x14ac:dyDescent="0.25">
      <c r="A590" s="345" t="s">
        <v>191</v>
      </c>
      <c r="B590" s="346" t="s">
        <v>187</v>
      </c>
      <c r="C590" s="346" t="s">
        <v>158</v>
      </c>
      <c r="D590" s="346" t="s">
        <v>888</v>
      </c>
      <c r="E590" s="346" t="s">
        <v>192</v>
      </c>
      <c r="F590" s="18">
        <f>F591</f>
        <v>7421.4</v>
      </c>
      <c r="G590" s="18">
        <f>G591</f>
        <v>7421.4</v>
      </c>
    </row>
    <row r="591" spans="1:8" ht="17.649999999999999" customHeight="1" x14ac:dyDescent="0.25">
      <c r="A591" s="345" t="s">
        <v>193</v>
      </c>
      <c r="B591" s="346" t="s">
        <v>187</v>
      </c>
      <c r="C591" s="346" t="s">
        <v>158</v>
      </c>
      <c r="D591" s="346" t="s">
        <v>888</v>
      </c>
      <c r="E591" s="346" t="s">
        <v>194</v>
      </c>
      <c r="F591" s="18">
        <f>'Пр.4.1 ведом.23-24 '!G688</f>
        <v>7421.4</v>
      </c>
      <c r="G591" s="18">
        <f>'Пр.4.1 ведом.23-24 '!H688</f>
        <v>7421.4</v>
      </c>
    </row>
    <row r="592" spans="1:8" ht="95.1" customHeight="1" x14ac:dyDescent="0.25">
      <c r="A592" s="22" t="s">
        <v>245</v>
      </c>
      <c r="B592" s="346" t="s">
        <v>187</v>
      </c>
      <c r="C592" s="346" t="s">
        <v>158</v>
      </c>
      <c r="D592" s="346" t="s">
        <v>885</v>
      </c>
      <c r="E592" s="346"/>
      <c r="F592" s="295">
        <f>F593</f>
        <v>5001</v>
      </c>
      <c r="G592" s="295">
        <f>G593</f>
        <v>5001</v>
      </c>
    </row>
    <row r="593" spans="1:7" ht="40.15" customHeight="1" x14ac:dyDescent="0.25">
      <c r="A593" s="345" t="s">
        <v>191</v>
      </c>
      <c r="B593" s="346" t="s">
        <v>187</v>
      </c>
      <c r="C593" s="346" t="s">
        <v>158</v>
      </c>
      <c r="D593" s="346" t="s">
        <v>885</v>
      </c>
      <c r="E593" s="346" t="s">
        <v>192</v>
      </c>
      <c r="F593" s="295">
        <f>F594</f>
        <v>5001</v>
      </c>
      <c r="G593" s="295">
        <f>G594</f>
        <v>5001</v>
      </c>
    </row>
    <row r="594" spans="1:7" ht="17.100000000000001" customHeight="1" x14ac:dyDescent="0.25">
      <c r="A594" s="345" t="s">
        <v>193</v>
      </c>
      <c r="B594" s="346" t="s">
        <v>187</v>
      </c>
      <c r="C594" s="346" t="s">
        <v>158</v>
      </c>
      <c r="D594" s="346" t="s">
        <v>885</v>
      </c>
      <c r="E594" s="346" t="s">
        <v>194</v>
      </c>
      <c r="F594" s="295">
        <f>'Пр.4.1 ведом.23-24 '!G691</f>
        <v>5001</v>
      </c>
      <c r="G594" s="295">
        <f>'Пр.4.1 ведом.23-24 '!H691</f>
        <v>5001</v>
      </c>
    </row>
    <row r="595" spans="1:7" ht="47.25" x14ac:dyDescent="0.25">
      <c r="A595" s="22" t="s">
        <v>244</v>
      </c>
      <c r="B595" s="346" t="s">
        <v>187</v>
      </c>
      <c r="C595" s="346" t="s">
        <v>158</v>
      </c>
      <c r="D595" s="346" t="s">
        <v>779</v>
      </c>
      <c r="E595" s="346"/>
      <c r="F595" s="295">
        <f>F596</f>
        <v>909.3</v>
      </c>
      <c r="G595" s="295">
        <f>G596</f>
        <v>909.3</v>
      </c>
    </row>
    <row r="596" spans="1:7" ht="36" customHeight="1" x14ac:dyDescent="0.25">
      <c r="A596" s="345" t="s">
        <v>191</v>
      </c>
      <c r="B596" s="346" t="s">
        <v>187</v>
      </c>
      <c r="C596" s="346" t="s">
        <v>158</v>
      </c>
      <c r="D596" s="346" t="s">
        <v>779</v>
      </c>
      <c r="E596" s="346" t="s">
        <v>192</v>
      </c>
      <c r="F596" s="295">
        <f t="shared" ref="F596:G596" si="101">F597</f>
        <v>909.3</v>
      </c>
      <c r="G596" s="295">
        <f t="shared" si="101"/>
        <v>909.3</v>
      </c>
    </row>
    <row r="597" spans="1:7" ht="15.75" x14ac:dyDescent="0.25">
      <c r="A597" s="345" t="s">
        <v>193</v>
      </c>
      <c r="B597" s="346" t="s">
        <v>187</v>
      </c>
      <c r="C597" s="346" t="s">
        <v>158</v>
      </c>
      <c r="D597" s="346" t="s">
        <v>779</v>
      </c>
      <c r="E597" s="346" t="s">
        <v>194</v>
      </c>
      <c r="F597" s="295">
        <f>'Пр.4.1 ведом.23-24 '!G694</f>
        <v>909.3</v>
      </c>
      <c r="G597" s="295">
        <f>'Пр.4.1 ведом.23-24 '!H694</f>
        <v>909.3</v>
      </c>
    </row>
    <row r="598" spans="1:7" ht="47.25" x14ac:dyDescent="0.25">
      <c r="A598" s="345" t="s">
        <v>1165</v>
      </c>
      <c r="B598" s="346" t="s">
        <v>187</v>
      </c>
      <c r="C598" s="346" t="s">
        <v>158</v>
      </c>
      <c r="D598" s="346" t="s">
        <v>1166</v>
      </c>
      <c r="E598" s="346"/>
      <c r="F598" s="295">
        <f>F599</f>
        <v>141470.81</v>
      </c>
      <c r="G598" s="295">
        <f>G599</f>
        <v>105379.81</v>
      </c>
    </row>
    <row r="599" spans="1:7" ht="31.5" x14ac:dyDescent="0.25">
      <c r="A599" s="345" t="s">
        <v>191</v>
      </c>
      <c r="B599" s="346" t="s">
        <v>187</v>
      </c>
      <c r="C599" s="346" t="s">
        <v>158</v>
      </c>
      <c r="D599" s="346" t="s">
        <v>1166</v>
      </c>
      <c r="E599" s="346" t="s">
        <v>192</v>
      </c>
      <c r="F599" s="295">
        <f>F600</f>
        <v>141470.81</v>
      </c>
      <c r="G599" s="295">
        <f>G600</f>
        <v>105379.81</v>
      </c>
    </row>
    <row r="600" spans="1:7" ht="15.75" x14ac:dyDescent="0.25">
      <c r="A600" s="345" t="s">
        <v>193</v>
      </c>
      <c r="B600" s="346" t="s">
        <v>187</v>
      </c>
      <c r="C600" s="346" t="s">
        <v>158</v>
      </c>
      <c r="D600" s="346" t="s">
        <v>1166</v>
      </c>
      <c r="E600" s="346" t="s">
        <v>194</v>
      </c>
      <c r="F600" s="295">
        <f>'Пр.4.1 ведом.23-24 '!G697</f>
        <v>141470.81</v>
      </c>
      <c r="G600" s="295">
        <f>'Пр.4.1 ведом.23-24 '!H697</f>
        <v>105379.81</v>
      </c>
    </row>
    <row r="601" spans="1:7" ht="31.5" x14ac:dyDescent="0.25">
      <c r="A601" s="298" t="s">
        <v>819</v>
      </c>
      <c r="B601" s="299" t="s">
        <v>187</v>
      </c>
      <c r="C601" s="299" t="s">
        <v>158</v>
      </c>
      <c r="D601" s="299" t="s">
        <v>768</v>
      </c>
      <c r="E601" s="299"/>
      <c r="F601" s="294">
        <f>F602+F605+F608+F611</f>
        <v>208.6</v>
      </c>
      <c r="G601" s="294">
        <f>G602+G605+G608+G611</f>
        <v>208.6</v>
      </c>
    </row>
    <row r="602" spans="1:7" ht="36" hidden="1" customHeight="1" x14ac:dyDescent="0.25">
      <c r="A602" s="345" t="s">
        <v>242</v>
      </c>
      <c r="B602" s="346" t="s">
        <v>187</v>
      </c>
      <c r="C602" s="346" t="s">
        <v>158</v>
      </c>
      <c r="D602" s="346" t="s">
        <v>826</v>
      </c>
      <c r="E602" s="346"/>
      <c r="F602" s="295">
        <f t="shared" ref="F602:G602" si="102">F603</f>
        <v>0</v>
      </c>
      <c r="G602" s="295">
        <f t="shared" si="102"/>
        <v>0</v>
      </c>
    </row>
    <row r="603" spans="1:7" ht="35.450000000000003" hidden="1" customHeight="1" x14ac:dyDescent="0.25">
      <c r="A603" s="345" t="s">
        <v>191</v>
      </c>
      <c r="B603" s="346" t="s">
        <v>187</v>
      </c>
      <c r="C603" s="346" t="s">
        <v>158</v>
      </c>
      <c r="D603" s="346" t="s">
        <v>826</v>
      </c>
      <c r="E603" s="346" t="s">
        <v>192</v>
      </c>
      <c r="F603" s="295">
        <f>F604</f>
        <v>0</v>
      </c>
      <c r="G603" s="295">
        <f>G604</f>
        <v>0</v>
      </c>
    </row>
    <row r="604" spans="1:7" ht="15.75" hidden="1" x14ac:dyDescent="0.25">
      <c r="A604" s="345" t="s">
        <v>193</v>
      </c>
      <c r="B604" s="346" t="s">
        <v>187</v>
      </c>
      <c r="C604" s="346" t="s">
        <v>158</v>
      </c>
      <c r="D604" s="346" t="s">
        <v>826</v>
      </c>
      <c r="E604" s="346" t="s">
        <v>194</v>
      </c>
      <c r="F604" s="295">
        <f>'Пр.4 ведом.22'!G775</f>
        <v>0</v>
      </c>
      <c r="G604" s="295">
        <v>0</v>
      </c>
    </row>
    <row r="605" spans="1:7" ht="31.5" hidden="1" x14ac:dyDescent="0.25">
      <c r="A605" s="345" t="s">
        <v>195</v>
      </c>
      <c r="B605" s="346" t="s">
        <v>187</v>
      </c>
      <c r="C605" s="346" t="s">
        <v>158</v>
      </c>
      <c r="D605" s="346" t="s">
        <v>827</v>
      </c>
      <c r="E605" s="346"/>
      <c r="F605" s="295">
        <f t="shared" ref="F605:G605" si="103">F606</f>
        <v>0</v>
      </c>
      <c r="G605" s="295">
        <f t="shared" si="103"/>
        <v>0</v>
      </c>
    </row>
    <row r="606" spans="1:7" ht="37.5" hidden="1" customHeight="1" x14ac:dyDescent="0.25">
      <c r="A606" s="345" t="s">
        <v>191</v>
      </c>
      <c r="B606" s="346" t="s">
        <v>187</v>
      </c>
      <c r="C606" s="346" t="s">
        <v>158</v>
      </c>
      <c r="D606" s="346" t="s">
        <v>827</v>
      </c>
      <c r="E606" s="346" t="s">
        <v>192</v>
      </c>
      <c r="F606" s="295">
        <f>F607</f>
        <v>0</v>
      </c>
      <c r="G606" s="295">
        <f>G607</f>
        <v>0</v>
      </c>
    </row>
    <row r="607" spans="1:7" ht="15.75" hidden="1" x14ac:dyDescent="0.25">
      <c r="A607" s="345" t="s">
        <v>193</v>
      </c>
      <c r="B607" s="346" t="s">
        <v>187</v>
      </c>
      <c r="C607" s="346" t="s">
        <v>158</v>
      </c>
      <c r="D607" s="346" t="s">
        <v>827</v>
      </c>
      <c r="E607" s="346" t="s">
        <v>194</v>
      </c>
      <c r="F607" s="295"/>
      <c r="G607" s="295"/>
    </row>
    <row r="608" spans="1:7" ht="31.5" hidden="1" x14ac:dyDescent="0.25">
      <c r="A608" s="345" t="s">
        <v>196</v>
      </c>
      <c r="B608" s="346" t="s">
        <v>187</v>
      </c>
      <c r="C608" s="346" t="s">
        <v>158</v>
      </c>
      <c r="D608" s="346" t="s">
        <v>828</v>
      </c>
      <c r="E608" s="346"/>
      <c r="F608" s="295">
        <f t="shared" ref="F608:G608" si="104">F609</f>
        <v>0</v>
      </c>
      <c r="G608" s="295">
        <f t="shared" si="104"/>
        <v>0</v>
      </c>
    </row>
    <row r="609" spans="1:7" ht="31.7" hidden="1" customHeight="1" x14ac:dyDescent="0.25">
      <c r="A609" s="345" t="s">
        <v>191</v>
      </c>
      <c r="B609" s="346" t="s">
        <v>187</v>
      </c>
      <c r="C609" s="346" t="s">
        <v>158</v>
      </c>
      <c r="D609" s="346" t="s">
        <v>828</v>
      </c>
      <c r="E609" s="346" t="s">
        <v>192</v>
      </c>
      <c r="F609" s="295">
        <f>F610</f>
        <v>0</v>
      </c>
      <c r="G609" s="295">
        <f>G610</f>
        <v>0</v>
      </c>
    </row>
    <row r="610" spans="1:7" ht="15.75" hidden="1" x14ac:dyDescent="0.25">
      <c r="A610" s="345" t="s">
        <v>193</v>
      </c>
      <c r="B610" s="346" t="s">
        <v>187</v>
      </c>
      <c r="C610" s="346" t="s">
        <v>158</v>
      </c>
      <c r="D610" s="346" t="s">
        <v>828</v>
      </c>
      <c r="E610" s="346" t="s">
        <v>194</v>
      </c>
      <c r="F610" s="295">
        <f>'Пр.4 ведом.22'!G781</f>
        <v>0</v>
      </c>
      <c r="G610" s="295">
        <f>'Пр.4 ведом.22'!H781</f>
        <v>0</v>
      </c>
    </row>
    <row r="611" spans="1:7" ht="31.5" x14ac:dyDescent="0.25">
      <c r="A611" s="345" t="s">
        <v>197</v>
      </c>
      <c r="B611" s="346" t="s">
        <v>187</v>
      </c>
      <c r="C611" s="346" t="s">
        <v>158</v>
      </c>
      <c r="D611" s="346" t="s">
        <v>781</v>
      </c>
      <c r="E611" s="346"/>
      <c r="F611" s="295">
        <f t="shared" ref="F611:G611" si="105">F612</f>
        <v>208.6</v>
      </c>
      <c r="G611" s="295">
        <f t="shared" si="105"/>
        <v>208.6</v>
      </c>
    </row>
    <row r="612" spans="1:7" ht="36" customHeight="1" x14ac:dyDescent="0.25">
      <c r="A612" s="345" t="s">
        <v>191</v>
      </c>
      <c r="B612" s="346" t="s">
        <v>187</v>
      </c>
      <c r="C612" s="346" t="s">
        <v>158</v>
      </c>
      <c r="D612" s="346" t="s">
        <v>781</v>
      </c>
      <c r="E612" s="346" t="s">
        <v>192</v>
      </c>
      <c r="F612" s="295">
        <f>F613</f>
        <v>208.6</v>
      </c>
      <c r="G612" s="295">
        <f>G613</f>
        <v>208.6</v>
      </c>
    </row>
    <row r="613" spans="1:7" ht="15" customHeight="1" x14ac:dyDescent="0.25">
      <c r="A613" s="345" t="s">
        <v>193</v>
      </c>
      <c r="B613" s="346" t="s">
        <v>187</v>
      </c>
      <c r="C613" s="346" t="s">
        <v>158</v>
      </c>
      <c r="D613" s="346" t="s">
        <v>781</v>
      </c>
      <c r="E613" s="346" t="s">
        <v>194</v>
      </c>
      <c r="F613" s="295">
        <f>'Пр.4.1 ведом.23-24 '!G710</f>
        <v>208.6</v>
      </c>
      <c r="G613" s="295">
        <f>'Пр.4.1 ведом.23-24 '!H710</f>
        <v>208.6</v>
      </c>
    </row>
    <row r="614" spans="1:7" ht="36.75" customHeight="1" x14ac:dyDescent="0.25">
      <c r="A614" s="140" t="s">
        <v>513</v>
      </c>
      <c r="B614" s="299" t="s">
        <v>187</v>
      </c>
      <c r="C614" s="299" t="s">
        <v>158</v>
      </c>
      <c r="D614" s="299" t="s">
        <v>771</v>
      </c>
      <c r="E614" s="299"/>
      <c r="F614" s="294">
        <f>F615+F618</f>
        <v>2967</v>
      </c>
      <c r="G614" s="294">
        <f>G615+G618</f>
        <v>2967</v>
      </c>
    </row>
    <row r="615" spans="1:7" ht="34.5" hidden="1" customHeight="1" x14ac:dyDescent="0.25">
      <c r="A615" s="345" t="s">
        <v>198</v>
      </c>
      <c r="B615" s="346" t="s">
        <v>187</v>
      </c>
      <c r="C615" s="346" t="s">
        <v>158</v>
      </c>
      <c r="D615" s="346" t="s">
        <v>784</v>
      </c>
      <c r="E615" s="346"/>
      <c r="F615" s="295">
        <f>F616</f>
        <v>0</v>
      </c>
      <c r="G615" s="295">
        <f>G616</f>
        <v>0</v>
      </c>
    </row>
    <row r="616" spans="1:7" ht="41.25" hidden="1" customHeight="1" x14ac:dyDescent="0.25">
      <c r="A616" s="345" t="s">
        <v>191</v>
      </c>
      <c r="B616" s="346" t="s">
        <v>187</v>
      </c>
      <c r="C616" s="346" t="s">
        <v>158</v>
      </c>
      <c r="D616" s="346" t="s">
        <v>784</v>
      </c>
      <c r="E616" s="346" t="s">
        <v>192</v>
      </c>
      <c r="F616" s="295">
        <f>F617</f>
        <v>0</v>
      </c>
      <c r="G616" s="295">
        <f>G617</f>
        <v>0</v>
      </c>
    </row>
    <row r="617" spans="1:7" ht="15" hidden="1" customHeight="1" x14ac:dyDescent="0.25">
      <c r="A617" s="345" t="s">
        <v>193</v>
      </c>
      <c r="B617" s="346" t="s">
        <v>187</v>
      </c>
      <c r="C617" s="346" t="s">
        <v>158</v>
      </c>
      <c r="D617" s="346" t="s">
        <v>784</v>
      </c>
      <c r="E617" s="346" t="s">
        <v>194</v>
      </c>
      <c r="F617" s="295">
        <f>'Пр.4 ведом.22'!G791</f>
        <v>0</v>
      </c>
      <c r="G617" s="295">
        <f>'Пр.4 ведом.22'!H791</f>
        <v>0</v>
      </c>
    </row>
    <row r="618" spans="1:7" ht="36.75" customHeight="1" x14ac:dyDescent="0.25">
      <c r="A618" s="36" t="s">
        <v>342</v>
      </c>
      <c r="B618" s="346" t="s">
        <v>187</v>
      </c>
      <c r="C618" s="346" t="s">
        <v>158</v>
      </c>
      <c r="D618" s="346" t="s">
        <v>772</v>
      </c>
      <c r="E618" s="346"/>
      <c r="F618" s="295">
        <f>F619</f>
        <v>2967</v>
      </c>
      <c r="G618" s="295">
        <f>G619</f>
        <v>2967</v>
      </c>
    </row>
    <row r="619" spans="1:7" ht="45.75" customHeight="1" x14ac:dyDescent="0.25">
      <c r="A619" s="20" t="s">
        <v>191</v>
      </c>
      <c r="B619" s="346" t="s">
        <v>187</v>
      </c>
      <c r="C619" s="346" t="s">
        <v>158</v>
      </c>
      <c r="D619" s="346" t="s">
        <v>772</v>
      </c>
      <c r="E619" s="346" t="s">
        <v>192</v>
      </c>
      <c r="F619" s="295">
        <f>F620</f>
        <v>2967</v>
      </c>
      <c r="G619" s="295">
        <f>G620</f>
        <v>2967</v>
      </c>
    </row>
    <row r="620" spans="1:7" ht="15" customHeight="1" x14ac:dyDescent="0.25">
      <c r="A620" s="108" t="s">
        <v>193</v>
      </c>
      <c r="B620" s="346" t="s">
        <v>187</v>
      </c>
      <c r="C620" s="346" t="s">
        <v>158</v>
      </c>
      <c r="D620" s="346" t="s">
        <v>772</v>
      </c>
      <c r="E620" s="346" t="s">
        <v>194</v>
      </c>
      <c r="F620" s="295">
        <f>'Пр.4.1 ведом.23-24 '!G717</f>
        <v>2967</v>
      </c>
      <c r="G620" s="295">
        <f>'Пр.4.1 ведом.23-24 '!H717</f>
        <v>2967</v>
      </c>
    </row>
    <row r="621" spans="1:7" ht="35.450000000000003" customHeight="1" x14ac:dyDescent="0.25">
      <c r="A621" s="298" t="s">
        <v>1117</v>
      </c>
      <c r="B621" s="299" t="s">
        <v>187</v>
      </c>
      <c r="C621" s="299" t="s">
        <v>158</v>
      </c>
      <c r="D621" s="299" t="s">
        <v>774</v>
      </c>
      <c r="E621" s="299"/>
      <c r="F621" s="294">
        <f t="shared" ref="F621:G623" si="106">F622</f>
        <v>5421.41</v>
      </c>
      <c r="G621" s="294">
        <f t="shared" si="106"/>
        <v>5486.8099999999995</v>
      </c>
    </row>
    <row r="622" spans="1:7" ht="31.5" x14ac:dyDescent="0.25">
      <c r="A622" s="345" t="s">
        <v>1118</v>
      </c>
      <c r="B622" s="346" t="s">
        <v>187</v>
      </c>
      <c r="C622" s="346" t="s">
        <v>158</v>
      </c>
      <c r="D622" s="346" t="s">
        <v>1176</v>
      </c>
      <c r="E622" s="346"/>
      <c r="F622" s="295">
        <f t="shared" si="106"/>
        <v>5421.41</v>
      </c>
      <c r="G622" s="295">
        <f t="shared" si="106"/>
        <v>5486.8099999999995</v>
      </c>
    </row>
    <row r="623" spans="1:7" ht="38.25" customHeight="1" x14ac:dyDescent="0.25">
      <c r="A623" s="345" t="s">
        <v>191</v>
      </c>
      <c r="B623" s="346" t="s">
        <v>187</v>
      </c>
      <c r="C623" s="346" t="s">
        <v>158</v>
      </c>
      <c r="D623" s="346" t="s">
        <v>1176</v>
      </c>
      <c r="E623" s="346" t="s">
        <v>192</v>
      </c>
      <c r="F623" s="295">
        <f t="shared" si="106"/>
        <v>5421.41</v>
      </c>
      <c r="G623" s="295">
        <f t="shared" si="106"/>
        <v>5486.8099999999995</v>
      </c>
    </row>
    <row r="624" spans="1:7" ht="14.25" customHeight="1" x14ac:dyDescent="0.25">
      <c r="A624" s="345" t="s">
        <v>193</v>
      </c>
      <c r="B624" s="346" t="s">
        <v>187</v>
      </c>
      <c r="C624" s="346" t="s">
        <v>158</v>
      </c>
      <c r="D624" s="346" t="s">
        <v>1176</v>
      </c>
      <c r="E624" s="346" t="s">
        <v>194</v>
      </c>
      <c r="F624" s="295">
        <f>'Пр.4.1 ведом.23-24 '!G721</f>
        <v>5421.41</v>
      </c>
      <c r="G624" s="295">
        <f>'Пр.4.1 ведом.23-24 '!H721</f>
        <v>5486.8099999999995</v>
      </c>
    </row>
    <row r="625" spans="1:7" ht="32.25" hidden="1" customHeight="1" x14ac:dyDescent="0.25">
      <c r="A625" s="298" t="s">
        <v>506</v>
      </c>
      <c r="B625" s="299" t="s">
        <v>187</v>
      </c>
      <c r="C625" s="299" t="s">
        <v>158</v>
      </c>
      <c r="D625" s="299" t="s">
        <v>782</v>
      </c>
      <c r="E625" s="299"/>
      <c r="F625" s="294">
        <f t="shared" ref="F625:G627" si="107">F626</f>
        <v>0</v>
      </c>
      <c r="G625" s="294">
        <f t="shared" si="107"/>
        <v>0</v>
      </c>
    </row>
    <row r="626" spans="1:7" ht="48.75" hidden="1" customHeight="1" x14ac:dyDescent="0.25">
      <c r="A626" s="345" t="s">
        <v>241</v>
      </c>
      <c r="B626" s="346" t="s">
        <v>187</v>
      </c>
      <c r="C626" s="346" t="s">
        <v>158</v>
      </c>
      <c r="D626" s="346" t="s">
        <v>783</v>
      </c>
      <c r="E626" s="346"/>
      <c r="F626" s="295">
        <f t="shared" si="107"/>
        <v>0</v>
      </c>
      <c r="G626" s="295">
        <f t="shared" si="107"/>
        <v>0</v>
      </c>
    </row>
    <row r="627" spans="1:7" ht="37.5" hidden="1" customHeight="1" x14ac:dyDescent="0.25">
      <c r="A627" s="345" t="s">
        <v>191</v>
      </c>
      <c r="B627" s="346" t="s">
        <v>187</v>
      </c>
      <c r="C627" s="346" t="s">
        <v>158</v>
      </c>
      <c r="D627" s="346" t="s">
        <v>783</v>
      </c>
      <c r="E627" s="346" t="s">
        <v>192</v>
      </c>
      <c r="F627" s="295">
        <f t="shared" si="107"/>
        <v>0</v>
      </c>
      <c r="G627" s="295">
        <f t="shared" si="107"/>
        <v>0</v>
      </c>
    </row>
    <row r="628" spans="1:7" ht="15" hidden="1" customHeight="1" x14ac:dyDescent="0.25">
      <c r="A628" s="345" t="s">
        <v>193</v>
      </c>
      <c r="B628" s="346" t="s">
        <v>187</v>
      </c>
      <c r="C628" s="346" t="s">
        <v>158</v>
      </c>
      <c r="D628" s="346" t="s">
        <v>783</v>
      </c>
      <c r="E628" s="346" t="s">
        <v>194</v>
      </c>
      <c r="F628" s="295">
        <f>'Пр.4 ведом.22'!G802</f>
        <v>0</v>
      </c>
      <c r="G628" s="295">
        <f>'Пр.4 ведом.22'!H802</f>
        <v>0</v>
      </c>
    </row>
    <row r="629" spans="1:7" ht="31.7" hidden="1" customHeight="1" x14ac:dyDescent="0.25">
      <c r="A629" s="138" t="s">
        <v>507</v>
      </c>
      <c r="B629" s="299" t="s">
        <v>187</v>
      </c>
      <c r="C629" s="299" t="s">
        <v>158</v>
      </c>
      <c r="D629" s="299" t="s">
        <v>785</v>
      </c>
      <c r="E629" s="299"/>
      <c r="F629" s="294">
        <f>F630</f>
        <v>0</v>
      </c>
      <c r="G629" s="294">
        <f>G630</f>
        <v>0</v>
      </c>
    </row>
    <row r="630" spans="1:7" ht="51" hidden="1" customHeight="1" x14ac:dyDescent="0.25">
      <c r="A630" s="108" t="s">
        <v>403</v>
      </c>
      <c r="B630" s="346" t="s">
        <v>187</v>
      </c>
      <c r="C630" s="346" t="s">
        <v>158</v>
      </c>
      <c r="D630" s="346" t="s">
        <v>916</v>
      </c>
      <c r="E630" s="346"/>
      <c r="F630" s="295">
        <f t="shared" ref="F630:G630" si="108">F631</f>
        <v>0</v>
      </c>
      <c r="G630" s="295">
        <f t="shared" si="108"/>
        <v>0</v>
      </c>
    </row>
    <row r="631" spans="1:7" ht="33" hidden="1" customHeight="1" x14ac:dyDescent="0.25">
      <c r="A631" s="22" t="s">
        <v>191</v>
      </c>
      <c r="B631" s="346" t="s">
        <v>187</v>
      </c>
      <c r="C631" s="346" t="s">
        <v>158</v>
      </c>
      <c r="D631" s="346" t="s">
        <v>916</v>
      </c>
      <c r="E631" s="346" t="s">
        <v>192</v>
      </c>
      <c r="F631" s="295">
        <f>F632</f>
        <v>0</v>
      </c>
      <c r="G631" s="295">
        <f>G632</f>
        <v>0</v>
      </c>
    </row>
    <row r="632" spans="1:7" ht="15.75" hidden="1" x14ac:dyDescent="0.25">
      <c r="A632" s="22" t="s">
        <v>193</v>
      </c>
      <c r="B632" s="346" t="s">
        <v>187</v>
      </c>
      <c r="C632" s="346" t="s">
        <v>158</v>
      </c>
      <c r="D632" s="346" t="s">
        <v>916</v>
      </c>
      <c r="E632" s="346" t="s">
        <v>194</v>
      </c>
      <c r="F632" s="295">
        <f>'Пр.4 ведом.22'!G806</f>
        <v>0</v>
      </c>
      <c r="G632" s="295">
        <f>'Пр.4 ведом.22'!H806</f>
        <v>0</v>
      </c>
    </row>
    <row r="633" spans="1:7" ht="31.5" x14ac:dyDescent="0.25">
      <c r="A633" s="195" t="s">
        <v>900</v>
      </c>
      <c r="B633" s="299" t="s">
        <v>187</v>
      </c>
      <c r="C633" s="299" t="s">
        <v>158</v>
      </c>
      <c r="D633" s="299" t="s">
        <v>899</v>
      </c>
      <c r="E633" s="299"/>
      <c r="F633" s="297">
        <f t="shared" ref="F633:G635" si="109">F634</f>
        <v>5302.8</v>
      </c>
      <c r="G633" s="297">
        <f t="shared" si="109"/>
        <v>5463.1</v>
      </c>
    </row>
    <row r="634" spans="1:7" ht="63" x14ac:dyDescent="0.25">
      <c r="A634" s="194" t="s">
        <v>886</v>
      </c>
      <c r="B634" s="346" t="s">
        <v>187</v>
      </c>
      <c r="C634" s="346" t="s">
        <v>158</v>
      </c>
      <c r="D634" s="346" t="s">
        <v>938</v>
      </c>
      <c r="E634" s="346"/>
      <c r="F634" s="300">
        <f t="shared" si="109"/>
        <v>5302.8</v>
      </c>
      <c r="G634" s="300">
        <f t="shared" si="109"/>
        <v>5463.1</v>
      </c>
    </row>
    <row r="635" spans="1:7" ht="32.25" customHeight="1" x14ac:dyDescent="0.25">
      <c r="A635" s="22" t="s">
        <v>191</v>
      </c>
      <c r="B635" s="346" t="s">
        <v>187</v>
      </c>
      <c r="C635" s="346" t="s">
        <v>158</v>
      </c>
      <c r="D635" s="346" t="s">
        <v>938</v>
      </c>
      <c r="E635" s="346" t="s">
        <v>192</v>
      </c>
      <c r="F635" s="300">
        <f t="shared" si="109"/>
        <v>5302.8</v>
      </c>
      <c r="G635" s="300">
        <f t="shared" si="109"/>
        <v>5463.1</v>
      </c>
    </row>
    <row r="636" spans="1:7" ht="15.75" x14ac:dyDescent="0.25">
      <c r="A636" s="22" t="s">
        <v>193</v>
      </c>
      <c r="B636" s="346" t="s">
        <v>187</v>
      </c>
      <c r="C636" s="346" t="s">
        <v>158</v>
      </c>
      <c r="D636" s="346" t="s">
        <v>938</v>
      </c>
      <c r="E636" s="346" t="s">
        <v>194</v>
      </c>
      <c r="F636" s="300">
        <f>'Пр.4.1 ведом.23-24 '!G733</f>
        <v>5302.8</v>
      </c>
      <c r="G636" s="300">
        <f>'Пр.4.1 ведом.23-24 '!H733</f>
        <v>5463.1</v>
      </c>
    </row>
    <row r="637" spans="1:7" ht="31.5" x14ac:dyDescent="0.25">
      <c r="A637" s="195" t="s">
        <v>918</v>
      </c>
      <c r="B637" s="299" t="s">
        <v>187</v>
      </c>
      <c r="C637" s="299" t="s">
        <v>158</v>
      </c>
      <c r="D637" s="299" t="s">
        <v>906</v>
      </c>
      <c r="E637" s="299"/>
      <c r="F637" s="297">
        <f t="shared" ref="F637:G639" si="110">F638</f>
        <v>0</v>
      </c>
      <c r="G637" s="297">
        <f t="shared" si="110"/>
        <v>0</v>
      </c>
    </row>
    <row r="638" spans="1:7" ht="31.5" x14ac:dyDescent="0.25">
      <c r="A638" s="194" t="s">
        <v>907</v>
      </c>
      <c r="B638" s="346" t="s">
        <v>187</v>
      </c>
      <c r="C638" s="346" t="s">
        <v>158</v>
      </c>
      <c r="D638" s="346" t="s">
        <v>909</v>
      </c>
      <c r="E638" s="346"/>
      <c r="F638" s="300">
        <f t="shared" si="110"/>
        <v>0</v>
      </c>
      <c r="G638" s="300">
        <f t="shared" si="110"/>
        <v>0</v>
      </c>
    </row>
    <row r="639" spans="1:7" ht="31.5" x14ac:dyDescent="0.25">
      <c r="A639" s="22" t="s">
        <v>191</v>
      </c>
      <c r="B639" s="346" t="s">
        <v>187</v>
      </c>
      <c r="C639" s="346" t="s">
        <v>158</v>
      </c>
      <c r="D639" s="346" t="s">
        <v>909</v>
      </c>
      <c r="E639" s="346" t="s">
        <v>192</v>
      </c>
      <c r="F639" s="300">
        <f t="shared" si="110"/>
        <v>0</v>
      </c>
      <c r="G639" s="300">
        <f t="shared" si="110"/>
        <v>0</v>
      </c>
    </row>
    <row r="640" spans="1:7" ht="15.75" x14ac:dyDescent="0.25">
      <c r="A640" s="22" t="s">
        <v>193</v>
      </c>
      <c r="B640" s="346" t="s">
        <v>187</v>
      </c>
      <c r="C640" s="346" t="s">
        <v>158</v>
      </c>
      <c r="D640" s="346" t="s">
        <v>909</v>
      </c>
      <c r="E640" s="346" t="s">
        <v>194</v>
      </c>
      <c r="F640" s="300">
        <f>'Пр.4 ведом.22'!G814</f>
        <v>0</v>
      </c>
      <c r="G640" s="300">
        <f>'Пр.4 ведом.22'!H814</f>
        <v>0</v>
      </c>
    </row>
    <row r="641" spans="1:7" ht="47.25" x14ac:dyDescent="0.25">
      <c r="A641" s="195" t="s">
        <v>1022</v>
      </c>
      <c r="B641" s="299" t="s">
        <v>187</v>
      </c>
      <c r="C641" s="299" t="s">
        <v>158</v>
      </c>
      <c r="D641" s="299" t="s">
        <v>1024</v>
      </c>
      <c r="E641" s="299"/>
      <c r="F641" s="297">
        <f t="shared" ref="F641:G643" si="111">F642</f>
        <v>0</v>
      </c>
      <c r="G641" s="297">
        <f t="shared" si="111"/>
        <v>0</v>
      </c>
    </row>
    <row r="642" spans="1:7" ht="47.25" x14ac:dyDescent="0.25">
      <c r="A642" s="194" t="s">
        <v>243</v>
      </c>
      <c r="B642" s="346" t="s">
        <v>187</v>
      </c>
      <c r="C642" s="346" t="s">
        <v>158</v>
      </c>
      <c r="D642" s="346" t="s">
        <v>1024</v>
      </c>
      <c r="E642" s="346"/>
      <c r="F642" s="300">
        <f t="shared" si="111"/>
        <v>0</v>
      </c>
      <c r="G642" s="300">
        <f t="shared" si="111"/>
        <v>0</v>
      </c>
    </row>
    <row r="643" spans="1:7" ht="31.5" x14ac:dyDescent="0.25">
      <c r="A643" s="22" t="s">
        <v>191</v>
      </c>
      <c r="B643" s="346" t="s">
        <v>187</v>
      </c>
      <c r="C643" s="346" t="s">
        <v>158</v>
      </c>
      <c r="D643" s="346" t="s">
        <v>1024</v>
      </c>
      <c r="E643" s="346" t="s">
        <v>192</v>
      </c>
      <c r="F643" s="300">
        <f t="shared" si="111"/>
        <v>0</v>
      </c>
      <c r="G643" s="300">
        <f t="shared" si="111"/>
        <v>0</v>
      </c>
    </row>
    <row r="644" spans="1:7" ht="15.75" x14ac:dyDescent="0.25">
      <c r="A644" s="22" t="s">
        <v>193</v>
      </c>
      <c r="B644" s="346" t="s">
        <v>187</v>
      </c>
      <c r="C644" s="346" t="s">
        <v>158</v>
      </c>
      <c r="D644" s="346" t="s">
        <v>1024</v>
      </c>
      <c r="E644" s="346" t="s">
        <v>194</v>
      </c>
      <c r="F644" s="300">
        <f>'Пр.4 ведом.22'!G818</f>
        <v>0</v>
      </c>
      <c r="G644" s="300">
        <f>'Пр.4 ведом.22'!H818</f>
        <v>0</v>
      </c>
    </row>
    <row r="645" spans="1:7" ht="31.5" x14ac:dyDescent="0.25">
      <c r="A645" s="195" t="s">
        <v>1034</v>
      </c>
      <c r="B645" s="299" t="s">
        <v>187</v>
      </c>
      <c r="C645" s="299" t="s">
        <v>158</v>
      </c>
      <c r="D645" s="299" t="s">
        <v>1036</v>
      </c>
      <c r="E645" s="299"/>
      <c r="F645" s="297">
        <f t="shared" ref="F645:G647" si="112">F646</f>
        <v>0</v>
      </c>
      <c r="G645" s="297">
        <f t="shared" si="112"/>
        <v>0</v>
      </c>
    </row>
    <row r="646" spans="1:7" ht="31.5" x14ac:dyDescent="0.25">
      <c r="A646" s="194" t="s">
        <v>1035</v>
      </c>
      <c r="B646" s="346" t="s">
        <v>187</v>
      </c>
      <c r="C646" s="346" t="s">
        <v>158</v>
      </c>
      <c r="D646" s="346" t="s">
        <v>1037</v>
      </c>
      <c r="E646" s="346"/>
      <c r="F646" s="300">
        <f t="shared" si="112"/>
        <v>0</v>
      </c>
      <c r="G646" s="300">
        <f t="shared" si="112"/>
        <v>0</v>
      </c>
    </row>
    <row r="647" spans="1:7" ht="31.5" x14ac:dyDescent="0.25">
      <c r="A647" s="22" t="s">
        <v>191</v>
      </c>
      <c r="B647" s="346" t="s">
        <v>187</v>
      </c>
      <c r="C647" s="346" t="s">
        <v>158</v>
      </c>
      <c r="D647" s="346" t="s">
        <v>1037</v>
      </c>
      <c r="E647" s="346" t="s">
        <v>192</v>
      </c>
      <c r="F647" s="300">
        <f t="shared" si="112"/>
        <v>0</v>
      </c>
      <c r="G647" s="300">
        <f t="shared" si="112"/>
        <v>0</v>
      </c>
    </row>
    <row r="648" spans="1:7" ht="15.75" x14ac:dyDescent="0.25">
      <c r="A648" s="22" t="s">
        <v>193</v>
      </c>
      <c r="B648" s="346" t="s">
        <v>187</v>
      </c>
      <c r="C648" s="346" t="s">
        <v>158</v>
      </c>
      <c r="D648" s="346" t="s">
        <v>1037</v>
      </c>
      <c r="E648" s="346" t="s">
        <v>194</v>
      </c>
      <c r="F648" s="300">
        <f>'Пр.4 ведом.22'!G822</f>
        <v>0</v>
      </c>
      <c r="G648" s="300">
        <f>'Пр.4 ведом.22'!H822</f>
        <v>0</v>
      </c>
    </row>
    <row r="649" spans="1:7" ht="47.25" x14ac:dyDescent="0.25">
      <c r="A649" s="138" t="s">
        <v>720</v>
      </c>
      <c r="B649" s="299" t="s">
        <v>187</v>
      </c>
      <c r="C649" s="299" t="s">
        <v>158</v>
      </c>
      <c r="D649" s="299" t="s">
        <v>829</v>
      </c>
      <c r="E649" s="299"/>
      <c r="F649" s="297">
        <f t="shared" ref="F649:G651" si="113">F650</f>
        <v>0</v>
      </c>
      <c r="G649" s="297">
        <f t="shared" si="113"/>
        <v>0</v>
      </c>
    </row>
    <row r="650" spans="1:7" ht="66.599999999999994" customHeight="1" x14ac:dyDescent="0.25">
      <c r="A650" s="108" t="s">
        <v>979</v>
      </c>
      <c r="B650" s="346" t="s">
        <v>187</v>
      </c>
      <c r="C650" s="346" t="s">
        <v>158</v>
      </c>
      <c r="D650" s="346" t="s">
        <v>830</v>
      </c>
      <c r="E650" s="346"/>
      <c r="F650" s="300">
        <f t="shared" si="113"/>
        <v>0</v>
      </c>
      <c r="G650" s="300">
        <f t="shared" si="113"/>
        <v>0</v>
      </c>
    </row>
    <row r="651" spans="1:7" ht="31.5" x14ac:dyDescent="0.25">
      <c r="A651" s="22" t="s">
        <v>191</v>
      </c>
      <c r="B651" s="346" t="s">
        <v>187</v>
      </c>
      <c r="C651" s="346" t="s">
        <v>158</v>
      </c>
      <c r="D651" s="346" t="s">
        <v>830</v>
      </c>
      <c r="E651" s="346" t="s">
        <v>192</v>
      </c>
      <c r="F651" s="300">
        <f t="shared" si="113"/>
        <v>0</v>
      </c>
      <c r="G651" s="300">
        <f t="shared" si="113"/>
        <v>0</v>
      </c>
    </row>
    <row r="652" spans="1:7" ht="15.75" x14ac:dyDescent="0.25">
      <c r="A652" s="22" t="s">
        <v>193</v>
      </c>
      <c r="B652" s="346" t="s">
        <v>187</v>
      </c>
      <c r="C652" s="346" t="s">
        <v>158</v>
      </c>
      <c r="D652" s="346" t="s">
        <v>830</v>
      </c>
      <c r="E652" s="346" t="s">
        <v>194</v>
      </c>
      <c r="F652" s="300">
        <f>'Пр.4 ведом.22'!G826</f>
        <v>0</v>
      </c>
      <c r="G652" s="300">
        <f>'Пр.4 ведом.22'!H826</f>
        <v>0</v>
      </c>
    </row>
    <row r="653" spans="1:7" ht="31.5" x14ac:dyDescent="0.25">
      <c r="A653" s="24" t="s">
        <v>952</v>
      </c>
      <c r="B653" s="299" t="s">
        <v>187</v>
      </c>
      <c r="C653" s="299" t="s">
        <v>158</v>
      </c>
      <c r="D653" s="299" t="s">
        <v>953</v>
      </c>
      <c r="E653" s="346"/>
      <c r="F653" s="297">
        <f t="shared" ref="F653:G655" si="114">F654</f>
        <v>0</v>
      </c>
      <c r="G653" s="297">
        <f t="shared" si="114"/>
        <v>0</v>
      </c>
    </row>
    <row r="654" spans="1:7" ht="51" customHeight="1" x14ac:dyDescent="0.25">
      <c r="A654" s="22" t="s">
        <v>980</v>
      </c>
      <c r="B654" s="346" t="s">
        <v>187</v>
      </c>
      <c r="C654" s="346" t="s">
        <v>158</v>
      </c>
      <c r="D654" s="346" t="s">
        <v>954</v>
      </c>
      <c r="E654" s="346"/>
      <c r="F654" s="300">
        <f t="shared" si="114"/>
        <v>0</v>
      </c>
      <c r="G654" s="300">
        <f t="shared" si="114"/>
        <v>0</v>
      </c>
    </row>
    <row r="655" spans="1:7" ht="31.5" x14ac:dyDescent="0.25">
      <c r="A655" s="22" t="s">
        <v>191</v>
      </c>
      <c r="B655" s="346" t="s">
        <v>187</v>
      </c>
      <c r="C655" s="346" t="s">
        <v>158</v>
      </c>
      <c r="D655" s="346" t="s">
        <v>954</v>
      </c>
      <c r="E655" s="346" t="s">
        <v>192</v>
      </c>
      <c r="F655" s="300">
        <f t="shared" si="114"/>
        <v>0</v>
      </c>
      <c r="G655" s="300">
        <f t="shared" si="114"/>
        <v>0</v>
      </c>
    </row>
    <row r="656" spans="1:7" ht="15.75" x14ac:dyDescent="0.25">
      <c r="A656" s="22" t="s">
        <v>193</v>
      </c>
      <c r="B656" s="346" t="s">
        <v>187</v>
      </c>
      <c r="C656" s="346" t="s">
        <v>158</v>
      </c>
      <c r="D656" s="346" t="s">
        <v>954</v>
      </c>
      <c r="E656" s="346" t="s">
        <v>194</v>
      </c>
      <c r="F656" s="300">
        <f>'Пр.4 ведом.22'!G830</f>
        <v>0</v>
      </c>
      <c r="G656" s="300">
        <f>'Пр.4 ведом.22'!H830</f>
        <v>0</v>
      </c>
    </row>
    <row r="657" spans="1:12" ht="31.5" x14ac:dyDescent="0.25">
      <c r="A657" s="24" t="s">
        <v>959</v>
      </c>
      <c r="B657" s="299" t="s">
        <v>187</v>
      </c>
      <c r="C657" s="299" t="s">
        <v>158</v>
      </c>
      <c r="D657" s="299" t="s">
        <v>957</v>
      </c>
      <c r="E657" s="299"/>
      <c r="F657" s="294">
        <f t="shared" ref="F657:G659" si="115">F658</f>
        <v>2414</v>
      </c>
      <c r="G657" s="294">
        <f t="shared" si="115"/>
        <v>0</v>
      </c>
    </row>
    <row r="658" spans="1:12" ht="47.25" x14ac:dyDescent="0.25">
      <c r="A658" s="22" t="s">
        <v>1278</v>
      </c>
      <c r="B658" s="346" t="s">
        <v>187</v>
      </c>
      <c r="C658" s="346" t="s">
        <v>158</v>
      </c>
      <c r="D658" s="346" t="s">
        <v>958</v>
      </c>
      <c r="E658" s="346"/>
      <c r="F658" s="295">
        <f t="shared" si="115"/>
        <v>2414</v>
      </c>
      <c r="G658" s="295">
        <f t="shared" si="115"/>
        <v>0</v>
      </c>
    </row>
    <row r="659" spans="1:12" ht="31.5" x14ac:dyDescent="0.25">
      <c r="A659" s="22" t="s">
        <v>191</v>
      </c>
      <c r="B659" s="346" t="s">
        <v>187</v>
      </c>
      <c r="C659" s="346" t="s">
        <v>158</v>
      </c>
      <c r="D659" s="346" t="s">
        <v>958</v>
      </c>
      <c r="E659" s="346" t="s">
        <v>192</v>
      </c>
      <c r="F659" s="295">
        <f t="shared" si="115"/>
        <v>2414</v>
      </c>
      <c r="G659" s="295">
        <f t="shared" si="115"/>
        <v>0</v>
      </c>
    </row>
    <row r="660" spans="1:12" ht="15.75" x14ac:dyDescent="0.25">
      <c r="A660" s="22" t="s">
        <v>193</v>
      </c>
      <c r="B660" s="346" t="s">
        <v>187</v>
      </c>
      <c r="C660" s="346" t="s">
        <v>158</v>
      </c>
      <c r="D660" s="346" t="s">
        <v>958</v>
      </c>
      <c r="E660" s="346" t="s">
        <v>194</v>
      </c>
      <c r="F660" s="295">
        <f>'Пр.4.1 ведом.23-24 '!G757</f>
        <v>2414</v>
      </c>
      <c r="G660" s="295">
        <f>'Пр.4.1 ведом.23-24 '!H757</f>
        <v>0</v>
      </c>
    </row>
    <row r="661" spans="1:12" ht="47.25" x14ac:dyDescent="0.25">
      <c r="A661" s="24" t="s">
        <v>860</v>
      </c>
      <c r="B661" s="299" t="s">
        <v>187</v>
      </c>
      <c r="C661" s="299" t="s">
        <v>158</v>
      </c>
      <c r="D661" s="299" t="s">
        <v>206</v>
      </c>
      <c r="E661" s="299"/>
      <c r="F661" s="294">
        <f t="shared" ref="F661:G664" si="116">F662</f>
        <v>60</v>
      </c>
      <c r="G661" s="294">
        <f t="shared" si="116"/>
        <v>60</v>
      </c>
    </row>
    <row r="662" spans="1:12" ht="63" x14ac:dyDescent="0.25">
      <c r="A662" s="24" t="s">
        <v>585</v>
      </c>
      <c r="B662" s="299" t="s">
        <v>187</v>
      </c>
      <c r="C662" s="299" t="s">
        <v>158</v>
      </c>
      <c r="D662" s="299" t="s">
        <v>502</v>
      </c>
      <c r="E662" s="299"/>
      <c r="F662" s="294">
        <f t="shared" si="116"/>
        <v>60</v>
      </c>
      <c r="G662" s="294">
        <f t="shared" si="116"/>
        <v>60</v>
      </c>
    </row>
    <row r="663" spans="1:12" ht="47.25" x14ac:dyDescent="0.25">
      <c r="A663" s="22" t="s">
        <v>633</v>
      </c>
      <c r="B663" s="346" t="s">
        <v>187</v>
      </c>
      <c r="C663" s="346" t="s">
        <v>158</v>
      </c>
      <c r="D663" s="346" t="s">
        <v>503</v>
      </c>
      <c r="E663" s="346"/>
      <c r="F663" s="295">
        <f t="shared" si="116"/>
        <v>60</v>
      </c>
      <c r="G663" s="295">
        <f t="shared" si="116"/>
        <v>60</v>
      </c>
    </row>
    <row r="664" spans="1:12" ht="31.5" x14ac:dyDescent="0.25">
      <c r="A664" s="22" t="s">
        <v>191</v>
      </c>
      <c r="B664" s="346" t="s">
        <v>187</v>
      </c>
      <c r="C664" s="346" t="s">
        <v>158</v>
      </c>
      <c r="D664" s="346" t="s">
        <v>503</v>
      </c>
      <c r="E664" s="346" t="s">
        <v>192</v>
      </c>
      <c r="F664" s="295">
        <f t="shared" si="116"/>
        <v>60</v>
      </c>
      <c r="G664" s="295">
        <f t="shared" si="116"/>
        <v>60</v>
      </c>
    </row>
    <row r="665" spans="1:12" ht="15.75" x14ac:dyDescent="0.25">
      <c r="A665" s="22" t="s">
        <v>193</v>
      </c>
      <c r="B665" s="346" t="s">
        <v>187</v>
      </c>
      <c r="C665" s="346" t="s">
        <v>158</v>
      </c>
      <c r="D665" s="346" t="s">
        <v>503</v>
      </c>
      <c r="E665" s="346" t="s">
        <v>194</v>
      </c>
      <c r="F665" s="295">
        <f>'Пр.4.1 ведом.23-24 '!G762</f>
        <v>60</v>
      </c>
      <c r="G665" s="295">
        <f>'Пр.4.1 ведом.23-24 '!H762</f>
        <v>60</v>
      </c>
    </row>
    <row r="666" spans="1:12" ht="47.25" x14ac:dyDescent="0.25">
      <c r="A666" s="340" t="s">
        <v>856</v>
      </c>
      <c r="B666" s="299" t="s">
        <v>187</v>
      </c>
      <c r="C666" s="299" t="s">
        <v>158</v>
      </c>
      <c r="D666" s="299" t="s">
        <v>339</v>
      </c>
      <c r="E666" s="304"/>
      <c r="F666" s="294">
        <f t="shared" ref="F666:G667" si="117">F667</f>
        <v>870.84</v>
      </c>
      <c r="G666" s="294">
        <f t="shared" si="117"/>
        <v>870.84</v>
      </c>
    </row>
    <row r="667" spans="1:12" ht="47.25" x14ac:dyDescent="0.25">
      <c r="A667" s="340" t="s">
        <v>461</v>
      </c>
      <c r="B667" s="299" t="s">
        <v>187</v>
      </c>
      <c r="C667" s="299" t="s">
        <v>158</v>
      </c>
      <c r="D667" s="299" t="s">
        <v>459</v>
      </c>
      <c r="E667" s="304"/>
      <c r="F667" s="294">
        <f t="shared" si="117"/>
        <v>870.84</v>
      </c>
      <c r="G667" s="294">
        <f t="shared" si="117"/>
        <v>870.84</v>
      </c>
    </row>
    <row r="668" spans="1:12" ht="47.25" x14ac:dyDescent="0.25">
      <c r="A668" s="67" t="s">
        <v>357</v>
      </c>
      <c r="B668" s="346" t="s">
        <v>187</v>
      </c>
      <c r="C668" s="346" t="s">
        <v>158</v>
      </c>
      <c r="D668" s="346" t="s">
        <v>504</v>
      </c>
      <c r="E668" s="301"/>
      <c r="F668" s="295">
        <f>F669</f>
        <v>870.84</v>
      </c>
      <c r="G668" s="295">
        <f>G669</f>
        <v>870.84</v>
      </c>
    </row>
    <row r="669" spans="1:12" ht="36.75" customHeight="1" x14ac:dyDescent="0.25">
      <c r="A669" s="20" t="s">
        <v>191</v>
      </c>
      <c r="B669" s="346" t="s">
        <v>187</v>
      </c>
      <c r="C669" s="346" t="s">
        <v>158</v>
      </c>
      <c r="D669" s="346" t="s">
        <v>504</v>
      </c>
      <c r="E669" s="301" t="s">
        <v>192</v>
      </c>
      <c r="F669" s="295">
        <f t="shared" ref="F669:G669" si="118">F670</f>
        <v>870.84</v>
      </c>
      <c r="G669" s="295">
        <f t="shared" si="118"/>
        <v>870.84</v>
      </c>
    </row>
    <row r="670" spans="1:12" ht="15.75" x14ac:dyDescent="0.25">
      <c r="A670" s="108" t="s">
        <v>193</v>
      </c>
      <c r="B670" s="346" t="s">
        <v>187</v>
      </c>
      <c r="C670" s="346" t="s">
        <v>158</v>
      </c>
      <c r="D670" s="346" t="s">
        <v>504</v>
      </c>
      <c r="E670" s="301" t="s">
        <v>194</v>
      </c>
      <c r="F670" s="295">
        <f>'Пр.4.1 ведом.23-24 '!G767</f>
        <v>870.84</v>
      </c>
      <c r="G670" s="295">
        <f>'Пр.4.1 ведом.23-24 '!H767</f>
        <v>870.84</v>
      </c>
    </row>
    <row r="671" spans="1:12" ht="15.75" x14ac:dyDescent="0.25">
      <c r="A671" s="340" t="s">
        <v>188</v>
      </c>
      <c r="B671" s="6" t="s">
        <v>187</v>
      </c>
      <c r="C671" s="6" t="s">
        <v>159</v>
      </c>
      <c r="D671" s="299"/>
      <c r="E671" s="6"/>
      <c r="F671" s="294">
        <f>F672+F695+F732+F727</f>
        <v>62232.1</v>
      </c>
      <c r="G671" s="294">
        <f>G672+G695+G732+G727</f>
        <v>62232.1</v>
      </c>
    </row>
    <row r="672" spans="1:12" ht="39.75" customHeight="1" x14ac:dyDescent="0.25">
      <c r="A672" s="298" t="s">
        <v>861</v>
      </c>
      <c r="B672" s="299" t="s">
        <v>187</v>
      </c>
      <c r="C672" s="299" t="s">
        <v>159</v>
      </c>
      <c r="D672" s="299" t="s">
        <v>237</v>
      </c>
      <c r="E672" s="299"/>
      <c r="F672" s="294">
        <f>F673+F680+F691</f>
        <v>40932.699999999997</v>
      </c>
      <c r="G672" s="294">
        <f>G673+G680+G691</f>
        <v>40932.699999999997</v>
      </c>
      <c r="L672" s="15"/>
    </row>
    <row r="673" spans="1:7" ht="31.5" x14ac:dyDescent="0.25">
      <c r="A673" s="298" t="s">
        <v>505</v>
      </c>
      <c r="B673" s="299" t="s">
        <v>187</v>
      </c>
      <c r="C673" s="299" t="s">
        <v>159</v>
      </c>
      <c r="D673" s="299" t="s">
        <v>764</v>
      </c>
      <c r="E673" s="299"/>
      <c r="F673" s="294">
        <f>F674+F677</f>
        <v>38490</v>
      </c>
      <c r="G673" s="294">
        <f>G674+G677</f>
        <v>38490</v>
      </c>
    </row>
    <row r="674" spans="1:7" ht="47.25" x14ac:dyDescent="0.25">
      <c r="A674" s="345" t="s">
        <v>190</v>
      </c>
      <c r="B674" s="346" t="s">
        <v>187</v>
      </c>
      <c r="C674" s="346" t="s">
        <v>159</v>
      </c>
      <c r="D674" s="346" t="s">
        <v>786</v>
      </c>
      <c r="E674" s="346"/>
      <c r="F674" s="295">
        <f t="shared" ref="F674:G674" si="119">F675</f>
        <v>38490</v>
      </c>
      <c r="G674" s="295">
        <f t="shared" si="119"/>
        <v>38490</v>
      </c>
    </row>
    <row r="675" spans="1:7" ht="40.700000000000003" customHeight="1" x14ac:dyDescent="0.25">
      <c r="A675" s="345" t="s">
        <v>191</v>
      </c>
      <c r="B675" s="346" t="s">
        <v>187</v>
      </c>
      <c r="C675" s="346" t="s">
        <v>159</v>
      </c>
      <c r="D675" s="346" t="s">
        <v>786</v>
      </c>
      <c r="E675" s="346" t="s">
        <v>192</v>
      </c>
      <c r="F675" s="295">
        <f>F676</f>
        <v>38490</v>
      </c>
      <c r="G675" s="295">
        <f>G676</f>
        <v>38490</v>
      </c>
    </row>
    <row r="676" spans="1:7" ht="15.75" x14ac:dyDescent="0.25">
      <c r="A676" s="345" t="s">
        <v>193</v>
      </c>
      <c r="B676" s="346" t="s">
        <v>187</v>
      </c>
      <c r="C676" s="346" t="s">
        <v>159</v>
      </c>
      <c r="D676" s="346" t="s">
        <v>786</v>
      </c>
      <c r="E676" s="346" t="s">
        <v>194</v>
      </c>
      <c r="F676" s="295">
        <f>'Пр.4.1 ведом.23-24 '!G773</f>
        <v>38490</v>
      </c>
      <c r="G676" s="295">
        <f>'Пр.4.1 ведом.23-24 '!H773</f>
        <v>38490</v>
      </c>
    </row>
    <row r="677" spans="1:7" ht="31.5" hidden="1" x14ac:dyDescent="0.25">
      <c r="A677" s="22" t="s">
        <v>974</v>
      </c>
      <c r="B677" s="346" t="s">
        <v>187</v>
      </c>
      <c r="C677" s="346" t="s">
        <v>159</v>
      </c>
      <c r="D677" s="346" t="s">
        <v>973</v>
      </c>
      <c r="E677" s="346"/>
      <c r="F677" s="295">
        <f>F678</f>
        <v>0</v>
      </c>
      <c r="G677" s="295">
        <f>G678</f>
        <v>0</v>
      </c>
    </row>
    <row r="678" spans="1:7" ht="31.5" hidden="1" x14ac:dyDescent="0.25">
      <c r="A678" s="345" t="s">
        <v>191</v>
      </c>
      <c r="B678" s="346" t="s">
        <v>187</v>
      </c>
      <c r="C678" s="346" t="s">
        <v>159</v>
      </c>
      <c r="D678" s="346" t="s">
        <v>973</v>
      </c>
      <c r="E678" s="346" t="s">
        <v>192</v>
      </c>
      <c r="F678" s="295">
        <f>F679</f>
        <v>0</v>
      </c>
      <c r="G678" s="295">
        <f>G679</f>
        <v>0</v>
      </c>
    </row>
    <row r="679" spans="1:7" ht="15.75" hidden="1" x14ac:dyDescent="0.25">
      <c r="A679" s="22" t="s">
        <v>193</v>
      </c>
      <c r="B679" s="346" t="s">
        <v>187</v>
      </c>
      <c r="C679" s="346" t="s">
        <v>159</v>
      </c>
      <c r="D679" s="346" t="s">
        <v>973</v>
      </c>
      <c r="E679" s="346" t="s">
        <v>192</v>
      </c>
      <c r="F679" s="295">
        <f>'Пр.4 ведом.22'!G853</f>
        <v>0</v>
      </c>
      <c r="G679" s="295">
        <f>'Пр.4 ведом.22'!H853</f>
        <v>0</v>
      </c>
    </row>
    <row r="680" spans="1:7" ht="47.25" x14ac:dyDescent="0.25">
      <c r="A680" s="298" t="s">
        <v>469</v>
      </c>
      <c r="B680" s="299" t="s">
        <v>187</v>
      </c>
      <c r="C680" s="299" t="s">
        <v>159</v>
      </c>
      <c r="D680" s="299" t="s">
        <v>766</v>
      </c>
      <c r="E680" s="299"/>
      <c r="F680" s="294">
        <f>F681+F684</f>
        <v>2239.6</v>
      </c>
      <c r="G680" s="294">
        <f>G681+G684</f>
        <v>2239.6</v>
      </c>
    </row>
    <row r="681" spans="1:7" ht="94.5" x14ac:dyDescent="0.25">
      <c r="A681" s="22" t="s">
        <v>200</v>
      </c>
      <c r="B681" s="346" t="s">
        <v>187</v>
      </c>
      <c r="C681" s="346" t="s">
        <v>159</v>
      </c>
      <c r="D681" s="346" t="s">
        <v>885</v>
      </c>
      <c r="E681" s="346"/>
      <c r="F681" s="295">
        <f>F682</f>
        <v>1480</v>
      </c>
      <c r="G681" s="295">
        <f>G682</f>
        <v>1480</v>
      </c>
    </row>
    <row r="682" spans="1:7" ht="31.5" x14ac:dyDescent="0.25">
      <c r="A682" s="345" t="s">
        <v>191</v>
      </c>
      <c r="B682" s="346" t="s">
        <v>187</v>
      </c>
      <c r="C682" s="346" t="s">
        <v>159</v>
      </c>
      <c r="D682" s="346" t="s">
        <v>885</v>
      </c>
      <c r="E682" s="346" t="s">
        <v>192</v>
      </c>
      <c r="F682" s="295">
        <f t="shared" ref="F682:G682" si="120">F683</f>
        <v>1480</v>
      </c>
      <c r="G682" s="295">
        <f t="shared" si="120"/>
        <v>1480</v>
      </c>
    </row>
    <row r="683" spans="1:7" ht="15.75" x14ac:dyDescent="0.25">
      <c r="A683" s="345" t="s">
        <v>193</v>
      </c>
      <c r="B683" s="346" t="s">
        <v>187</v>
      </c>
      <c r="C683" s="346" t="s">
        <v>159</v>
      </c>
      <c r="D683" s="346" t="s">
        <v>885</v>
      </c>
      <c r="E683" s="346" t="s">
        <v>194</v>
      </c>
      <c r="F683" s="295">
        <f>'Пр.4.1 ведом.23-24 '!G780</f>
        <v>1480</v>
      </c>
      <c r="G683" s="295">
        <f>'Пр.4.1 ведом.23-24 '!H780</f>
        <v>1480</v>
      </c>
    </row>
    <row r="684" spans="1:7" ht="47.25" x14ac:dyDescent="0.25">
      <c r="A684" s="345" t="s">
        <v>1165</v>
      </c>
      <c r="B684" s="346" t="s">
        <v>187</v>
      </c>
      <c r="C684" s="346" t="s">
        <v>159</v>
      </c>
      <c r="D684" s="346" t="s">
        <v>1166</v>
      </c>
      <c r="E684" s="346"/>
      <c r="F684" s="295">
        <f t="shared" ref="F684:G684" si="121">F685</f>
        <v>759.59999999999991</v>
      </c>
      <c r="G684" s="295">
        <f t="shared" si="121"/>
        <v>759.59999999999991</v>
      </c>
    </row>
    <row r="685" spans="1:7" ht="31.5" x14ac:dyDescent="0.25">
      <c r="A685" s="345" t="s">
        <v>191</v>
      </c>
      <c r="B685" s="346" t="s">
        <v>187</v>
      </c>
      <c r="C685" s="346" t="s">
        <v>159</v>
      </c>
      <c r="D685" s="346" t="s">
        <v>1166</v>
      </c>
      <c r="E685" s="346" t="s">
        <v>192</v>
      </c>
      <c r="F685" s="295">
        <f>F686</f>
        <v>759.59999999999991</v>
      </c>
      <c r="G685" s="295">
        <f>G686</f>
        <v>759.59999999999991</v>
      </c>
    </row>
    <row r="686" spans="1:7" ht="15.75" x14ac:dyDescent="0.25">
      <c r="A686" s="345" t="s">
        <v>193</v>
      </c>
      <c r="B686" s="346" t="s">
        <v>187</v>
      </c>
      <c r="C686" s="346" t="s">
        <v>159</v>
      </c>
      <c r="D686" s="346" t="s">
        <v>1166</v>
      </c>
      <c r="E686" s="346" t="s">
        <v>194</v>
      </c>
      <c r="F686" s="295">
        <f>'Пр.4.1 ведом.23-24 '!G783</f>
        <v>759.59999999999991</v>
      </c>
      <c r="G686" s="295">
        <f>'Пр.4.1 ведом.23-24 '!H783</f>
        <v>759.59999999999991</v>
      </c>
    </row>
    <row r="687" spans="1:7" ht="31.7" hidden="1" customHeight="1" x14ac:dyDescent="0.25">
      <c r="A687" s="298" t="s">
        <v>780</v>
      </c>
      <c r="B687" s="299" t="s">
        <v>187</v>
      </c>
      <c r="C687" s="299" t="s">
        <v>159</v>
      </c>
      <c r="D687" s="299" t="s">
        <v>768</v>
      </c>
      <c r="E687" s="299"/>
      <c r="F687" s="294">
        <f t="shared" ref="F687:G689" si="122">F688</f>
        <v>0</v>
      </c>
      <c r="G687" s="294">
        <f t="shared" si="122"/>
        <v>0</v>
      </c>
    </row>
    <row r="688" spans="1:7" ht="35.450000000000003" hidden="1" customHeight="1" x14ac:dyDescent="0.25">
      <c r="A688" s="29" t="s">
        <v>344</v>
      </c>
      <c r="B688" s="346" t="s">
        <v>187</v>
      </c>
      <c r="C688" s="346" t="s">
        <v>159</v>
      </c>
      <c r="D688" s="346" t="s">
        <v>836</v>
      </c>
      <c r="E688" s="346"/>
      <c r="F688" s="295">
        <f t="shared" si="122"/>
        <v>0</v>
      </c>
      <c r="G688" s="295">
        <f t="shared" si="122"/>
        <v>0</v>
      </c>
    </row>
    <row r="689" spans="1:7" ht="39.75" hidden="1" customHeight="1" x14ac:dyDescent="0.25">
      <c r="A689" s="22" t="s">
        <v>191</v>
      </c>
      <c r="B689" s="346" t="s">
        <v>187</v>
      </c>
      <c r="C689" s="346" t="s">
        <v>159</v>
      </c>
      <c r="D689" s="346" t="s">
        <v>836</v>
      </c>
      <c r="E689" s="346" t="s">
        <v>192</v>
      </c>
      <c r="F689" s="295">
        <f t="shared" si="122"/>
        <v>0</v>
      </c>
      <c r="G689" s="295">
        <f t="shared" si="122"/>
        <v>0</v>
      </c>
    </row>
    <row r="690" spans="1:7" ht="19.5" hidden="1" customHeight="1" x14ac:dyDescent="0.25">
      <c r="A690" s="22" t="s">
        <v>193</v>
      </c>
      <c r="B690" s="346" t="s">
        <v>187</v>
      </c>
      <c r="C690" s="346" t="s">
        <v>159</v>
      </c>
      <c r="D690" s="346" t="s">
        <v>836</v>
      </c>
      <c r="E690" s="346" t="s">
        <v>194</v>
      </c>
      <c r="F690" s="295">
        <f>'Пр.4 ведом.22'!G864</f>
        <v>0</v>
      </c>
      <c r="G690" s="295">
        <f>'Пр.4 ведом.22'!H864</f>
        <v>0</v>
      </c>
    </row>
    <row r="691" spans="1:7" ht="33" customHeight="1" x14ac:dyDescent="0.25">
      <c r="A691" s="140" t="s">
        <v>513</v>
      </c>
      <c r="B691" s="299" t="s">
        <v>187</v>
      </c>
      <c r="C691" s="299" t="s">
        <v>159</v>
      </c>
      <c r="D691" s="299" t="s">
        <v>771</v>
      </c>
      <c r="E691" s="299"/>
      <c r="F691" s="294">
        <f>F692</f>
        <v>203.10000000000002</v>
      </c>
      <c r="G691" s="294">
        <f>G692</f>
        <v>203.10000000000002</v>
      </c>
    </row>
    <row r="692" spans="1:7" ht="38.1" customHeight="1" x14ac:dyDescent="0.25">
      <c r="A692" s="29" t="s">
        <v>342</v>
      </c>
      <c r="B692" s="346" t="s">
        <v>187</v>
      </c>
      <c r="C692" s="346" t="s">
        <v>159</v>
      </c>
      <c r="D692" s="346" t="s">
        <v>772</v>
      </c>
      <c r="E692" s="346"/>
      <c r="F692" s="295">
        <f>F693</f>
        <v>203.10000000000002</v>
      </c>
      <c r="G692" s="295">
        <f>G693</f>
        <v>203.10000000000002</v>
      </c>
    </row>
    <row r="693" spans="1:7" ht="31.5" x14ac:dyDescent="0.25">
      <c r="A693" s="345" t="s">
        <v>191</v>
      </c>
      <c r="B693" s="346" t="s">
        <v>187</v>
      </c>
      <c r="C693" s="346" t="s">
        <v>159</v>
      </c>
      <c r="D693" s="346" t="s">
        <v>772</v>
      </c>
      <c r="E693" s="346" t="s">
        <v>192</v>
      </c>
      <c r="F693" s="295">
        <f t="shared" ref="F693:G693" si="123">F694</f>
        <v>203.10000000000002</v>
      </c>
      <c r="G693" s="295">
        <f t="shared" si="123"/>
        <v>203.10000000000002</v>
      </c>
    </row>
    <row r="694" spans="1:7" ht="15.75" x14ac:dyDescent="0.25">
      <c r="A694" s="22" t="s">
        <v>193</v>
      </c>
      <c r="B694" s="346" t="s">
        <v>187</v>
      </c>
      <c r="C694" s="346" t="s">
        <v>159</v>
      </c>
      <c r="D694" s="346" t="s">
        <v>772</v>
      </c>
      <c r="E694" s="346" t="s">
        <v>194</v>
      </c>
      <c r="F694" s="295">
        <f>'Пр.4.1 ведом.23-24 '!G791</f>
        <v>203.10000000000002</v>
      </c>
      <c r="G694" s="295">
        <f>'Пр.4.1 ведом.23-24 '!H791</f>
        <v>203.10000000000002</v>
      </c>
    </row>
    <row r="695" spans="1:7" ht="34.5" customHeight="1" x14ac:dyDescent="0.25">
      <c r="A695" s="298" t="s">
        <v>869</v>
      </c>
      <c r="B695" s="299" t="s">
        <v>187</v>
      </c>
      <c r="C695" s="299" t="s">
        <v>159</v>
      </c>
      <c r="D695" s="299" t="s">
        <v>189</v>
      </c>
      <c r="E695" s="299"/>
      <c r="F695" s="294">
        <f>F696+F707+F716+F720</f>
        <v>20500.099999999999</v>
      </c>
      <c r="G695" s="294">
        <f>G696+G707+G716+G720</f>
        <v>20500.099999999999</v>
      </c>
    </row>
    <row r="696" spans="1:7" ht="36" customHeight="1" x14ac:dyDescent="0.25">
      <c r="A696" s="298" t="s">
        <v>815</v>
      </c>
      <c r="B696" s="299" t="s">
        <v>187</v>
      </c>
      <c r="C696" s="299" t="s">
        <v>159</v>
      </c>
      <c r="D696" s="299" t="s">
        <v>741</v>
      </c>
      <c r="E696" s="299"/>
      <c r="F696" s="294">
        <f>F697+F704</f>
        <v>19489.8</v>
      </c>
      <c r="G696" s="294">
        <f>G697+G704</f>
        <v>19489.8</v>
      </c>
    </row>
    <row r="697" spans="1:7" ht="15.75" x14ac:dyDescent="0.25">
      <c r="A697" s="345" t="s">
        <v>376</v>
      </c>
      <c r="B697" s="346" t="s">
        <v>187</v>
      </c>
      <c r="C697" s="346" t="s">
        <v>159</v>
      </c>
      <c r="D697" s="346" t="s">
        <v>742</v>
      </c>
      <c r="E697" s="346"/>
      <c r="F697" s="295">
        <f>F698+F700+F702</f>
        <v>19489.8</v>
      </c>
      <c r="G697" s="295">
        <f>G698+G700+G702</f>
        <v>19489.8</v>
      </c>
    </row>
    <row r="698" spans="1:7" ht="78.75" x14ac:dyDescent="0.25">
      <c r="A698" s="345" t="s">
        <v>119</v>
      </c>
      <c r="B698" s="346" t="s">
        <v>187</v>
      </c>
      <c r="C698" s="346" t="s">
        <v>159</v>
      </c>
      <c r="D698" s="346" t="s">
        <v>742</v>
      </c>
      <c r="E698" s="346" t="s">
        <v>120</v>
      </c>
      <c r="F698" s="295">
        <f>F699</f>
        <v>17566.099999999999</v>
      </c>
      <c r="G698" s="295">
        <f>G699</f>
        <v>17566.099999999999</v>
      </c>
    </row>
    <row r="699" spans="1:7" ht="21.2" customHeight="1" x14ac:dyDescent="0.25">
      <c r="A699" s="30" t="s">
        <v>212</v>
      </c>
      <c r="B699" s="346" t="s">
        <v>187</v>
      </c>
      <c r="C699" s="346" t="s">
        <v>159</v>
      </c>
      <c r="D699" s="346" t="s">
        <v>742</v>
      </c>
      <c r="E699" s="346" t="s">
        <v>156</v>
      </c>
      <c r="F699" s="295">
        <f>'Пр.4.1 ведом.23-24 '!G309</f>
        <v>17566.099999999999</v>
      </c>
      <c r="G699" s="295">
        <f>'Пр.4.1 ведом.23-24 '!H309</f>
        <v>17566.099999999999</v>
      </c>
    </row>
    <row r="700" spans="1:7" ht="31.5" x14ac:dyDescent="0.25">
      <c r="A700" s="345" t="s">
        <v>123</v>
      </c>
      <c r="B700" s="346" t="s">
        <v>187</v>
      </c>
      <c r="C700" s="346" t="s">
        <v>159</v>
      </c>
      <c r="D700" s="346" t="s">
        <v>742</v>
      </c>
      <c r="E700" s="346" t="s">
        <v>124</v>
      </c>
      <c r="F700" s="295">
        <f>F701</f>
        <v>1850.7</v>
      </c>
      <c r="G700" s="295">
        <f>G701</f>
        <v>1850.7</v>
      </c>
    </row>
    <row r="701" spans="1:7" ht="47.25" x14ac:dyDescent="0.25">
      <c r="A701" s="345" t="s">
        <v>125</v>
      </c>
      <c r="B701" s="346" t="s">
        <v>187</v>
      </c>
      <c r="C701" s="346" t="s">
        <v>159</v>
      </c>
      <c r="D701" s="346" t="s">
        <v>742</v>
      </c>
      <c r="E701" s="346" t="s">
        <v>126</v>
      </c>
      <c r="F701" s="295">
        <f>'Пр.4.1 ведом.23-24 '!G311</f>
        <v>1850.7</v>
      </c>
      <c r="G701" s="295">
        <f>'Пр.4.1 ведом.23-24 '!H311</f>
        <v>1850.7</v>
      </c>
    </row>
    <row r="702" spans="1:7" ht="15.75" x14ac:dyDescent="0.25">
      <c r="A702" s="345" t="s">
        <v>127</v>
      </c>
      <c r="B702" s="346" t="s">
        <v>187</v>
      </c>
      <c r="C702" s="346" t="s">
        <v>159</v>
      </c>
      <c r="D702" s="346" t="s">
        <v>742</v>
      </c>
      <c r="E702" s="346" t="s">
        <v>134</v>
      </c>
      <c r="F702" s="295">
        <f>F703</f>
        <v>73</v>
      </c>
      <c r="G702" s="295">
        <f>G703</f>
        <v>73</v>
      </c>
    </row>
    <row r="703" spans="1:7" ht="15.75" x14ac:dyDescent="0.25">
      <c r="A703" s="345" t="s">
        <v>338</v>
      </c>
      <c r="B703" s="346" t="s">
        <v>187</v>
      </c>
      <c r="C703" s="346" t="s">
        <v>159</v>
      </c>
      <c r="D703" s="346" t="s">
        <v>742</v>
      </c>
      <c r="E703" s="346" t="s">
        <v>130</v>
      </c>
      <c r="F703" s="295">
        <f>'Пр.4.1 ведом.23-24 '!G313</f>
        <v>73</v>
      </c>
      <c r="G703" s="295">
        <f>'Пр.4.1 ведом.23-24 '!H313</f>
        <v>73</v>
      </c>
    </row>
    <row r="704" spans="1:7" ht="31.5" hidden="1" x14ac:dyDescent="0.25">
      <c r="A704" s="22" t="s">
        <v>974</v>
      </c>
      <c r="B704" s="346" t="s">
        <v>187</v>
      </c>
      <c r="C704" s="346" t="s">
        <v>159</v>
      </c>
      <c r="D704" s="346" t="s">
        <v>965</v>
      </c>
      <c r="E704" s="346"/>
      <c r="F704" s="295">
        <f>F705</f>
        <v>0</v>
      </c>
      <c r="G704" s="295">
        <f>G705</f>
        <v>0</v>
      </c>
    </row>
    <row r="705" spans="1:7" ht="78.75" hidden="1" x14ac:dyDescent="0.25">
      <c r="A705" s="345" t="s">
        <v>119</v>
      </c>
      <c r="B705" s="346" t="s">
        <v>187</v>
      </c>
      <c r="C705" s="346" t="s">
        <v>159</v>
      </c>
      <c r="D705" s="346" t="s">
        <v>965</v>
      </c>
      <c r="E705" s="346" t="s">
        <v>120</v>
      </c>
      <c r="F705" s="295">
        <f>F706</f>
        <v>0</v>
      </c>
      <c r="G705" s="295">
        <f>G706</f>
        <v>0</v>
      </c>
    </row>
    <row r="706" spans="1:7" ht="15.75" hidden="1" x14ac:dyDescent="0.25">
      <c r="A706" s="345" t="s">
        <v>155</v>
      </c>
      <c r="B706" s="346" t="s">
        <v>187</v>
      </c>
      <c r="C706" s="346" t="s">
        <v>159</v>
      </c>
      <c r="D706" s="346" t="s">
        <v>965</v>
      </c>
      <c r="E706" s="346" t="s">
        <v>156</v>
      </c>
      <c r="F706" s="295">
        <f>'Пр.4 ведом.22'!G345</f>
        <v>0</v>
      </c>
      <c r="G706" s="295">
        <f>'Пр.4 ведом.22'!H345</f>
        <v>0</v>
      </c>
    </row>
    <row r="707" spans="1:7" ht="31.5" x14ac:dyDescent="0.25">
      <c r="A707" s="137" t="s">
        <v>818</v>
      </c>
      <c r="B707" s="299" t="s">
        <v>187</v>
      </c>
      <c r="C707" s="299" t="s">
        <v>159</v>
      </c>
      <c r="D707" s="299" t="s">
        <v>743</v>
      </c>
      <c r="E707" s="299"/>
      <c r="F707" s="294">
        <f>F708+F711</f>
        <v>292</v>
      </c>
      <c r="G707" s="294">
        <f>G708+G711</f>
        <v>292</v>
      </c>
    </row>
    <row r="708" spans="1:7" ht="31.5" x14ac:dyDescent="0.25">
      <c r="A708" s="120" t="s">
        <v>375</v>
      </c>
      <c r="B708" s="346" t="s">
        <v>187</v>
      </c>
      <c r="C708" s="346" t="s">
        <v>159</v>
      </c>
      <c r="D708" s="346" t="s">
        <v>744</v>
      </c>
      <c r="E708" s="346"/>
      <c r="F708" s="295">
        <f>F709</f>
        <v>42</v>
      </c>
      <c r="G708" s="295">
        <f>G709</f>
        <v>42</v>
      </c>
    </row>
    <row r="709" spans="1:7" ht="20.25" customHeight="1" x14ac:dyDescent="0.25">
      <c r="A709" s="345" t="s">
        <v>177</v>
      </c>
      <c r="B709" s="346" t="s">
        <v>187</v>
      </c>
      <c r="C709" s="346" t="s">
        <v>159</v>
      </c>
      <c r="D709" s="346" t="s">
        <v>744</v>
      </c>
      <c r="E709" s="346" t="s">
        <v>178</v>
      </c>
      <c r="F709" s="295">
        <f>F710</f>
        <v>42</v>
      </c>
      <c r="G709" s="295">
        <f>G710</f>
        <v>42</v>
      </c>
    </row>
    <row r="710" spans="1:7" ht="15.75" x14ac:dyDescent="0.25">
      <c r="A710" s="345" t="s">
        <v>396</v>
      </c>
      <c r="B710" s="346" t="s">
        <v>187</v>
      </c>
      <c r="C710" s="346" t="s">
        <v>159</v>
      </c>
      <c r="D710" s="346" t="s">
        <v>744</v>
      </c>
      <c r="E710" s="346" t="s">
        <v>395</v>
      </c>
      <c r="F710" s="295">
        <f>'Пр.4.1 ведом.23-24 '!G320</f>
        <v>42</v>
      </c>
      <c r="G710" s="295">
        <f>'Пр.4.1 ведом.23-24 '!H320</f>
        <v>42</v>
      </c>
    </row>
    <row r="711" spans="1:7" ht="31.5" x14ac:dyDescent="0.25">
      <c r="A711" s="22" t="s">
        <v>392</v>
      </c>
      <c r="B711" s="346" t="s">
        <v>187</v>
      </c>
      <c r="C711" s="346" t="s">
        <v>159</v>
      </c>
      <c r="D711" s="346" t="s">
        <v>745</v>
      </c>
      <c r="E711" s="346"/>
      <c r="F711" s="295">
        <f>F712+F714</f>
        <v>250</v>
      </c>
      <c r="G711" s="295">
        <f>G712+G714</f>
        <v>250</v>
      </c>
    </row>
    <row r="712" spans="1:7" ht="78.75" x14ac:dyDescent="0.25">
      <c r="A712" s="345" t="s">
        <v>119</v>
      </c>
      <c r="B712" s="346" t="s">
        <v>187</v>
      </c>
      <c r="C712" s="346" t="s">
        <v>159</v>
      </c>
      <c r="D712" s="346" t="s">
        <v>745</v>
      </c>
      <c r="E712" s="346" t="s">
        <v>120</v>
      </c>
      <c r="F712" s="295">
        <f>F713</f>
        <v>250</v>
      </c>
      <c r="G712" s="295">
        <f>G713</f>
        <v>250</v>
      </c>
    </row>
    <row r="713" spans="1:7" ht="18.75" customHeight="1" x14ac:dyDescent="0.25">
      <c r="A713" s="30" t="s">
        <v>212</v>
      </c>
      <c r="B713" s="346" t="s">
        <v>187</v>
      </c>
      <c r="C713" s="346" t="s">
        <v>159</v>
      </c>
      <c r="D713" s="346" t="s">
        <v>745</v>
      </c>
      <c r="E713" s="346" t="s">
        <v>156</v>
      </c>
      <c r="F713" s="295">
        <f>'Пр.4.1 ведом.23-24 '!G323</f>
        <v>250</v>
      </c>
      <c r="G713" s="295">
        <f>'Пр.4.1 ведом.23-24 '!H323</f>
        <v>250</v>
      </c>
    </row>
    <row r="714" spans="1:7" ht="31.5" hidden="1" x14ac:dyDescent="0.25">
      <c r="A714" s="345" t="s">
        <v>123</v>
      </c>
      <c r="B714" s="346" t="s">
        <v>187</v>
      </c>
      <c r="C714" s="346" t="s">
        <v>159</v>
      </c>
      <c r="D714" s="346" t="s">
        <v>745</v>
      </c>
      <c r="E714" s="346" t="s">
        <v>124</v>
      </c>
      <c r="F714" s="295">
        <f>F715</f>
        <v>0</v>
      </c>
      <c r="G714" s="295">
        <f>G715</f>
        <v>0</v>
      </c>
    </row>
    <row r="715" spans="1:7" ht="47.25" hidden="1" x14ac:dyDescent="0.25">
      <c r="A715" s="345" t="s">
        <v>125</v>
      </c>
      <c r="B715" s="346" t="s">
        <v>187</v>
      </c>
      <c r="C715" s="346" t="s">
        <v>159</v>
      </c>
      <c r="D715" s="346" t="s">
        <v>745</v>
      </c>
      <c r="E715" s="346" t="s">
        <v>126</v>
      </c>
      <c r="F715" s="295">
        <f>'Пр.4 ведом.22'!G354</f>
        <v>0</v>
      </c>
      <c r="G715" s="295">
        <f>'Пр.4 ведом.22'!H354</f>
        <v>0</v>
      </c>
    </row>
    <row r="716" spans="1:7" ht="31.5" x14ac:dyDescent="0.25">
      <c r="A716" s="298" t="s">
        <v>512</v>
      </c>
      <c r="B716" s="299" t="s">
        <v>187</v>
      </c>
      <c r="C716" s="299" t="s">
        <v>159</v>
      </c>
      <c r="D716" s="299" t="s">
        <v>746</v>
      </c>
      <c r="E716" s="299"/>
      <c r="F716" s="294">
        <f t="shared" ref="F716:G718" si="124">F717</f>
        <v>473</v>
      </c>
      <c r="G716" s="294">
        <f t="shared" si="124"/>
        <v>473</v>
      </c>
    </row>
    <row r="717" spans="1:7" ht="47.25" x14ac:dyDescent="0.25">
      <c r="A717" s="345" t="s">
        <v>414</v>
      </c>
      <c r="B717" s="346" t="s">
        <v>187</v>
      </c>
      <c r="C717" s="346" t="s">
        <v>159</v>
      </c>
      <c r="D717" s="346" t="s">
        <v>747</v>
      </c>
      <c r="E717" s="346"/>
      <c r="F717" s="295">
        <f t="shared" si="124"/>
        <v>473</v>
      </c>
      <c r="G717" s="295">
        <f t="shared" si="124"/>
        <v>473</v>
      </c>
    </row>
    <row r="718" spans="1:7" ht="78.75" x14ac:dyDescent="0.25">
      <c r="A718" s="345" t="s">
        <v>119</v>
      </c>
      <c r="B718" s="346" t="s">
        <v>187</v>
      </c>
      <c r="C718" s="346" t="s">
        <v>159</v>
      </c>
      <c r="D718" s="346" t="s">
        <v>747</v>
      </c>
      <c r="E718" s="346" t="s">
        <v>120</v>
      </c>
      <c r="F718" s="295">
        <f t="shared" si="124"/>
        <v>473</v>
      </c>
      <c r="G718" s="295">
        <f t="shared" si="124"/>
        <v>473</v>
      </c>
    </row>
    <row r="719" spans="1:7" ht="31.5" x14ac:dyDescent="0.25">
      <c r="A719" s="345" t="s">
        <v>121</v>
      </c>
      <c r="B719" s="346" t="s">
        <v>187</v>
      </c>
      <c r="C719" s="346" t="s">
        <v>159</v>
      </c>
      <c r="D719" s="346" t="s">
        <v>747</v>
      </c>
      <c r="E719" s="346" t="s">
        <v>156</v>
      </c>
      <c r="F719" s="295">
        <f>'Пр.4.1 ведом.23-24 '!G329</f>
        <v>473</v>
      </c>
      <c r="G719" s="295">
        <f>'Пр.4.1 ведом.23-24 '!H329</f>
        <v>473</v>
      </c>
    </row>
    <row r="720" spans="1:7" ht="47.25" x14ac:dyDescent="0.25">
      <c r="A720" s="298" t="s">
        <v>469</v>
      </c>
      <c r="B720" s="299" t="s">
        <v>187</v>
      </c>
      <c r="C720" s="299" t="s">
        <v>159</v>
      </c>
      <c r="D720" s="299" t="s">
        <v>748</v>
      </c>
      <c r="E720" s="299"/>
      <c r="F720" s="294">
        <f>F721+F724</f>
        <v>245.29999999999998</v>
      </c>
      <c r="G720" s="294">
        <f>G721+G724</f>
        <v>245.29999999999998</v>
      </c>
    </row>
    <row r="721" spans="1:7" ht="94.5" x14ac:dyDescent="0.25">
      <c r="A721" s="22" t="s">
        <v>200</v>
      </c>
      <c r="B721" s="346" t="s">
        <v>187</v>
      </c>
      <c r="C721" s="346" t="s">
        <v>159</v>
      </c>
      <c r="D721" s="346" t="s">
        <v>898</v>
      </c>
      <c r="E721" s="346"/>
      <c r="F721" s="295">
        <f>F722</f>
        <v>0</v>
      </c>
      <c r="G721" s="295">
        <f>G722</f>
        <v>0</v>
      </c>
    </row>
    <row r="722" spans="1:7" ht="78.75" x14ac:dyDescent="0.25">
      <c r="A722" s="345" t="s">
        <v>119</v>
      </c>
      <c r="B722" s="346" t="s">
        <v>187</v>
      </c>
      <c r="C722" s="346" t="s">
        <v>159</v>
      </c>
      <c r="D722" s="346" t="s">
        <v>898</v>
      </c>
      <c r="E722" s="346" t="s">
        <v>120</v>
      </c>
      <c r="F722" s="295">
        <f>F723</f>
        <v>0</v>
      </c>
      <c r="G722" s="295">
        <f>G723</f>
        <v>0</v>
      </c>
    </row>
    <row r="723" spans="1:7" ht="22.7" customHeight="1" x14ac:dyDescent="0.25">
      <c r="A723" s="30" t="s">
        <v>212</v>
      </c>
      <c r="B723" s="346" t="s">
        <v>187</v>
      </c>
      <c r="C723" s="346" t="s">
        <v>159</v>
      </c>
      <c r="D723" s="346" t="s">
        <v>898</v>
      </c>
      <c r="E723" s="346" t="s">
        <v>156</v>
      </c>
      <c r="F723" s="295">
        <f>'Пр.4.1 ведом.23-24 '!G333</f>
        <v>0</v>
      </c>
      <c r="G723" s="295">
        <f>'Пр.4.1 ведом.23-24 '!H333</f>
        <v>0</v>
      </c>
    </row>
    <row r="724" spans="1:7" ht="47.25" x14ac:dyDescent="0.25">
      <c r="A724" s="345" t="s">
        <v>1165</v>
      </c>
      <c r="B724" s="346" t="s">
        <v>187</v>
      </c>
      <c r="C724" s="346" t="s">
        <v>159</v>
      </c>
      <c r="D724" s="346" t="s">
        <v>1167</v>
      </c>
      <c r="E724" s="346"/>
      <c r="F724" s="295">
        <f>F725</f>
        <v>245.29999999999998</v>
      </c>
      <c r="G724" s="295">
        <f>G725</f>
        <v>245.29999999999998</v>
      </c>
    </row>
    <row r="725" spans="1:7" ht="78.75" x14ac:dyDescent="0.25">
      <c r="A725" s="345" t="s">
        <v>119</v>
      </c>
      <c r="B725" s="346" t="s">
        <v>187</v>
      </c>
      <c r="C725" s="346" t="s">
        <v>159</v>
      </c>
      <c r="D725" s="346" t="s">
        <v>1167</v>
      </c>
      <c r="E725" s="346" t="s">
        <v>120</v>
      </c>
      <c r="F725" s="295">
        <f>F726</f>
        <v>245.29999999999998</v>
      </c>
      <c r="G725" s="295">
        <f>G726</f>
        <v>245.29999999999998</v>
      </c>
    </row>
    <row r="726" spans="1:7" ht="21.2" customHeight="1" x14ac:dyDescent="0.25">
      <c r="A726" s="30" t="s">
        <v>212</v>
      </c>
      <c r="B726" s="346" t="s">
        <v>187</v>
      </c>
      <c r="C726" s="346" t="s">
        <v>159</v>
      </c>
      <c r="D726" s="346" t="s">
        <v>1167</v>
      </c>
      <c r="E726" s="346" t="s">
        <v>156</v>
      </c>
      <c r="F726" s="295">
        <f>'Пр.4.1 ведом.23-24 '!G336</f>
        <v>245.29999999999998</v>
      </c>
      <c r="G726" s="295">
        <f>'Пр.4.1 ведом.23-24 '!H336</f>
        <v>245.29999999999998</v>
      </c>
    </row>
    <row r="727" spans="1:7" ht="45.75" customHeight="1" x14ac:dyDescent="0.25">
      <c r="A727" s="24" t="s">
        <v>860</v>
      </c>
      <c r="B727" s="299" t="s">
        <v>187</v>
      </c>
      <c r="C727" s="299" t="s">
        <v>159</v>
      </c>
      <c r="D727" s="299" t="s">
        <v>206</v>
      </c>
      <c r="E727" s="299"/>
      <c r="F727" s="297">
        <f>F729</f>
        <v>6</v>
      </c>
      <c r="G727" s="297">
        <f>G729</f>
        <v>6</v>
      </c>
    </row>
    <row r="728" spans="1:7" ht="63.2" customHeight="1" x14ac:dyDescent="0.25">
      <c r="A728" s="24" t="s">
        <v>586</v>
      </c>
      <c r="B728" s="299" t="s">
        <v>187</v>
      </c>
      <c r="C728" s="299" t="s">
        <v>159</v>
      </c>
      <c r="D728" s="299" t="s">
        <v>502</v>
      </c>
      <c r="E728" s="299"/>
      <c r="F728" s="297">
        <f>F731</f>
        <v>6</v>
      </c>
      <c r="G728" s="297">
        <f>G731</f>
        <v>6</v>
      </c>
    </row>
    <row r="729" spans="1:7" ht="51" customHeight="1" x14ac:dyDescent="0.25">
      <c r="A729" s="22" t="s">
        <v>632</v>
      </c>
      <c r="B729" s="346" t="s">
        <v>187</v>
      </c>
      <c r="C729" s="346" t="s">
        <v>159</v>
      </c>
      <c r="D729" s="346" t="s">
        <v>587</v>
      </c>
      <c r="E729" s="346"/>
      <c r="F729" s="300">
        <f>F730</f>
        <v>6</v>
      </c>
      <c r="G729" s="300">
        <f>G730</f>
        <v>6</v>
      </c>
    </row>
    <row r="730" spans="1:7" ht="39.4" customHeight="1" x14ac:dyDescent="0.25">
      <c r="A730" s="345" t="s">
        <v>123</v>
      </c>
      <c r="B730" s="346" t="s">
        <v>187</v>
      </c>
      <c r="C730" s="346" t="s">
        <v>159</v>
      </c>
      <c r="D730" s="346" t="s">
        <v>587</v>
      </c>
      <c r="E730" s="346" t="s">
        <v>124</v>
      </c>
      <c r="F730" s="300">
        <f>F731</f>
        <v>6</v>
      </c>
      <c r="G730" s="300">
        <f>G731</f>
        <v>6</v>
      </c>
    </row>
    <row r="731" spans="1:7" ht="35.450000000000003" customHeight="1" x14ac:dyDescent="0.25">
      <c r="A731" s="345" t="s">
        <v>125</v>
      </c>
      <c r="B731" s="346" t="s">
        <v>187</v>
      </c>
      <c r="C731" s="346" t="s">
        <v>159</v>
      </c>
      <c r="D731" s="346" t="s">
        <v>587</v>
      </c>
      <c r="E731" s="346" t="s">
        <v>126</v>
      </c>
      <c r="F731" s="300">
        <f>'Пр.4.1 ведом.23-24 '!G341</f>
        <v>6</v>
      </c>
      <c r="G731" s="300">
        <f>'Пр.4.1 ведом.23-24 '!H341</f>
        <v>6</v>
      </c>
    </row>
    <row r="732" spans="1:7" ht="47.25" x14ac:dyDescent="0.25">
      <c r="A732" s="340" t="s">
        <v>856</v>
      </c>
      <c r="B732" s="299" t="s">
        <v>187</v>
      </c>
      <c r="C732" s="299" t="s">
        <v>159</v>
      </c>
      <c r="D732" s="299" t="s">
        <v>339</v>
      </c>
      <c r="E732" s="299"/>
      <c r="F732" s="294">
        <f>F733</f>
        <v>793.3</v>
      </c>
      <c r="G732" s="294">
        <f>G733</f>
        <v>793.3</v>
      </c>
    </row>
    <row r="733" spans="1:7" ht="47.25" x14ac:dyDescent="0.25">
      <c r="A733" s="340" t="s">
        <v>461</v>
      </c>
      <c r="B733" s="299" t="s">
        <v>187</v>
      </c>
      <c r="C733" s="299" t="s">
        <v>159</v>
      </c>
      <c r="D733" s="299" t="s">
        <v>459</v>
      </c>
      <c r="E733" s="299"/>
      <c r="F733" s="294">
        <f>F734+F737</f>
        <v>793.3</v>
      </c>
      <c r="G733" s="294">
        <f>G734+G737</f>
        <v>793.3</v>
      </c>
    </row>
    <row r="734" spans="1:7" ht="35.450000000000003" customHeight="1" x14ac:dyDescent="0.25">
      <c r="A734" s="67" t="s">
        <v>565</v>
      </c>
      <c r="B734" s="346" t="s">
        <v>187</v>
      </c>
      <c r="C734" s="346" t="s">
        <v>159</v>
      </c>
      <c r="D734" s="346" t="s">
        <v>460</v>
      </c>
      <c r="E734" s="301"/>
      <c r="F734" s="295">
        <f>F735</f>
        <v>490.9</v>
      </c>
      <c r="G734" s="295">
        <f>G735</f>
        <v>490.9</v>
      </c>
    </row>
    <row r="735" spans="1:7" ht="31.5" x14ac:dyDescent="0.25">
      <c r="A735" s="345" t="s">
        <v>123</v>
      </c>
      <c r="B735" s="346" t="s">
        <v>187</v>
      </c>
      <c r="C735" s="346" t="s">
        <v>159</v>
      </c>
      <c r="D735" s="346" t="s">
        <v>460</v>
      </c>
      <c r="E735" s="301" t="s">
        <v>124</v>
      </c>
      <c r="F735" s="295">
        <f>F736</f>
        <v>490.9</v>
      </c>
      <c r="G735" s="295">
        <f>G736</f>
        <v>490.9</v>
      </c>
    </row>
    <row r="736" spans="1:7" ht="36.75" customHeight="1" x14ac:dyDescent="0.25">
      <c r="A736" s="345" t="s">
        <v>125</v>
      </c>
      <c r="B736" s="346" t="s">
        <v>187</v>
      </c>
      <c r="C736" s="346" t="s">
        <v>159</v>
      </c>
      <c r="D736" s="346" t="s">
        <v>460</v>
      </c>
      <c r="E736" s="301" t="s">
        <v>126</v>
      </c>
      <c r="F736" s="295">
        <f>'Пр.4.1 ведом.23-24 '!G346</f>
        <v>490.9</v>
      </c>
      <c r="G736" s="295">
        <f>'Пр.4.1 ведом.23-24 '!H346</f>
        <v>490.9</v>
      </c>
    </row>
    <row r="737" spans="1:7" ht="47.25" x14ac:dyDescent="0.25">
      <c r="A737" s="67" t="s">
        <v>357</v>
      </c>
      <c r="B737" s="346" t="s">
        <v>187</v>
      </c>
      <c r="C737" s="346" t="s">
        <v>159</v>
      </c>
      <c r="D737" s="346" t="s">
        <v>504</v>
      </c>
      <c r="E737" s="301"/>
      <c r="F737" s="295">
        <f>F738</f>
        <v>302.39999999999998</v>
      </c>
      <c r="G737" s="295">
        <f>G738</f>
        <v>302.39999999999998</v>
      </c>
    </row>
    <row r="738" spans="1:7" ht="31.5" x14ac:dyDescent="0.25">
      <c r="A738" s="20" t="s">
        <v>191</v>
      </c>
      <c r="B738" s="346" t="s">
        <v>187</v>
      </c>
      <c r="C738" s="346" t="s">
        <v>159</v>
      </c>
      <c r="D738" s="346" t="s">
        <v>504</v>
      </c>
      <c r="E738" s="301" t="s">
        <v>192</v>
      </c>
      <c r="F738" s="295">
        <f>F739</f>
        <v>302.39999999999998</v>
      </c>
      <c r="G738" s="295">
        <f>G739</f>
        <v>302.39999999999998</v>
      </c>
    </row>
    <row r="739" spans="1:7" ht="15.75" x14ac:dyDescent="0.25">
      <c r="A739" s="108" t="s">
        <v>193</v>
      </c>
      <c r="B739" s="346" t="s">
        <v>187</v>
      </c>
      <c r="C739" s="346" t="s">
        <v>159</v>
      </c>
      <c r="D739" s="346" t="s">
        <v>504</v>
      </c>
      <c r="E739" s="301" t="s">
        <v>194</v>
      </c>
      <c r="F739" s="295">
        <f>'Пр.4.1 ведом.23-24 '!G800</f>
        <v>302.39999999999998</v>
      </c>
      <c r="G739" s="295">
        <f>'Пр.4.1 ведом.23-24 '!H800</f>
        <v>302.39999999999998</v>
      </c>
    </row>
    <row r="740" spans="1:7" ht="15.75" x14ac:dyDescent="0.25">
      <c r="A740" s="298" t="s">
        <v>246</v>
      </c>
      <c r="B740" s="299" t="s">
        <v>187</v>
      </c>
      <c r="C740" s="299" t="s">
        <v>187</v>
      </c>
      <c r="D740" s="299"/>
      <c r="E740" s="304"/>
      <c r="F740" s="294">
        <f>F741+F760</f>
        <v>8438.6</v>
      </c>
      <c r="G740" s="294">
        <f>G741+G760</f>
        <v>8609.7000000000007</v>
      </c>
    </row>
    <row r="741" spans="1:7" ht="47.25" x14ac:dyDescent="0.25">
      <c r="A741" s="298" t="s">
        <v>878</v>
      </c>
      <c r="B741" s="299" t="s">
        <v>187</v>
      </c>
      <c r="C741" s="299" t="s">
        <v>187</v>
      </c>
      <c r="D741" s="299" t="s">
        <v>213</v>
      </c>
      <c r="E741" s="299"/>
      <c r="F741" s="294">
        <f>F742</f>
        <v>760.1</v>
      </c>
      <c r="G741" s="294">
        <f>G742</f>
        <v>760.1</v>
      </c>
    </row>
    <row r="742" spans="1:7" ht="31.5" x14ac:dyDescent="0.25">
      <c r="A742" s="298" t="s">
        <v>214</v>
      </c>
      <c r="B742" s="299" t="s">
        <v>187</v>
      </c>
      <c r="C742" s="299" t="s">
        <v>187</v>
      </c>
      <c r="D742" s="299" t="s">
        <v>215</v>
      </c>
      <c r="E742" s="299"/>
      <c r="F742" s="294">
        <f>F743+F750+F756</f>
        <v>760.1</v>
      </c>
      <c r="G742" s="294">
        <f>G743+G750+G756</f>
        <v>760.1</v>
      </c>
    </row>
    <row r="743" spans="1:7" ht="47.25" x14ac:dyDescent="0.25">
      <c r="A743" s="339" t="s">
        <v>589</v>
      </c>
      <c r="B743" s="299" t="s">
        <v>187</v>
      </c>
      <c r="C743" s="299" t="s">
        <v>187</v>
      </c>
      <c r="D743" s="299" t="s">
        <v>463</v>
      </c>
      <c r="E743" s="299"/>
      <c r="F743" s="294">
        <f>F744+F747</f>
        <v>280</v>
      </c>
      <c r="G743" s="294">
        <f>G744+G747</f>
        <v>280</v>
      </c>
    </row>
    <row r="744" spans="1:7" ht="31.5" x14ac:dyDescent="0.25">
      <c r="A744" s="67" t="s">
        <v>595</v>
      </c>
      <c r="B744" s="346" t="s">
        <v>187</v>
      </c>
      <c r="C744" s="346" t="s">
        <v>187</v>
      </c>
      <c r="D744" s="346" t="s">
        <v>464</v>
      </c>
      <c r="E744" s="346"/>
      <c r="F744" s="295">
        <f>F745</f>
        <v>280</v>
      </c>
      <c r="G744" s="295">
        <f>G745</f>
        <v>280</v>
      </c>
    </row>
    <row r="745" spans="1:7" ht="78.75" x14ac:dyDescent="0.25">
      <c r="A745" s="345" t="s">
        <v>119</v>
      </c>
      <c r="B745" s="346" t="s">
        <v>187</v>
      </c>
      <c r="C745" s="346" t="s">
        <v>187</v>
      </c>
      <c r="D745" s="346" t="s">
        <v>464</v>
      </c>
      <c r="E745" s="346" t="s">
        <v>120</v>
      </c>
      <c r="F745" s="295">
        <f>F746</f>
        <v>280</v>
      </c>
      <c r="G745" s="295">
        <f>G746</f>
        <v>280</v>
      </c>
    </row>
    <row r="746" spans="1:7" ht="17.45" customHeight="1" x14ac:dyDescent="0.25">
      <c r="A746" s="345" t="s">
        <v>212</v>
      </c>
      <c r="B746" s="346" t="s">
        <v>187</v>
      </c>
      <c r="C746" s="346" t="s">
        <v>187</v>
      </c>
      <c r="D746" s="346" t="s">
        <v>464</v>
      </c>
      <c r="E746" s="346" t="s">
        <v>156</v>
      </c>
      <c r="F746" s="295">
        <f>'Пр.4.1 ведом.23-24 '!G353</f>
        <v>280</v>
      </c>
      <c r="G746" s="295">
        <f>'Пр.4.1 ведом.23-24 '!H353</f>
        <v>280</v>
      </c>
    </row>
    <row r="747" spans="1:7" ht="19.5" hidden="1" customHeight="1" x14ac:dyDescent="0.25">
      <c r="A747" s="345" t="s">
        <v>590</v>
      </c>
      <c r="B747" s="346" t="s">
        <v>187</v>
      </c>
      <c r="C747" s="346" t="s">
        <v>187</v>
      </c>
      <c r="D747" s="346" t="s">
        <v>605</v>
      </c>
      <c r="E747" s="346"/>
      <c r="F747" s="295">
        <f>F748</f>
        <v>0</v>
      </c>
      <c r="G747" s="295">
        <f>G748</f>
        <v>0</v>
      </c>
    </row>
    <row r="748" spans="1:7" ht="31.5" hidden="1" x14ac:dyDescent="0.25">
      <c r="A748" s="345" t="s">
        <v>123</v>
      </c>
      <c r="B748" s="346" t="s">
        <v>187</v>
      </c>
      <c r="C748" s="346" t="s">
        <v>187</v>
      </c>
      <c r="D748" s="346" t="s">
        <v>605</v>
      </c>
      <c r="E748" s="346" t="s">
        <v>124</v>
      </c>
      <c r="F748" s="295">
        <f>F749</f>
        <v>0</v>
      </c>
      <c r="G748" s="295">
        <f>G749</f>
        <v>0</v>
      </c>
    </row>
    <row r="749" spans="1:7" ht="47.25" hidden="1" x14ac:dyDescent="0.25">
      <c r="A749" s="345" t="s">
        <v>125</v>
      </c>
      <c r="B749" s="346" t="s">
        <v>187</v>
      </c>
      <c r="C749" s="346" t="s">
        <v>187</v>
      </c>
      <c r="D749" s="346" t="s">
        <v>605</v>
      </c>
      <c r="E749" s="346" t="s">
        <v>126</v>
      </c>
      <c r="F749" s="295">
        <f>'Пр.4 ведом.22'!G385</f>
        <v>0</v>
      </c>
      <c r="G749" s="295">
        <f>'Пр.4 ведом.22'!H385</f>
        <v>0</v>
      </c>
    </row>
    <row r="750" spans="1:7" ht="63" x14ac:dyDescent="0.25">
      <c r="A750" s="298" t="s">
        <v>591</v>
      </c>
      <c r="B750" s="299" t="s">
        <v>187</v>
      </c>
      <c r="C750" s="299" t="s">
        <v>187</v>
      </c>
      <c r="D750" s="299" t="s">
        <v>465</v>
      </c>
      <c r="E750" s="299"/>
      <c r="F750" s="294">
        <f>F751</f>
        <v>455.1</v>
      </c>
      <c r="G750" s="294">
        <f>G751</f>
        <v>455.1</v>
      </c>
    </row>
    <row r="751" spans="1:7" ht="15.75" x14ac:dyDescent="0.25">
      <c r="A751" s="345" t="s">
        <v>592</v>
      </c>
      <c r="B751" s="346" t="s">
        <v>187</v>
      </c>
      <c r="C751" s="346" t="s">
        <v>187</v>
      </c>
      <c r="D751" s="346" t="s">
        <v>470</v>
      </c>
      <c r="E751" s="346"/>
      <c r="F751" s="295">
        <f>F752+F754</f>
        <v>455.1</v>
      </c>
      <c r="G751" s="295">
        <f>G752+G754</f>
        <v>455.1</v>
      </c>
    </row>
    <row r="752" spans="1:7" ht="78.75" x14ac:dyDescent="0.25">
      <c r="A752" s="345" t="s">
        <v>119</v>
      </c>
      <c r="B752" s="346" t="s">
        <v>187</v>
      </c>
      <c r="C752" s="346" t="s">
        <v>187</v>
      </c>
      <c r="D752" s="346" t="s">
        <v>470</v>
      </c>
      <c r="E752" s="346" t="s">
        <v>120</v>
      </c>
      <c r="F752" s="295">
        <f>F753</f>
        <v>40.1</v>
      </c>
      <c r="G752" s="295">
        <f>G753</f>
        <v>40.1</v>
      </c>
    </row>
    <row r="753" spans="1:7" ht="18.75" customHeight="1" x14ac:dyDescent="0.25">
      <c r="A753" s="345" t="s">
        <v>212</v>
      </c>
      <c r="B753" s="346" t="s">
        <v>187</v>
      </c>
      <c r="C753" s="346" t="s">
        <v>187</v>
      </c>
      <c r="D753" s="346" t="s">
        <v>470</v>
      </c>
      <c r="E753" s="346" t="s">
        <v>156</v>
      </c>
      <c r="F753" s="295">
        <f>'Пр.4.1 ведом.23-24 '!G360</f>
        <v>40.1</v>
      </c>
      <c r="G753" s="295">
        <f>'Пр.4.1 ведом.23-24 '!H360</f>
        <v>40.1</v>
      </c>
    </row>
    <row r="754" spans="1:7" ht="31.5" x14ac:dyDescent="0.25">
      <c r="A754" s="345" t="s">
        <v>123</v>
      </c>
      <c r="B754" s="346" t="s">
        <v>187</v>
      </c>
      <c r="C754" s="346" t="s">
        <v>187</v>
      </c>
      <c r="D754" s="346" t="s">
        <v>470</v>
      </c>
      <c r="E754" s="346" t="s">
        <v>124</v>
      </c>
      <c r="F754" s="295">
        <f>F755</f>
        <v>415</v>
      </c>
      <c r="G754" s="295">
        <f>G755</f>
        <v>415</v>
      </c>
    </row>
    <row r="755" spans="1:7" ht="47.25" x14ac:dyDescent="0.25">
      <c r="A755" s="345" t="s">
        <v>125</v>
      </c>
      <c r="B755" s="346" t="s">
        <v>187</v>
      </c>
      <c r="C755" s="346" t="s">
        <v>187</v>
      </c>
      <c r="D755" s="346" t="s">
        <v>470</v>
      </c>
      <c r="E755" s="346" t="s">
        <v>126</v>
      </c>
      <c r="F755" s="295">
        <f>'Пр.4.1 ведом.23-24 '!G362</f>
        <v>415</v>
      </c>
      <c r="G755" s="295">
        <f>'Пр.4.1 ведом.23-24 '!H362</f>
        <v>415</v>
      </c>
    </row>
    <row r="756" spans="1:7" ht="31.5" x14ac:dyDescent="0.25">
      <c r="A756" s="298" t="s">
        <v>901</v>
      </c>
      <c r="B756" s="299" t="s">
        <v>187</v>
      </c>
      <c r="C756" s="299" t="s">
        <v>187</v>
      </c>
      <c r="D756" s="299" t="s">
        <v>593</v>
      </c>
      <c r="E756" s="299"/>
      <c r="F756" s="294">
        <f t="shared" ref="F756:G758" si="125">F757</f>
        <v>25</v>
      </c>
      <c r="G756" s="294">
        <f t="shared" si="125"/>
        <v>25</v>
      </c>
    </row>
    <row r="757" spans="1:7" ht="47.25" x14ac:dyDescent="0.25">
      <c r="A757" s="150" t="s">
        <v>594</v>
      </c>
      <c r="B757" s="346" t="s">
        <v>187</v>
      </c>
      <c r="C757" s="346" t="s">
        <v>187</v>
      </c>
      <c r="D757" s="346" t="s">
        <v>606</v>
      </c>
      <c r="E757" s="346"/>
      <c r="F757" s="295">
        <f t="shared" si="125"/>
        <v>25</v>
      </c>
      <c r="G757" s="295">
        <f t="shared" si="125"/>
        <v>25</v>
      </c>
    </row>
    <row r="758" spans="1:7" ht="21.2" customHeight="1" x14ac:dyDescent="0.25">
      <c r="A758" s="345" t="s">
        <v>177</v>
      </c>
      <c r="B758" s="346" t="s">
        <v>187</v>
      </c>
      <c r="C758" s="346" t="s">
        <v>187</v>
      </c>
      <c r="D758" s="346" t="s">
        <v>606</v>
      </c>
      <c r="E758" s="346" t="s">
        <v>178</v>
      </c>
      <c r="F758" s="295">
        <f t="shared" si="125"/>
        <v>25</v>
      </c>
      <c r="G758" s="295">
        <f t="shared" si="125"/>
        <v>25</v>
      </c>
    </row>
    <row r="759" spans="1:7" ht="31.5" x14ac:dyDescent="0.25">
      <c r="A759" s="345" t="s">
        <v>216</v>
      </c>
      <c r="B759" s="346" t="s">
        <v>187</v>
      </c>
      <c r="C759" s="346" t="s">
        <v>187</v>
      </c>
      <c r="D759" s="346" t="s">
        <v>606</v>
      </c>
      <c r="E759" s="346" t="s">
        <v>217</v>
      </c>
      <c r="F759" s="295">
        <f>'Пр.4.1 ведом.23-24 '!G366</f>
        <v>25</v>
      </c>
      <c r="G759" s="295">
        <f>'Пр.4.1 ведом.23-24 '!H366</f>
        <v>25</v>
      </c>
    </row>
    <row r="760" spans="1:7" ht="36.75" customHeight="1" x14ac:dyDescent="0.25">
      <c r="A760" s="298" t="s">
        <v>859</v>
      </c>
      <c r="B760" s="299" t="s">
        <v>187</v>
      </c>
      <c r="C760" s="299" t="s">
        <v>187</v>
      </c>
      <c r="D760" s="299" t="s">
        <v>237</v>
      </c>
      <c r="E760" s="299"/>
      <c r="F760" s="294">
        <f t="shared" ref="F760:G763" si="126">F761</f>
        <v>7678.5</v>
      </c>
      <c r="G760" s="294">
        <f t="shared" si="126"/>
        <v>7849.6</v>
      </c>
    </row>
    <row r="761" spans="1:7" ht="31.5" x14ac:dyDescent="0.25">
      <c r="A761" s="298" t="s">
        <v>509</v>
      </c>
      <c r="B761" s="299" t="s">
        <v>187</v>
      </c>
      <c r="C761" s="299" t="s">
        <v>187</v>
      </c>
      <c r="D761" s="299" t="s">
        <v>770</v>
      </c>
      <c r="E761" s="299"/>
      <c r="F761" s="294">
        <f t="shared" si="126"/>
        <v>7678.5</v>
      </c>
      <c r="G761" s="294">
        <f t="shared" si="126"/>
        <v>7849.6</v>
      </c>
    </row>
    <row r="762" spans="1:7" ht="42" customHeight="1" x14ac:dyDescent="0.25">
      <c r="A762" s="22" t="s">
        <v>615</v>
      </c>
      <c r="B762" s="346" t="s">
        <v>187</v>
      </c>
      <c r="C762" s="346" t="s">
        <v>187</v>
      </c>
      <c r="D762" s="346" t="s">
        <v>787</v>
      </c>
      <c r="E762" s="346"/>
      <c r="F762" s="295">
        <f t="shared" si="126"/>
        <v>7678.5</v>
      </c>
      <c r="G762" s="295">
        <f t="shared" si="126"/>
        <v>7849.6</v>
      </c>
    </row>
    <row r="763" spans="1:7" ht="35.450000000000003" customHeight="1" x14ac:dyDescent="0.25">
      <c r="A763" s="345" t="s">
        <v>191</v>
      </c>
      <c r="B763" s="346" t="s">
        <v>187</v>
      </c>
      <c r="C763" s="346" t="s">
        <v>187</v>
      </c>
      <c r="D763" s="346" t="s">
        <v>787</v>
      </c>
      <c r="E763" s="346" t="s">
        <v>192</v>
      </c>
      <c r="F763" s="295">
        <f t="shared" si="126"/>
        <v>7678.5</v>
      </c>
      <c r="G763" s="295">
        <f t="shared" si="126"/>
        <v>7849.6</v>
      </c>
    </row>
    <row r="764" spans="1:7" ht="15.75" x14ac:dyDescent="0.25">
      <c r="A764" s="345" t="s">
        <v>193</v>
      </c>
      <c r="B764" s="346" t="s">
        <v>187</v>
      </c>
      <c r="C764" s="346" t="s">
        <v>187</v>
      </c>
      <c r="D764" s="346" t="s">
        <v>787</v>
      </c>
      <c r="E764" s="346" t="s">
        <v>194</v>
      </c>
      <c r="F764" s="295">
        <f>'Пр.4.1 ведом.23-24 '!G806</f>
        <v>7678.5</v>
      </c>
      <c r="G764" s="295">
        <f>'Пр.4.1 ведом.23-24 '!H806</f>
        <v>7849.6</v>
      </c>
    </row>
    <row r="765" spans="1:7" ht="15" customHeight="1" x14ac:dyDescent="0.25">
      <c r="A765" s="298" t="s">
        <v>201</v>
      </c>
      <c r="B765" s="299" t="s">
        <v>187</v>
      </c>
      <c r="C765" s="299" t="s">
        <v>161</v>
      </c>
      <c r="D765" s="299"/>
      <c r="E765" s="299"/>
      <c r="F765" s="294">
        <f>F766+F783</f>
        <v>22178.25</v>
      </c>
      <c r="G765" s="294">
        <f>G766+G783</f>
        <v>22339.95</v>
      </c>
    </row>
    <row r="766" spans="1:7" ht="31.5" x14ac:dyDescent="0.25">
      <c r="A766" s="298" t="s">
        <v>486</v>
      </c>
      <c r="B766" s="299" t="s">
        <v>187</v>
      </c>
      <c r="C766" s="299" t="s">
        <v>161</v>
      </c>
      <c r="D766" s="299" t="s">
        <v>432</v>
      </c>
      <c r="E766" s="299"/>
      <c r="F766" s="294">
        <f>F767</f>
        <v>21678.25</v>
      </c>
      <c r="G766" s="294">
        <f>G767</f>
        <v>21839.95</v>
      </c>
    </row>
    <row r="767" spans="1:7" ht="15.75" x14ac:dyDescent="0.25">
      <c r="A767" s="298" t="s">
        <v>487</v>
      </c>
      <c r="B767" s="299" t="s">
        <v>187</v>
      </c>
      <c r="C767" s="299" t="s">
        <v>161</v>
      </c>
      <c r="D767" s="299" t="s">
        <v>433</v>
      </c>
      <c r="E767" s="299"/>
      <c r="F767" s="294">
        <f>F768+F780+F773</f>
        <v>21678.25</v>
      </c>
      <c r="G767" s="294">
        <f>G768+G780+G773</f>
        <v>21839.95</v>
      </c>
    </row>
    <row r="768" spans="1:7" ht="31.5" x14ac:dyDescent="0.25">
      <c r="A768" s="345" t="s">
        <v>466</v>
      </c>
      <c r="B768" s="346" t="s">
        <v>187</v>
      </c>
      <c r="C768" s="346" t="s">
        <v>161</v>
      </c>
      <c r="D768" s="346" t="s">
        <v>434</v>
      </c>
      <c r="E768" s="346"/>
      <c r="F768" s="295">
        <f>F769+F771</f>
        <v>6215.4</v>
      </c>
      <c r="G768" s="295">
        <f>G769+G771</f>
        <v>6334.1</v>
      </c>
    </row>
    <row r="769" spans="1:7" ht="78.75" x14ac:dyDescent="0.25">
      <c r="A769" s="345" t="s">
        <v>119</v>
      </c>
      <c r="B769" s="346" t="s">
        <v>187</v>
      </c>
      <c r="C769" s="346" t="s">
        <v>161</v>
      </c>
      <c r="D769" s="346" t="s">
        <v>434</v>
      </c>
      <c r="E769" s="346" t="s">
        <v>120</v>
      </c>
      <c r="F769" s="295">
        <f>F770</f>
        <v>5965.4</v>
      </c>
      <c r="G769" s="295">
        <f>G770</f>
        <v>6084.1</v>
      </c>
    </row>
    <row r="770" spans="1:7" ht="36.75" customHeight="1" x14ac:dyDescent="0.25">
      <c r="A770" s="345" t="s">
        <v>121</v>
      </c>
      <c r="B770" s="346" t="s">
        <v>187</v>
      </c>
      <c r="C770" s="346" t="s">
        <v>161</v>
      </c>
      <c r="D770" s="346" t="s">
        <v>434</v>
      </c>
      <c r="E770" s="346" t="s">
        <v>122</v>
      </c>
      <c r="F770" s="295">
        <f>'Пр.4.1 ведом.23-24 '!G812</f>
        <v>5965.4</v>
      </c>
      <c r="G770" s="295">
        <f>'Пр.4.1 ведом.23-24 '!H812</f>
        <v>6084.1</v>
      </c>
    </row>
    <row r="771" spans="1:7" ht="31.5" x14ac:dyDescent="0.25">
      <c r="A771" s="345" t="s">
        <v>123</v>
      </c>
      <c r="B771" s="346" t="s">
        <v>187</v>
      </c>
      <c r="C771" s="346" t="s">
        <v>161</v>
      </c>
      <c r="D771" s="346" t="s">
        <v>434</v>
      </c>
      <c r="E771" s="346" t="s">
        <v>124</v>
      </c>
      <c r="F771" s="295">
        <f>F772</f>
        <v>250</v>
      </c>
      <c r="G771" s="295">
        <f>G772</f>
        <v>250</v>
      </c>
    </row>
    <row r="772" spans="1:7" ht="47.25" x14ac:dyDescent="0.25">
      <c r="A772" s="345" t="s">
        <v>125</v>
      </c>
      <c r="B772" s="346" t="s">
        <v>187</v>
      </c>
      <c r="C772" s="346" t="s">
        <v>161</v>
      </c>
      <c r="D772" s="346" t="s">
        <v>434</v>
      </c>
      <c r="E772" s="346" t="s">
        <v>126</v>
      </c>
      <c r="F772" s="295">
        <f>'Пр.4.1 ведом.23-24 '!G814</f>
        <v>250</v>
      </c>
      <c r="G772" s="295">
        <f>'Пр.4.1 ведом.23-24 '!H814</f>
        <v>250</v>
      </c>
    </row>
    <row r="773" spans="1:7" ht="31.5" x14ac:dyDescent="0.25">
      <c r="A773" s="345" t="s">
        <v>415</v>
      </c>
      <c r="B773" s="346" t="s">
        <v>187</v>
      </c>
      <c r="C773" s="346" t="s">
        <v>161</v>
      </c>
      <c r="D773" s="346" t="s">
        <v>435</v>
      </c>
      <c r="E773" s="346"/>
      <c r="F773" s="295">
        <f>F774+F776+F778</f>
        <v>14987.85</v>
      </c>
      <c r="G773" s="295">
        <f>G774+G776+G778</f>
        <v>14987.85</v>
      </c>
    </row>
    <row r="774" spans="1:7" ht="78.75" x14ac:dyDescent="0.25">
      <c r="A774" s="345" t="s">
        <v>119</v>
      </c>
      <c r="B774" s="346" t="s">
        <v>187</v>
      </c>
      <c r="C774" s="346" t="s">
        <v>161</v>
      </c>
      <c r="D774" s="346" t="s">
        <v>435</v>
      </c>
      <c r="E774" s="346" t="s">
        <v>120</v>
      </c>
      <c r="F774" s="295">
        <f>F775</f>
        <v>13536.2</v>
      </c>
      <c r="G774" s="295">
        <f>G775</f>
        <v>13536.2</v>
      </c>
    </row>
    <row r="775" spans="1:7" ht="31.5" x14ac:dyDescent="0.25">
      <c r="A775" s="345" t="s">
        <v>121</v>
      </c>
      <c r="B775" s="346" t="s">
        <v>187</v>
      </c>
      <c r="C775" s="346" t="s">
        <v>161</v>
      </c>
      <c r="D775" s="346" t="s">
        <v>435</v>
      </c>
      <c r="E775" s="346" t="s">
        <v>122</v>
      </c>
      <c r="F775" s="295">
        <f>'Пр.4.1 ведом.23-24 '!G817</f>
        <v>13536.2</v>
      </c>
      <c r="G775" s="295">
        <f>'Пр.4.1 ведом.23-24 '!H817</f>
        <v>13536.2</v>
      </c>
    </row>
    <row r="776" spans="1:7" ht="31.5" x14ac:dyDescent="0.25">
      <c r="A776" s="345" t="s">
        <v>123</v>
      </c>
      <c r="B776" s="346" t="s">
        <v>187</v>
      </c>
      <c r="C776" s="346" t="s">
        <v>161</v>
      </c>
      <c r="D776" s="346" t="s">
        <v>435</v>
      </c>
      <c r="E776" s="346" t="s">
        <v>124</v>
      </c>
      <c r="F776" s="295">
        <f>F777</f>
        <v>1437.65</v>
      </c>
      <c r="G776" s="295">
        <f>G777</f>
        <v>1437.65</v>
      </c>
    </row>
    <row r="777" spans="1:7" ht="47.25" x14ac:dyDescent="0.25">
      <c r="A777" s="345" t="s">
        <v>125</v>
      </c>
      <c r="B777" s="346" t="s">
        <v>187</v>
      </c>
      <c r="C777" s="346" t="s">
        <v>161</v>
      </c>
      <c r="D777" s="346" t="s">
        <v>435</v>
      </c>
      <c r="E777" s="346" t="s">
        <v>126</v>
      </c>
      <c r="F777" s="295">
        <f>'Пр.4.1 ведом.23-24 '!G819</f>
        <v>1437.65</v>
      </c>
      <c r="G777" s="295">
        <f>'Пр.4.1 ведом.23-24 '!H819</f>
        <v>1437.65</v>
      </c>
    </row>
    <row r="778" spans="1:7" ht="15.75" x14ac:dyDescent="0.25">
      <c r="A778" s="345" t="s">
        <v>127</v>
      </c>
      <c r="B778" s="346" t="s">
        <v>187</v>
      </c>
      <c r="C778" s="346" t="s">
        <v>161</v>
      </c>
      <c r="D778" s="346" t="s">
        <v>435</v>
      </c>
      <c r="E778" s="346" t="s">
        <v>134</v>
      </c>
      <c r="F778" s="295">
        <f>F779</f>
        <v>14</v>
      </c>
      <c r="G778" s="295">
        <f>G779</f>
        <v>14</v>
      </c>
    </row>
    <row r="779" spans="1:7" ht="15.75" x14ac:dyDescent="0.25">
      <c r="A779" s="345" t="s">
        <v>280</v>
      </c>
      <c r="B779" s="346" t="s">
        <v>187</v>
      </c>
      <c r="C779" s="346" t="s">
        <v>161</v>
      </c>
      <c r="D779" s="346" t="s">
        <v>435</v>
      </c>
      <c r="E779" s="346" t="s">
        <v>130</v>
      </c>
      <c r="F779" s="295">
        <f>'Пр.4.1 ведом.23-24 '!G821</f>
        <v>14</v>
      </c>
      <c r="G779" s="295">
        <f>'Пр.4.1 ведом.23-24 '!H821</f>
        <v>14</v>
      </c>
    </row>
    <row r="780" spans="1:7" ht="47.25" x14ac:dyDescent="0.25">
      <c r="A780" s="345" t="s">
        <v>414</v>
      </c>
      <c r="B780" s="346" t="s">
        <v>187</v>
      </c>
      <c r="C780" s="346" t="s">
        <v>161</v>
      </c>
      <c r="D780" s="346" t="s">
        <v>436</v>
      </c>
      <c r="E780" s="346"/>
      <c r="F780" s="295">
        <f>F781</f>
        <v>475</v>
      </c>
      <c r="G780" s="295">
        <f>G781</f>
        <v>518</v>
      </c>
    </row>
    <row r="781" spans="1:7" ht="78.75" x14ac:dyDescent="0.25">
      <c r="A781" s="345" t="s">
        <v>119</v>
      </c>
      <c r="B781" s="346" t="s">
        <v>187</v>
      </c>
      <c r="C781" s="346" t="s">
        <v>161</v>
      </c>
      <c r="D781" s="346" t="s">
        <v>436</v>
      </c>
      <c r="E781" s="346" t="s">
        <v>120</v>
      </c>
      <c r="F781" s="295">
        <f>F782</f>
        <v>475</v>
      </c>
      <c r="G781" s="295">
        <f>G782</f>
        <v>518</v>
      </c>
    </row>
    <row r="782" spans="1:7" ht="31.5" x14ac:dyDescent="0.25">
      <c r="A782" s="345" t="s">
        <v>121</v>
      </c>
      <c r="B782" s="346" t="s">
        <v>187</v>
      </c>
      <c r="C782" s="346" t="s">
        <v>161</v>
      </c>
      <c r="D782" s="346" t="s">
        <v>436</v>
      </c>
      <c r="E782" s="346" t="s">
        <v>122</v>
      </c>
      <c r="F782" s="295">
        <f>'Пр.4.1 ведом.23-24 '!G824</f>
        <v>475</v>
      </c>
      <c r="G782" s="295">
        <f>'Пр.4.1 ведом.23-24 '!H824</f>
        <v>518</v>
      </c>
    </row>
    <row r="783" spans="1:7" ht="15.75" x14ac:dyDescent="0.25">
      <c r="A783" s="298" t="s">
        <v>133</v>
      </c>
      <c r="B783" s="299" t="s">
        <v>187</v>
      </c>
      <c r="C783" s="299" t="s">
        <v>161</v>
      </c>
      <c r="D783" s="299" t="s">
        <v>440</v>
      </c>
      <c r="E783" s="299"/>
      <c r="F783" s="294">
        <f>F784+F793</f>
        <v>500</v>
      </c>
      <c r="G783" s="294">
        <f>G784+G793</f>
        <v>500</v>
      </c>
    </row>
    <row r="784" spans="1:7" ht="31.5" x14ac:dyDescent="0.25">
      <c r="A784" s="298" t="s">
        <v>444</v>
      </c>
      <c r="B784" s="299" t="s">
        <v>187</v>
      </c>
      <c r="C784" s="299" t="s">
        <v>161</v>
      </c>
      <c r="D784" s="299" t="s">
        <v>439</v>
      </c>
      <c r="E784" s="299"/>
      <c r="F784" s="294">
        <f>F788+F785</f>
        <v>500</v>
      </c>
      <c r="G784" s="294">
        <f>G788+G785</f>
        <v>500</v>
      </c>
    </row>
    <row r="785" spans="1:7" ht="47.25" hidden="1" x14ac:dyDescent="0.25">
      <c r="A785" s="22" t="s">
        <v>1067</v>
      </c>
      <c r="B785" s="346" t="s">
        <v>187</v>
      </c>
      <c r="C785" s="346" t="s">
        <v>161</v>
      </c>
      <c r="D785" s="346" t="s">
        <v>1066</v>
      </c>
      <c r="E785" s="346"/>
      <c r="F785" s="295">
        <f>F786</f>
        <v>0</v>
      </c>
      <c r="G785" s="295">
        <f>G786</f>
        <v>0</v>
      </c>
    </row>
    <row r="786" spans="1:7" ht="31.5" hidden="1" x14ac:dyDescent="0.25">
      <c r="A786" s="345" t="s">
        <v>123</v>
      </c>
      <c r="B786" s="346" t="s">
        <v>187</v>
      </c>
      <c r="C786" s="346" t="s">
        <v>161</v>
      </c>
      <c r="D786" s="346" t="s">
        <v>1066</v>
      </c>
      <c r="E786" s="346" t="s">
        <v>124</v>
      </c>
      <c r="F786" s="295">
        <f>F787</f>
        <v>0</v>
      </c>
      <c r="G786" s="295">
        <f>G787</f>
        <v>0</v>
      </c>
    </row>
    <row r="787" spans="1:7" ht="47.25" hidden="1" x14ac:dyDescent="0.25">
      <c r="A787" s="345" t="s">
        <v>125</v>
      </c>
      <c r="B787" s="346" t="s">
        <v>187</v>
      </c>
      <c r="C787" s="346" t="s">
        <v>161</v>
      </c>
      <c r="D787" s="346" t="s">
        <v>1066</v>
      </c>
      <c r="E787" s="346" t="s">
        <v>126</v>
      </c>
      <c r="F787" s="295">
        <f>'Пр.4 ведом.22'!G407</f>
        <v>0</v>
      </c>
      <c r="G787" s="295">
        <f>'Пр.4 ведом.22'!H407</f>
        <v>0</v>
      </c>
    </row>
    <row r="788" spans="1:7" ht="15.75" x14ac:dyDescent="0.25">
      <c r="A788" s="345" t="s">
        <v>247</v>
      </c>
      <c r="B788" s="346" t="s">
        <v>187</v>
      </c>
      <c r="C788" s="346" t="s">
        <v>161</v>
      </c>
      <c r="D788" s="346" t="s">
        <v>510</v>
      </c>
      <c r="E788" s="346"/>
      <c r="F788" s="295">
        <f>F789+F791</f>
        <v>500</v>
      </c>
      <c r="G788" s="295">
        <f>G789+G791</f>
        <v>500</v>
      </c>
    </row>
    <row r="789" spans="1:7" ht="78.75" hidden="1" x14ac:dyDescent="0.25">
      <c r="A789" s="345" t="s">
        <v>119</v>
      </c>
      <c r="B789" s="346" t="s">
        <v>187</v>
      </c>
      <c r="C789" s="346" t="s">
        <v>161</v>
      </c>
      <c r="D789" s="346" t="s">
        <v>510</v>
      </c>
      <c r="E789" s="346" t="s">
        <v>120</v>
      </c>
      <c r="F789" s="295">
        <f>F790</f>
        <v>0</v>
      </c>
      <c r="G789" s="295">
        <f>G790</f>
        <v>0</v>
      </c>
    </row>
    <row r="790" spans="1:7" ht="31.5" hidden="1" x14ac:dyDescent="0.25">
      <c r="A790" s="345" t="s">
        <v>212</v>
      </c>
      <c r="B790" s="346" t="s">
        <v>187</v>
      </c>
      <c r="C790" s="346" t="s">
        <v>161</v>
      </c>
      <c r="D790" s="346" t="s">
        <v>510</v>
      </c>
      <c r="E790" s="346" t="s">
        <v>156</v>
      </c>
      <c r="F790" s="295">
        <f>'Пр.4 ведом.22'!G923</f>
        <v>0</v>
      </c>
      <c r="G790" s="295">
        <f>'Пр.4 ведом.22'!H923</f>
        <v>0</v>
      </c>
    </row>
    <row r="791" spans="1:7" ht="31.5" x14ac:dyDescent="0.25">
      <c r="A791" s="345" t="s">
        <v>123</v>
      </c>
      <c r="B791" s="346" t="s">
        <v>187</v>
      </c>
      <c r="C791" s="346" t="s">
        <v>161</v>
      </c>
      <c r="D791" s="346" t="s">
        <v>510</v>
      </c>
      <c r="E791" s="346" t="s">
        <v>124</v>
      </c>
      <c r="F791" s="295">
        <f>F792</f>
        <v>500</v>
      </c>
      <c r="G791" s="295">
        <f>G792</f>
        <v>500</v>
      </c>
    </row>
    <row r="792" spans="1:7" ht="39.75" customHeight="1" x14ac:dyDescent="0.25">
      <c r="A792" s="345" t="s">
        <v>125</v>
      </c>
      <c r="B792" s="346" t="s">
        <v>187</v>
      </c>
      <c r="C792" s="346" t="s">
        <v>161</v>
      </c>
      <c r="D792" s="346" t="s">
        <v>510</v>
      </c>
      <c r="E792" s="346" t="s">
        <v>126</v>
      </c>
      <c r="F792" s="295">
        <f>'Пр.4.1 ведом.23-24 '!G831</f>
        <v>500</v>
      </c>
      <c r="G792" s="295">
        <f>'Пр.4.1 ведом.23-24 '!H831</f>
        <v>500</v>
      </c>
    </row>
    <row r="793" spans="1:7" ht="36.75" hidden="1" customHeight="1" x14ac:dyDescent="0.25">
      <c r="A793" s="298" t="s">
        <v>498</v>
      </c>
      <c r="B793" s="299" t="s">
        <v>187</v>
      </c>
      <c r="C793" s="299" t="s">
        <v>161</v>
      </c>
      <c r="D793" s="299" t="s">
        <v>483</v>
      </c>
      <c r="E793" s="299"/>
      <c r="F793" s="294">
        <f>F794+F801</f>
        <v>0</v>
      </c>
      <c r="G793" s="294">
        <f>G794+G801</f>
        <v>0</v>
      </c>
    </row>
    <row r="794" spans="1:7" ht="31.5" hidden="1" x14ac:dyDescent="0.25">
      <c r="A794" s="345" t="s">
        <v>472</v>
      </c>
      <c r="B794" s="346" t="s">
        <v>187</v>
      </c>
      <c r="C794" s="346" t="s">
        <v>161</v>
      </c>
      <c r="D794" s="346" t="s">
        <v>484</v>
      </c>
      <c r="E794" s="346"/>
      <c r="F794" s="246">
        <f>F795+F797+F799</f>
        <v>0</v>
      </c>
      <c r="G794" s="246">
        <f>G795+G797+G799</f>
        <v>0</v>
      </c>
    </row>
    <row r="795" spans="1:7" ht="78.75" hidden="1" x14ac:dyDescent="0.25">
      <c r="A795" s="345" t="s">
        <v>119</v>
      </c>
      <c r="B795" s="346" t="s">
        <v>187</v>
      </c>
      <c r="C795" s="346" t="s">
        <v>161</v>
      </c>
      <c r="D795" s="346" t="s">
        <v>484</v>
      </c>
      <c r="E795" s="346" t="s">
        <v>120</v>
      </c>
      <c r="F795" s="246">
        <f>F796</f>
        <v>0</v>
      </c>
      <c r="G795" s="246">
        <f>G796</f>
        <v>0</v>
      </c>
    </row>
    <row r="796" spans="1:7" ht="24" hidden="1" customHeight="1" x14ac:dyDescent="0.25">
      <c r="A796" s="345" t="s">
        <v>212</v>
      </c>
      <c r="B796" s="346" t="s">
        <v>187</v>
      </c>
      <c r="C796" s="346" t="s">
        <v>161</v>
      </c>
      <c r="D796" s="346" t="s">
        <v>484</v>
      </c>
      <c r="E796" s="346" t="s">
        <v>156</v>
      </c>
      <c r="F796" s="295">
        <f>'Пр.4.1 ведом.23-24 '!G835</f>
        <v>0</v>
      </c>
      <c r="G796" s="295">
        <f>'Пр.4.1 ведом.23-24 '!H835</f>
        <v>0</v>
      </c>
    </row>
    <row r="797" spans="1:7" ht="31.5" hidden="1" x14ac:dyDescent="0.25">
      <c r="A797" s="345" t="s">
        <v>123</v>
      </c>
      <c r="B797" s="346" t="s">
        <v>187</v>
      </c>
      <c r="C797" s="346" t="s">
        <v>161</v>
      </c>
      <c r="D797" s="346" t="s">
        <v>484</v>
      </c>
      <c r="E797" s="346" t="s">
        <v>124</v>
      </c>
      <c r="F797" s="295">
        <f>F798</f>
        <v>0</v>
      </c>
      <c r="G797" s="295">
        <f>G798</f>
        <v>0</v>
      </c>
    </row>
    <row r="798" spans="1:7" ht="31.7" hidden="1" customHeight="1" x14ac:dyDescent="0.25">
      <c r="A798" s="345" t="s">
        <v>125</v>
      </c>
      <c r="B798" s="346" t="s">
        <v>187</v>
      </c>
      <c r="C798" s="346" t="s">
        <v>161</v>
      </c>
      <c r="D798" s="346" t="s">
        <v>484</v>
      </c>
      <c r="E798" s="346" t="s">
        <v>126</v>
      </c>
      <c r="F798" s="295">
        <f>'Пр.4.1 ведом.23-24 '!G837</f>
        <v>0</v>
      </c>
      <c r="G798" s="295">
        <f>'Пр.4.1 ведом.23-24 '!H837</f>
        <v>0</v>
      </c>
    </row>
    <row r="799" spans="1:7" ht="22.7" hidden="1" customHeight="1" x14ac:dyDescent="0.25">
      <c r="A799" s="345" t="s">
        <v>127</v>
      </c>
      <c r="B799" s="346" t="s">
        <v>187</v>
      </c>
      <c r="C799" s="346" t="s">
        <v>161</v>
      </c>
      <c r="D799" s="346" t="s">
        <v>484</v>
      </c>
      <c r="E799" s="346" t="s">
        <v>134</v>
      </c>
      <c r="F799" s="295">
        <f t="shared" ref="F799:G799" si="127">F800</f>
        <v>0</v>
      </c>
      <c r="G799" s="295">
        <f t="shared" si="127"/>
        <v>0</v>
      </c>
    </row>
    <row r="800" spans="1:7" ht="15.75" hidden="1" customHeight="1" x14ac:dyDescent="0.25">
      <c r="A800" s="345" t="s">
        <v>280</v>
      </c>
      <c r="B800" s="346" t="s">
        <v>187</v>
      </c>
      <c r="C800" s="346" t="s">
        <v>161</v>
      </c>
      <c r="D800" s="346" t="s">
        <v>484</v>
      </c>
      <c r="E800" s="346" t="s">
        <v>130</v>
      </c>
      <c r="F800" s="295">
        <f>'Пр.4.1 ведом.23-24 '!G839</f>
        <v>0</v>
      </c>
      <c r="G800" s="295">
        <f>'Пр.4.1 ведом.23-24 '!H839</f>
        <v>0</v>
      </c>
    </row>
    <row r="801" spans="1:12" ht="47.25" hidden="1" customHeight="1" x14ac:dyDescent="0.25">
      <c r="A801" s="345" t="s">
        <v>414</v>
      </c>
      <c r="B801" s="346" t="s">
        <v>187</v>
      </c>
      <c r="C801" s="346" t="s">
        <v>161</v>
      </c>
      <c r="D801" s="346" t="s">
        <v>485</v>
      </c>
      <c r="E801" s="346"/>
      <c r="F801" s="295">
        <f>F802</f>
        <v>0</v>
      </c>
      <c r="G801" s="295">
        <f>G802</f>
        <v>0</v>
      </c>
    </row>
    <row r="802" spans="1:12" ht="78.75" hidden="1" x14ac:dyDescent="0.25">
      <c r="A802" s="345" t="s">
        <v>119</v>
      </c>
      <c r="B802" s="346" t="s">
        <v>187</v>
      </c>
      <c r="C802" s="346" t="s">
        <v>161</v>
      </c>
      <c r="D802" s="346" t="s">
        <v>485</v>
      </c>
      <c r="E802" s="346" t="s">
        <v>120</v>
      </c>
      <c r="F802" s="295">
        <f>F803</f>
        <v>0</v>
      </c>
      <c r="G802" s="295">
        <f>G803</f>
        <v>0</v>
      </c>
    </row>
    <row r="803" spans="1:12" ht="31.5" hidden="1" x14ac:dyDescent="0.25">
      <c r="A803" s="345" t="s">
        <v>121</v>
      </c>
      <c r="B803" s="346" t="s">
        <v>187</v>
      </c>
      <c r="C803" s="346" t="s">
        <v>161</v>
      </c>
      <c r="D803" s="346" t="s">
        <v>485</v>
      </c>
      <c r="E803" s="346" t="s">
        <v>122</v>
      </c>
      <c r="F803" s="295">
        <f>'Пр.4.1 ведом.23-24 '!G842</f>
        <v>0</v>
      </c>
      <c r="G803" s="295">
        <f>'Пр.4.1 ведом.23-24 '!H842</f>
        <v>0</v>
      </c>
    </row>
    <row r="804" spans="1:12" ht="15.75" x14ac:dyDescent="0.25">
      <c r="A804" s="340" t="s">
        <v>202</v>
      </c>
      <c r="B804" s="6" t="s">
        <v>203</v>
      </c>
      <c r="C804" s="6"/>
      <c r="D804" s="6"/>
      <c r="E804" s="6"/>
      <c r="F804" s="294">
        <f>F805+F887</f>
        <v>82217.399999999994</v>
      </c>
      <c r="G804" s="294">
        <f>G805+G887</f>
        <v>82221.299999999988</v>
      </c>
      <c r="H804" s="71"/>
      <c r="K804" s="149" t="e">
        <f>F804-F837-'Пр.4 ведом.22'!#REF!-'Пр.4 ведом.22'!#REF!-'Пр.4 ведом.22'!#REF!-'Пр.4 ведом.22'!#REF!</f>
        <v>#REF!</v>
      </c>
      <c r="L804" s="151" t="e">
        <f>F818+F837+F851-'Пр.4 ведом.22'!#REF!-'Пр.4 ведом.22'!#REF!-'Пр.4 ведом.22'!#REF!-'Пр.4 ведом.22'!#REF!</f>
        <v>#REF!</v>
      </c>
    </row>
    <row r="805" spans="1:12" ht="15.75" x14ac:dyDescent="0.25">
      <c r="A805" s="340" t="s">
        <v>204</v>
      </c>
      <c r="B805" s="6" t="s">
        <v>203</v>
      </c>
      <c r="C805" s="6" t="s">
        <v>116</v>
      </c>
      <c r="D805" s="6"/>
      <c r="E805" s="6"/>
      <c r="F805" s="294">
        <f>F806+F871+F879</f>
        <v>60054.7</v>
      </c>
      <c r="G805" s="294">
        <f>G806+G871+G879</f>
        <v>60054.7</v>
      </c>
      <c r="H805" s="71"/>
      <c r="I805" s="71"/>
      <c r="J805" s="71"/>
    </row>
    <row r="806" spans="1:12" ht="34.5" customHeight="1" x14ac:dyDescent="0.25">
      <c r="A806" s="298" t="s">
        <v>855</v>
      </c>
      <c r="B806" s="299" t="s">
        <v>203</v>
      </c>
      <c r="C806" s="299" t="s">
        <v>116</v>
      </c>
      <c r="D806" s="299" t="s">
        <v>189</v>
      </c>
      <c r="E806" s="299"/>
      <c r="F806" s="294">
        <f>F807+F821+F830+F837+F846+F850+F861</f>
        <v>59166</v>
      </c>
      <c r="G806" s="294">
        <f>G807+G821+G830+G837+G846+G850+G861</f>
        <v>59166</v>
      </c>
      <c r="H806" s="123"/>
    </row>
    <row r="807" spans="1:12" ht="34.5" customHeight="1" x14ac:dyDescent="0.25">
      <c r="A807" s="298" t="s">
        <v>815</v>
      </c>
      <c r="B807" s="299" t="s">
        <v>203</v>
      </c>
      <c r="C807" s="299" t="s">
        <v>116</v>
      </c>
      <c r="D807" s="299" t="s">
        <v>741</v>
      </c>
      <c r="E807" s="299"/>
      <c r="F807" s="294">
        <f>F811+F818+F808</f>
        <v>55444.5</v>
      </c>
      <c r="G807" s="294">
        <f>G811+G818+G808</f>
        <v>55444.5</v>
      </c>
    </row>
    <row r="808" spans="1:12" ht="31.5" x14ac:dyDescent="0.25">
      <c r="A808" s="391" t="s">
        <v>205</v>
      </c>
      <c r="B808" s="346" t="s">
        <v>203</v>
      </c>
      <c r="C808" s="346" t="s">
        <v>116</v>
      </c>
      <c r="D808" s="394" t="s">
        <v>1218</v>
      </c>
      <c r="E808" s="346"/>
      <c r="F808" s="295">
        <f>F809</f>
        <v>30184.6</v>
      </c>
      <c r="G808" s="295">
        <f>G809</f>
        <v>30184.6</v>
      </c>
    </row>
    <row r="809" spans="1:12" ht="31.5" x14ac:dyDescent="0.25">
      <c r="A809" s="391" t="s">
        <v>191</v>
      </c>
      <c r="B809" s="346" t="s">
        <v>203</v>
      </c>
      <c r="C809" s="346" t="s">
        <v>116</v>
      </c>
      <c r="D809" s="394" t="s">
        <v>1218</v>
      </c>
      <c r="E809" s="346" t="s">
        <v>192</v>
      </c>
      <c r="F809" s="295">
        <f>F810</f>
        <v>30184.6</v>
      </c>
      <c r="G809" s="295">
        <f>G810</f>
        <v>30184.6</v>
      </c>
    </row>
    <row r="810" spans="1:12" ht="15.75" x14ac:dyDescent="0.25">
      <c r="A810" s="345" t="s">
        <v>193</v>
      </c>
      <c r="B810" s="346" t="s">
        <v>203</v>
      </c>
      <c r="C810" s="346" t="s">
        <v>116</v>
      </c>
      <c r="D810" s="394" t="s">
        <v>1218</v>
      </c>
      <c r="E810" s="346" t="s">
        <v>194</v>
      </c>
      <c r="F810" s="295">
        <f>'Пр.4.1 ведом.23-24 '!G378</f>
        <v>30184.6</v>
      </c>
      <c r="G810" s="295">
        <f>'Пр.4.1 ведом.23-24 '!H378</f>
        <v>30184.6</v>
      </c>
    </row>
    <row r="811" spans="1:12" ht="15.75" x14ac:dyDescent="0.25">
      <c r="A811" s="345" t="s">
        <v>376</v>
      </c>
      <c r="B811" s="346" t="s">
        <v>203</v>
      </c>
      <c r="C811" s="346" t="s">
        <v>116</v>
      </c>
      <c r="D811" s="346" t="s">
        <v>742</v>
      </c>
      <c r="E811" s="346"/>
      <c r="F811" s="295">
        <f>F812+F814+F816</f>
        <v>25259.9</v>
      </c>
      <c r="G811" s="295">
        <f>G812+G814+G816</f>
        <v>25259.9</v>
      </c>
    </row>
    <row r="812" spans="1:12" ht="78.75" x14ac:dyDescent="0.25">
      <c r="A812" s="345" t="s">
        <v>119</v>
      </c>
      <c r="B812" s="346" t="s">
        <v>203</v>
      </c>
      <c r="C812" s="346" t="s">
        <v>116</v>
      </c>
      <c r="D812" s="346" t="s">
        <v>742</v>
      </c>
      <c r="E812" s="346" t="s">
        <v>120</v>
      </c>
      <c r="F812" s="295">
        <f>F813</f>
        <v>21278</v>
      </c>
      <c r="G812" s="295">
        <f>G813</f>
        <v>21278</v>
      </c>
    </row>
    <row r="813" spans="1:12" ht="15.75" x14ac:dyDescent="0.25">
      <c r="A813" s="345" t="s">
        <v>155</v>
      </c>
      <c r="B813" s="346" t="s">
        <v>203</v>
      </c>
      <c r="C813" s="346" t="s">
        <v>116</v>
      </c>
      <c r="D813" s="346" t="s">
        <v>742</v>
      </c>
      <c r="E813" s="346" t="s">
        <v>156</v>
      </c>
      <c r="F813" s="295">
        <f>'Пр.4.1 ведом.23-24 '!G381</f>
        <v>21278</v>
      </c>
      <c r="G813" s="295">
        <f>'Пр.4.1 ведом.23-24 '!H381</f>
        <v>21278</v>
      </c>
    </row>
    <row r="814" spans="1:12" ht="31.5" x14ac:dyDescent="0.25">
      <c r="A814" s="345" t="s">
        <v>123</v>
      </c>
      <c r="B814" s="346" t="s">
        <v>203</v>
      </c>
      <c r="C814" s="346" t="s">
        <v>116</v>
      </c>
      <c r="D814" s="346" t="s">
        <v>742</v>
      </c>
      <c r="E814" s="346" t="s">
        <v>124</v>
      </c>
      <c r="F814" s="295">
        <f>F815</f>
        <v>3955.8999999999996</v>
      </c>
      <c r="G814" s="295">
        <f>G815</f>
        <v>3955.8999999999996</v>
      </c>
      <c r="L814" s="15"/>
    </row>
    <row r="815" spans="1:12" ht="47.25" x14ac:dyDescent="0.25">
      <c r="A815" s="345" t="s">
        <v>125</v>
      </c>
      <c r="B815" s="346" t="s">
        <v>203</v>
      </c>
      <c r="C815" s="346" t="s">
        <v>116</v>
      </c>
      <c r="D815" s="346" t="s">
        <v>742</v>
      </c>
      <c r="E815" s="346" t="s">
        <v>126</v>
      </c>
      <c r="F815" s="295">
        <f>'Пр.4.1 ведом.23-24 '!G383</f>
        <v>3955.8999999999996</v>
      </c>
      <c r="G815" s="295">
        <f>'Пр.4.1 ведом.23-24 '!H383</f>
        <v>3955.8999999999996</v>
      </c>
    </row>
    <row r="816" spans="1:12" ht="15.75" x14ac:dyDescent="0.25">
      <c r="A816" s="345" t="s">
        <v>127</v>
      </c>
      <c r="B816" s="346" t="s">
        <v>203</v>
      </c>
      <c r="C816" s="346" t="s">
        <v>116</v>
      </c>
      <c r="D816" s="346" t="s">
        <v>742</v>
      </c>
      <c r="E816" s="346" t="s">
        <v>134</v>
      </c>
      <c r="F816" s="295">
        <f t="shared" ref="F816:G816" si="128">F817</f>
        <v>26</v>
      </c>
      <c r="G816" s="295">
        <f t="shared" si="128"/>
        <v>26</v>
      </c>
    </row>
    <row r="817" spans="1:7" ht="15.75" x14ac:dyDescent="0.25">
      <c r="A817" s="345" t="s">
        <v>280</v>
      </c>
      <c r="B817" s="346" t="s">
        <v>203</v>
      </c>
      <c r="C817" s="346" t="s">
        <v>116</v>
      </c>
      <c r="D817" s="346" t="s">
        <v>742</v>
      </c>
      <c r="E817" s="346" t="s">
        <v>130</v>
      </c>
      <c r="F817" s="295">
        <f>'Пр.4.1 ведом.23-24 '!G385</f>
        <v>26</v>
      </c>
      <c r="G817" s="295">
        <f>'Пр.4.1 ведом.23-24 '!H385</f>
        <v>26</v>
      </c>
    </row>
    <row r="818" spans="1:7" ht="29.85" hidden="1" customHeight="1" x14ac:dyDescent="0.25">
      <c r="A818" s="22" t="s">
        <v>974</v>
      </c>
      <c r="B818" s="346" t="s">
        <v>203</v>
      </c>
      <c r="C818" s="346" t="s">
        <v>116</v>
      </c>
      <c r="D818" s="346" t="s">
        <v>965</v>
      </c>
      <c r="E818" s="346"/>
      <c r="F818" s="295">
        <f>F819</f>
        <v>0</v>
      </c>
      <c r="G818" s="295">
        <f>G819</f>
        <v>0</v>
      </c>
    </row>
    <row r="819" spans="1:7" ht="78.75" hidden="1" x14ac:dyDescent="0.25">
      <c r="A819" s="345" t="s">
        <v>119</v>
      </c>
      <c r="B819" s="346" t="s">
        <v>203</v>
      </c>
      <c r="C819" s="346" t="s">
        <v>116</v>
      </c>
      <c r="D819" s="346" t="s">
        <v>965</v>
      </c>
      <c r="E819" s="346" t="s">
        <v>120</v>
      </c>
      <c r="F819" s="295">
        <f>F820</f>
        <v>0</v>
      </c>
      <c r="G819" s="295">
        <f>G820</f>
        <v>0</v>
      </c>
    </row>
    <row r="820" spans="1:7" ht="15.75" hidden="1" x14ac:dyDescent="0.25">
      <c r="A820" s="345" t="s">
        <v>155</v>
      </c>
      <c r="B820" s="346" t="s">
        <v>203</v>
      </c>
      <c r="C820" s="346" t="s">
        <v>116</v>
      </c>
      <c r="D820" s="346" t="s">
        <v>965</v>
      </c>
      <c r="E820" s="346" t="s">
        <v>156</v>
      </c>
      <c r="F820" s="295">
        <f>'Пр.4 ведом.22'!G424</f>
        <v>0</v>
      </c>
      <c r="G820" s="295">
        <f>'Пр.4 ведом.22'!H424</f>
        <v>0</v>
      </c>
    </row>
    <row r="821" spans="1:7" ht="31.5" x14ac:dyDescent="0.25">
      <c r="A821" s="138" t="s">
        <v>817</v>
      </c>
      <c r="B821" s="299" t="s">
        <v>203</v>
      </c>
      <c r="C821" s="299" t="s">
        <v>116</v>
      </c>
      <c r="D821" s="299" t="s">
        <v>743</v>
      </c>
      <c r="E821" s="299"/>
      <c r="F821" s="294">
        <f>F822+F827</f>
        <v>280</v>
      </c>
      <c r="G821" s="294">
        <f>G822+G827</f>
        <v>280</v>
      </c>
    </row>
    <row r="822" spans="1:7" ht="31.5" hidden="1" x14ac:dyDescent="0.25">
      <c r="A822" s="22" t="s">
        <v>392</v>
      </c>
      <c r="B822" s="346" t="s">
        <v>203</v>
      </c>
      <c r="C822" s="346" t="s">
        <v>116</v>
      </c>
      <c r="D822" s="346" t="s">
        <v>745</v>
      </c>
      <c r="E822" s="346"/>
      <c r="F822" s="295">
        <f>F823+F825</f>
        <v>0</v>
      </c>
      <c r="G822" s="295">
        <f>G823+G825</f>
        <v>0</v>
      </c>
    </row>
    <row r="823" spans="1:7" ht="78.75" hidden="1" x14ac:dyDescent="0.25">
      <c r="A823" s="345" t="s">
        <v>119</v>
      </c>
      <c r="B823" s="346" t="s">
        <v>203</v>
      </c>
      <c r="C823" s="346" t="s">
        <v>116</v>
      </c>
      <c r="D823" s="346" t="s">
        <v>745</v>
      </c>
      <c r="E823" s="346" t="s">
        <v>120</v>
      </c>
      <c r="F823" s="295">
        <f>F824</f>
        <v>0</v>
      </c>
      <c r="G823" s="295">
        <f>G824</f>
        <v>0</v>
      </c>
    </row>
    <row r="824" spans="1:7" ht="15.75" hidden="1" x14ac:dyDescent="0.25">
      <c r="A824" s="345" t="s">
        <v>155</v>
      </c>
      <c r="B824" s="346" t="s">
        <v>203</v>
      </c>
      <c r="C824" s="346" t="s">
        <v>116</v>
      </c>
      <c r="D824" s="346" t="s">
        <v>745</v>
      </c>
      <c r="E824" s="346" t="s">
        <v>156</v>
      </c>
      <c r="F824" s="295">
        <f>'Пр.4.1 ведом.23-24 '!G392</f>
        <v>0</v>
      </c>
      <c r="G824" s="295">
        <f>'Пр.4.1 ведом.23-24 '!H392</f>
        <v>0</v>
      </c>
    </row>
    <row r="825" spans="1:7" ht="31.5" hidden="1" x14ac:dyDescent="0.25">
      <c r="A825" s="345" t="s">
        <v>123</v>
      </c>
      <c r="B825" s="346" t="s">
        <v>203</v>
      </c>
      <c r="C825" s="346" t="s">
        <v>116</v>
      </c>
      <c r="D825" s="346" t="s">
        <v>745</v>
      </c>
      <c r="E825" s="346" t="s">
        <v>124</v>
      </c>
      <c r="F825" s="295">
        <f>F826</f>
        <v>0</v>
      </c>
      <c r="G825" s="295">
        <f>G826</f>
        <v>0</v>
      </c>
    </row>
    <row r="826" spans="1:7" ht="47.25" hidden="1" x14ac:dyDescent="0.25">
      <c r="A826" s="345" t="s">
        <v>125</v>
      </c>
      <c r="B826" s="346" t="s">
        <v>203</v>
      </c>
      <c r="C826" s="346" t="s">
        <v>116</v>
      </c>
      <c r="D826" s="346" t="s">
        <v>745</v>
      </c>
      <c r="E826" s="346" t="s">
        <v>126</v>
      </c>
      <c r="F826" s="295">
        <f>'Пр.4 ведом.22'!G430</f>
        <v>0</v>
      </c>
      <c r="G826" s="295">
        <f>'Пр.4 ведом.22'!H430</f>
        <v>0</v>
      </c>
    </row>
    <row r="827" spans="1:7" ht="31.5" x14ac:dyDescent="0.25">
      <c r="A827" s="345" t="s">
        <v>1219</v>
      </c>
      <c r="B827" s="346" t="s">
        <v>203</v>
      </c>
      <c r="C827" s="346" t="s">
        <v>116</v>
      </c>
      <c r="D827" s="394" t="s">
        <v>1220</v>
      </c>
      <c r="E827" s="346"/>
      <c r="F827" s="295">
        <f>F828</f>
        <v>280</v>
      </c>
      <c r="G827" s="295">
        <f>G828</f>
        <v>280</v>
      </c>
    </row>
    <row r="828" spans="1:7" ht="31.5" x14ac:dyDescent="0.25">
      <c r="A828" s="345" t="s">
        <v>191</v>
      </c>
      <c r="B828" s="346" t="s">
        <v>203</v>
      </c>
      <c r="C828" s="346" t="s">
        <v>116</v>
      </c>
      <c r="D828" s="394" t="s">
        <v>1220</v>
      </c>
      <c r="E828" s="346" t="s">
        <v>192</v>
      </c>
      <c r="F828" s="295">
        <f>F829</f>
        <v>280</v>
      </c>
      <c r="G828" s="295">
        <f>G829</f>
        <v>280</v>
      </c>
    </row>
    <row r="829" spans="1:7" ht="15.75" x14ac:dyDescent="0.25">
      <c r="A829" s="345" t="s">
        <v>193</v>
      </c>
      <c r="B829" s="346" t="s">
        <v>203</v>
      </c>
      <c r="C829" s="346" t="s">
        <v>116</v>
      </c>
      <c r="D829" s="394" t="s">
        <v>1220</v>
      </c>
      <c r="E829" s="346" t="s">
        <v>194</v>
      </c>
      <c r="F829" s="295">
        <f>'Пр.4.1 ведом.23-24 '!G397</f>
        <v>280</v>
      </c>
      <c r="G829" s="295">
        <f>'Пр.4.1 ведом.23-24 '!H397</f>
        <v>280</v>
      </c>
    </row>
    <row r="830" spans="1:7" ht="31.5" x14ac:dyDescent="0.25">
      <c r="A830" s="298" t="s">
        <v>512</v>
      </c>
      <c r="B830" s="299" t="s">
        <v>203</v>
      </c>
      <c r="C830" s="299" t="s">
        <v>116</v>
      </c>
      <c r="D830" s="299" t="s">
        <v>746</v>
      </c>
      <c r="E830" s="299"/>
      <c r="F830" s="294">
        <f>F831+F834</f>
        <v>903</v>
      </c>
      <c r="G830" s="294">
        <f>G831+G834</f>
        <v>903</v>
      </c>
    </row>
    <row r="831" spans="1:7" ht="47.25" x14ac:dyDescent="0.25">
      <c r="A831" s="345" t="s">
        <v>414</v>
      </c>
      <c r="B831" s="346" t="s">
        <v>203</v>
      </c>
      <c r="C831" s="346" t="s">
        <v>116</v>
      </c>
      <c r="D831" s="346" t="s">
        <v>747</v>
      </c>
      <c r="E831" s="346"/>
      <c r="F831" s="295">
        <f t="shared" ref="F831:G832" si="129">F832</f>
        <v>473</v>
      </c>
      <c r="G831" s="295">
        <f t="shared" si="129"/>
        <v>473</v>
      </c>
    </row>
    <row r="832" spans="1:7" ht="78.75" x14ac:dyDescent="0.25">
      <c r="A832" s="345" t="s">
        <v>119</v>
      </c>
      <c r="B832" s="346" t="s">
        <v>203</v>
      </c>
      <c r="C832" s="346" t="s">
        <v>116</v>
      </c>
      <c r="D832" s="346" t="s">
        <v>747</v>
      </c>
      <c r="E832" s="346" t="s">
        <v>120</v>
      </c>
      <c r="F832" s="295">
        <f t="shared" si="129"/>
        <v>473</v>
      </c>
      <c r="G832" s="295">
        <f t="shared" si="129"/>
        <v>473</v>
      </c>
    </row>
    <row r="833" spans="1:7" ht="31.5" x14ac:dyDescent="0.25">
      <c r="A833" s="345" t="s">
        <v>121</v>
      </c>
      <c r="B833" s="346" t="s">
        <v>203</v>
      </c>
      <c r="C833" s="346" t="s">
        <v>116</v>
      </c>
      <c r="D833" s="346" t="s">
        <v>747</v>
      </c>
      <c r="E833" s="346" t="s">
        <v>156</v>
      </c>
      <c r="F833" s="295">
        <f>'Пр.4.1 ведом.23-24 '!G401</f>
        <v>473</v>
      </c>
      <c r="G833" s="295">
        <f>'Пр.4.1 ведом.23-24 '!H401</f>
        <v>473</v>
      </c>
    </row>
    <row r="834" spans="1:7" ht="31.5" x14ac:dyDescent="0.25">
      <c r="A834" s="391" t="s">
        <v>342</v>
      </c>
      <c r="B834" s="346" t="s">
        <v>203</v>
      </c>
      <c r="C834" s="346" t="s">
        <v>116</v>
      </c>
      <c r="D834" s="394" t="s">
        <v>1221</v>
      </c>
      <c r="E834" s="346"/>
      <c r="F834" s="295">
        <f>F835</f>
        <v>430</v>
      </c>
      <c r="G834" s="295">
        <f>G835</f>
        <v>430</v>
      </c>
    </row>
    <row r="835" spans="1:7" ht="31.5" x14ac:dyDescent="0.25">
      <c r="A835" s="391" t="s">
        <v>191</v>
      </c>
      <c r="B835" s="346" t="s">
        <v>203</v>
      </c>
      <c r="C835" s="346" t="s">
        <v>116</v>
      </c>
      <c r="D835" s="394" t="s">
        <v>1221</v>
      </c>
      <c r="E835" s="346" t="s">
        <v>192</v>
      </c>
      <c r="F835" s="295">
        <f>F836</f>
        <v>430</v>
      </c>
      <c r="G835" s="295">
        <f>G836</f>
        <v>430</v>
      </c>
    </row>
    <row r="836" spans="1:7" ht="15.75" x14ac:dyDescent="0.25">
      <c r="A836" s="345" t="s">
        <v>193</v>
      </c>
      <c r="B836" s="346" t="s">
        <v>203</v>
      </c>
      <c r="C836" s="346" t="s">
        <v>116</v>
      </c>
      <c r="D836" s="394" t="s">
        <v>1221</v>
      </c>
      <c r="E836" s="346" t="s">
        <v>194</v>
      </c>
      <c r="F836" s="295">
        <f>'Пр.4.1 ведом.23-24 '!G404</f>
        <v>430</v>
      </c>
      <c r="G836" s="295">
        <f>'Пр.4.1 ведом.23-24 '!H404</f>
        <v>430</v>
      </c>
    </row>
    <row r="837" spans="1:7" ht="47.25" x14ac:dyDescent="0.25">
      <c r="A837" s="139" t="s">
        <v>469</v>
      </c>
      <c r="B837" s="299" t="s">
        <v>203</v>
      </c>
      <c r="C837" s="299" t="s">
        <v>116</v>
      </c>
      <c r="D837" s="299" t="s">
        <v>748</v>
      </c>
      <c r="E837" s="299"/>
      <c r="F837" s="294">
        <f>F838+F843</f>
        <v>2485</v>
      </c>
      <c r="G837" s="294">
        <f>G838+G843</f>
        <v>2485</v>
      </c>
    </row>
    <row r="838" spans="1:7" ht="94.5" x14ac:dyDescent="0.25">
      <c r="A838" s="22" t="s">
        <v>200</v>
      </c>
      <c r="B838" s="346" t="s">
        <v>203</v>
      </c>
      <c r="C838" s="346" t="s">
        <v>116</v>
      </c>
      <c r="D838" s="346" t="s">
        <v>898</v>
      </c>
      <c r="E838" s="346"/>
      <c r="F838" s="295">
        <f>F839+F841</f>
        <v>2100.5</v>
      </c>
      <c r="G838" s="295">
        <f>G839+G841</f>
        <v>2100.5</v>
      </c>
    </row>
    <row r="839" spans="1:7" ht="78.75" x14ac:dyDescent="0.25">
      <c r="A839" s="345" t="s">
        <v>119</v>
      </c>
      <c r="B839" s="346" t="s">
        <v>203</v>
      </c>
      <c r="C839" s="346" t="s">
        <v>116</v>
      </c>
      <c r="D839" s="346" t="s">
        <v>898</v>
      </c>
      <c r="E839" s="346" t="s">
        <v>120</v>
      </c>
      <c r="F839" s="295">
        <f>F840</f>
        <v>1204.3</v>
      </c>
      <c r="G839" s="295">
        <f>G840</f>
        <v>1204.3</v>
      </c>
    </row>
    <row r="840" spans="1:7" ht="15.75" x14ac:dyDescent="0.25">
      <c r="A840" s="345" t="s">
        <v>155</v>
      </c>
      <c r="B840" s="346" t="s">
        <v>203</v>
      </c>
      <c r="C840" s="346" t="s">
        <v>116</v>
      </c>
      <c r="D840" s="346" t="s">
        <v>898</v>
      </c>
      <c r="E840" s="346" t="s">
        <v>156</v>
      </c>
      <c r="F840" s="295">
        <f>'Пр.4.1 ведом.23-24 '!G408</f>
        <v>1204.3</v>
      </c>
      <c r="G840" s="295">
        <f>'Пр.4.1 ведом.23-24 '!H408</f>
        <v>1204.3</v>
      </c>
    </row>
    <row r="841" spans="1:7" ht="31.5" x14ac:dyDescent="0.25">
      <c r="A841" s="345" t="s">
        <v>191</v>
      </c>
      <c r="B841" s="346" t="s">
        <v>203</v>
      </c>
      <c r="C841" s="346" t="s">
        <v>116</v>
      </c>
      <c r="D841" s="346" t="s">
        <v>898</v>
      </c>
      <c r="E841" s="346" t="s">
        <v>192</v>
      </c>
      <c r="F841" s="295">
        <f>F842</f>
        <v>896.19999999999993</v>
      </c>
      <c r="G841" s="295">
        <f>G842</f>
        <v>896.19999999999993</v>
      </c>
    </row>
    <row r="842" spans="1:7" ht="15.75" x14ac:dyDescent="0.25">
      <c r="A842" s="345" t="s">
        <v>193</v>
      </c>
      <c r="B842" s="346" t="s">
        <v>203</v>
      </c>
      <c r="C842" s="346" t="s">
        <v>116</v>
      </c>
      <c r="D842" s="346" t="s">
        <v>898</v>
      </c>
      <c r="E842" s="346" t="s">
        <v>194</v>
      </c>
      <c r="F842" s="295">
        <f>'Пр.4.1 ведом.23-24 '!G410</f>
        <v>896.19999999999993</v>
      </c>
      <c r="G842" s="295">
        <f>'Пр.4.1 ведом.23-24 '!H410</f>
        <v>896.19999999999993</v>
      </c>
    </row>
    <row r="843" spans="1:7" ht="78.75" x14ac:dyDescent="0.25">
      <c r="A843" s="345" t="s">
        <v>207</v>
      </c>
      <c r="B843" s="346" t="s">
        <v>203</v>
      </c>
      <c r="C843" s="346" t="s">
        <v>116</v>
      </c>
      <c r="D843" s="346" t="s">
        <v>809</v>
      </c>
      <c r="E843" s="346"/>
      <c r="F843" s="300">
        <f>F844</f>
        <v>384.5</v>
      </c>
      <c r="G843" s="300">
        <f>G844</f>
        <v>384.5</v>
      </c>
    </row>
    <row r="844" spans="1:7" ht="78.75" x14ac:dyDescent="0.25">
      <c r="A844" s="345" t="s">
        <v>119</v>
      </c>
      <c r="B844" s="346" t="s">
        <v>203</v>
      </c>
      <c r="C844" s="346" t="s">
        <v>116</v>
      </c>
      <c r="D844" s="346" t="s">
        <v>809</v>
      </c>
      <c r="E844" s="346" t="s">
        <v>120</v>
      </c>
      <c r="F844" s="300">
        <f>F845</f>
        <v>384.5</v>
      </c>
      <c r="G844" s="300">
        <f>G845</f>
        <v>384.5</v>
      </c>
    </row>
    <row r="845" spans="1:7" ht="15.75" x14ac:dyDescent="0.25">
      <c r="A845" s="345" t="s">
        <v>155</v>
      </c>
      <c r="B845" s="346" t="s">
        <v>203</v>
      </c>
      <c r="C845" s="346" t="s">
        <v>116</v>
      </c>
      <c r="D845" s="346" t="s">
        <v>809</v>
      </c>
      <c r="E845" s="346" t="s">
        <v>156</v>
      </c>
      <c r="F845" s="300">
        <f>'Пр.4.1 ведом.23-24 '!G413</f>
        <v>384.5</v>
      </c>
      <c r="G845" s="300">
        <f>'Пр.4.1 ведом.23-24 '!H413</f>
        <v>384.5</v>
      </c>
    </row>
    <row r="846" spans="1:7" ht="31.5" x14ac:dyDescent="0.25">
      <c r="A846" s="298" t="s">
        <v>471</v>
      </c>
      <c r="B846" s="299" t="s">
        <v>203</v>
      </c>
      <c r="C846" s="299" t="s">
        <v>116</v>
      </c>
      <c r="D846" s="299" t="s">
        <v>751</v>
      </c>
      <c r="E846" s="299"/>
      <c r="F846" s="294">
        <f t="shared" ref="F846:G848" si="130">F847</f>
        <v>50</v>
      </c>
      <c r="G846" s="294">
        <f t="shared" si="130"/>
        <v>50</v>
      </c>
    </row>
    <row r="847" spans="1:7" ht="31.5" x14ac:dyDescent="0.25">
      <c r="A847" s="345" t="s">
        <v>397</v>
      </c>
      <c r="B847" s="346" t="s">
        <v>203</v>
      </c>
      <c r="C847" s="346" t="s">
        <v>116</v>
      </c>
      <c r="D847" s="346" t="s">
        <v>752</v>
      </c>
      <c r="E847" s="346"/>
      <c r="F847" s="295">
        <f t="shared" si="130"/>
        <v>50</v>
      </c>
      <c r="G847" s="295">
        <f t="shared" si="130"/>
        <v>50</v>
      </c>
    </row>
    <row r="848" spans="1:7" ht="31.5" x14ac:dyDescent="0.25">
      <c r="A848" s="345" t="s">
        <v>123</v>
      </c>
      <c r="B848" s="346" t="s">
        <v>203</v>
      </c>
      <c r="C848" s="346" t="s">
        <v>116</v>
      </c>
      <c r="D848" s="346" t="s">
        <v>752</v>
      </c>
      <c r="E848" s="346" t="s">
        <v>124</v>
      </c>
      <c r="F848" s="295">
        <f t="shared" si="130"/>
        <v>50</v>
      </c>
      <c r="G848" s="295">
        <f t="shared" si="130"/>
        <v>50</v>
      </c>
    </row>
    <row r="849" spans="1:7" ht="47.25" x14ac:dyDescent="0.25">
      <c r="A849" s="345" t="s">
        <v>125</v>
      </c>
      <c r="B849" s="346" t="s">
        <v>203</v>
      </c>
      <c r="C849" s="346" t="s">
        <v>116</v>
      </c>
      <c r="D849" s="346" t="s">
        <v>752</v>
      </c>
      <c r="E849" s="346" t="s">
        <v>126</v>
      </c>
      <c r="F849" s="295">
        <f>'Пр.4.1 ведом.23-24 '!G417</f>
        <v>50</v>
      </c>
      <c r="G849" s="295">
        <f>'Пр.4.1 ведом.23-24 '!H417</f>
        <v>50</v>
      </c>
    </row>
    <row r="850" spans="1:7" ht="31.5" x14ac:dyDescent="0.25">
      <c r="A850" s="298" t="s">
        <v>571</v>
      </c>
      <c r="B850" s="299" t="s">
        <v>203</v>
      </c>
      <c r="C850" s="299" t="s">
        <v>116</v>
      </c>
      <c r="D850" s="299" t="s">
        <v>753</v>
      </c>
      <c r="E850" s="299"/>
      <c r="F850" s="294">
        <f>F851+F854</f>
        <v>3.5</v>
      </c>
      <c r="G850" s="294">
        <f>G851</f>
        <v>3.5</v>
      </c>
    </row>
    <row r="851" spans="1:7" ht="31.5" x14ac:dyDescent="0.25">
      <c r="A851" s="345" t="s">
        <v>966</v>
      </c>
      <c r="B851" s="346" t="s">
        <v>203</v>
      </c>
      <c r="C851" s="346" t="s">
        <v>116</v>
      </c>
      <c r="D851" s="346" t="s">
        <v>754</v>
      </c>
      <c r="E851" s="346"/>
      <c r="F851" s="295">
        <f>F852</f>
        <v>3.5</v>
      </c>
      <c r="G851" s="295">
        <f>G852</f>
        <v>3.5</v>
      </c>
    </row>
    <row r="852" spans="1:7" ht="31.5" x14ac:dyDescent="0.25">
      <c r="A852" s="345" t="s">
        <v>123</v>
      </c>
      <c r="B852" s="346" t="s">
        <v>203</v>
      </c>
      <c r="C852" s="346" t="s">
        <v>116</v>
      </c>
      <c r="D852" s="346" t="s">
        <v>754</v>
      </c>
      <c r="E852" s="346" t="s">
        <v>124</v>
      </c>
      <c r="F852" s="295">
        <f>F853</f>
        <v>3.5</v>
      </c>
      <c r="G852" s="295">
        <f>G853</f>
        <v>3.5</v>
      </c>
    </row>
    <row r="853" spans="1:7" ht="47.25" x14ac:dyDescent="0.25">
      <c r="A853" s="345" t="s">
        <v>125</v>
      </c>
      <c r="B853" s="346" t="s">
        <v>203</v>
      </c>
      <c r="C853" s="346" t="s">
        <v>116</v>
      </c>
      <c r="D853" s="346" t="s">
        <v>754</v>
      </c>
      <c r="E853" s="346" t="s">
        <v>126</v>
      </c>
      <c r="F853" s="295">
        <f>'Пр.4.1 ведом.23-24 '!G421</f>
        <v>3.5</v>
      </c>
      <c r="G853" s="295">
        <f>'Пр.4.1 ведом.23-24 '!H421</f>
        <v>3.5</v>
      </c>
    </row>
    <row r="854" spans="1:7" ht="31.5" hidden="1" x14ac:dyDescent="0.25">
      <c r="A854" s="345" t="s">
        <v>1155</v>
      </c>
      <c r="B854" s="346" t="s">
        <v>203</v>
      </c>
      <c r="C854" s="346" t="s">
        <v>116</v>
      </c>
      <c r="D854" s="346" t="s">
        <v>1156</v>
      </c>
      <c r="E854" s="346"/>
      <c r="F854" s="295">
        <f>F855</f>
        <v>0</v>
      </c>
      <c r="G854" s="295">
        <f>G855</f>
        <v>0</v>
      </c>
    </row>
    <row r="855" spans="1:7" ht="31.5" hidden="1" x14ac:dyDescent="0.25">
      <c r="A855" s="345" t="s">
        <v>123</v>
      </c>
      <c r="B855" s="346" t="s">
        <v>203</v>
      </c>
      <c r="C855" s="346" t="s">
        <v>116</v>
      </c>
      <c r="D855" s="346" t="s">
        <v>1156</v>
      </c>
      <c r="E855" s="346" t="s">
        <v>124</v>
      </c>
      <c r="F855" s="295">
        <f>F856</f>
        <v>0</v>
      </c>
      <c r="G855" s="295">
        <f>G856</f>
        <v>0</v>
      </c>
    </row>
    <row r="856" spans="1:7" ht="47.25" hidden="1" x14ac:dyDescent="0.25">
      <c r="A856" s="345" t="s">
        <v>125</v>
      </c>
      <c r="B856" s="346" t="s">
        <v>203</v>
      </c>
      <c r="C856" s="346" t="s">
        <v>116</v>
      </c>
      <c r="D856" s="346" t="s">
        <v>1156</v>
      </c>
      <c r="E856" s="346" t="s">
        <v>126</v>
      </c>
      <c r="F856" s="295">
        <f>'Пр.4.1 ведом.23-24 '!G424</f>
        <v>0</v>
      </c>
      <c r="G856" s="295">
        <f>'Пр.4 ведом.22'!H469</f>
        <v>0</v>
      </c>
    </row>
    <row r="857" spans="1:7" ht="31.5" hidden="1" x14ac:dyDescent="0.25">
      <c r="A857" s="24" t="s">
        <v>1049</v>
      </c>
      <c r="B857" s="299" t="s">
        <v>203</v>
      </c>
      <c r="C857" s="299" t="s">
        <v>116</v>
      </c>
      <c r="D857" s="299" t="s">
        <v>1051</v>
      </c>
      <c r="E857" s="299"/>
      <c r="F857" s="294">
        <f t="shared" ref="F857:G859" si="131">F858</f>
        <v>0</v>
      </c>
      <c r="G857" s="294">
        <f t="shared" si="131"/>
        <v>0</v>
      </c>
    </row>
    <row r="858" spans="1:7" ht="63" hidden="1" x14ac:dyDescent="0.25">
      <c r="A858" s="22" t="s">
        <v>1050</v>
      </c>
      <c r="B858" s="346" t="s">
        <v>203</v>
      </c>
      <c r="C858" s="346" t="s">
        <v>116</v>
      </c>
      <c r="D858" s="346" t="s">
        <v>1052</v>
      </c>
      <c r="E858" s="346"/>
      <c r="F858" s="295">
        <f t="shared" si="131"/>
        <v>0</v>
      </c>
      <c r="G858" s="295">
        <f t="shared" si="131"/>
        <v>0</v>
      </c>
    </row>
    <row r="859" spans="1:7" ht="31.5" hidden="1" x14ac:dyDescent="0.25">
      <c r="A859" s="345" t="s">
        <v>123</v>
      </c>
      <c r="B859" s="346" t="s">
        <v>203</v>
      </c>
      <c r="C859" s="346" t="s">
        <v>116</v>
      </c>
      <c r="D859" s="346" t="s">
        <v>1052</v>
      </c>
      <c r="E859" s="346" t="s">
        <v>124</v>
      </c>
      <c r="F859" s="295">
        <f t="shared" si="131"/>
        <v>0</v>
      </c>
      <c r="G859" s="295">
        <f t="shared" si="131"/>
        <v>0</v>
      </c>
    </row>
    <row r="860" spans="1:7" ht="47.25" hidden="1" x14ac:dyDescent="0.25">
      <c r="A860" s="345" t="s">
        <v>125</v>
      </c>
      <c r="B860" s="346" t="s">
        <v>203</v>
      </c>
      <c r="C860" s="346" t="s">
        <v>116</v>
      </c>
      <c r="D860" s="346" t="s">
        <v>1052</v>
      </c>
      <c r="E860" s="346" t="s">
        <v>126</v>
      </c>
      <c r="F860" s="295">
        <f>'Пр.4 ведом.22'!G473</f>
        <v>0</v>
      </c>
      <c r="G860" s="295">
        <f>'Пр.4 ведом.22'!H473</f>
        <v>0</v>
      </c>
    </row>
    <row r="861" spans="1:7" ht="31.5" hidden="1" x14ac:dyDescent="0.25">
      <c r="A861" s="339" t="s">
        <v>723</v>
      </c>
      <c r="B861" s="299" t="s">
        <v>203</v>
      </c>
      <c r="C861" s="299" t="s">
        <v>116</v>
      </c>
      <c r="D861" s="299" t="s">
        <v>749</v>
      </c>
      <c r="E861" s="299"/>
      <c r="F861" s="297">
        <f>F865+F868+F862</f>
        <v>0</v>
      </c>
      <c r="G861" s="297">
        <f>G865+G868+G862</f>
        <v>0</v>
      </c>
    </row>
    <row r="862" spans="1:7" ht="47.25" hidden="1" x14ac:dyDescent="0.25">
      <c r="A862" s="327" t="s">
        <v>1113</v>
      </c>
      <c r="B862" s="346" t="s">
        <v>203</v>
      </c>
      <c r="C862" s="346" t="s">
        <v>116</v>
      </c>
      <c r="D862" s="346" t="s">
        <v>1112</v>
      </c>
      <c r="E862" s="346"/>
      <c r="F862" s="300">
        <f>F863</f>
        <v>0</v>
      </c>
      <c r="G862" s="300">
        <f>G863</f>
        <v>0</v>
      </c>
    </row>
    <row r="863" spans="1:7" ht="31.5" hidden="1" x14ac:dyDescent="0.25">
      <c r="A863" s="345" t="s">
        <v>123</v>
      </c>
      <c r="B863" s="346" t="s">
        <v>203</v>
      </c>
      <c r="C863" s="346" t="s">
        <v>116</v>
      </c>
      <c r="D863" s="346" t="s">
        <v>1112</v>
      </c>
      <c r="E863" s="346" t="s">
        <v>124</v>
      </c>
      <c r="F863" s="300">
        <f>F864</f>
        <v>0</v>
      </c>
      <c r="G863" s="300">
        <f>G864</f>
        <v>0</v>
      </c>
    </row>
    <row r="864" spans="1:7" ht="47.25" hidden="1" x14ac:dyDescent="0.25">
      <c r="A864" s="345" t="s">
        <v>125</v>
      </c>
      <c r="B864" s="346" t="s">
        <v>203</v>
      </c>
      <c r="C864" s="346" t="s">
        <v>116</v>
      </c>
      <c r="D864" s="346" t="s">
        <v>1112</v>
      </c>
      <c r="E864" s="346" t="s">
        <v>126</v>
      </c>
      <c r="F864" s="300">
        <f>'Пр.4 ведом.22'!G481</f>
        <v>0</v>
      </c>
      <c r="G864" s="300">
        <f>'Пр.4 ведом.22'!H481</f>
        <v>0</v>
      </c>
    </row>
    <row r="865" spans="1:8" ht="15.75" hidden="1" x14ac:dyDescent="0.25">
      <c r="A865" s="342" t="s">
        <v>1152</v>
      </c>
      <c r="B865" s="346" t="s">
        <v>203</v>
      </c>
      <c r="C865" s="346" t="s">
        <v>116</v>
      </c>
      <c r="D865" s="346" t="s">
        <v>1153</v>
      </c>
      <c r="E865" s="299"/>
      <c r="F865" s="300">
        <f>F866</f>
        <v>0</v>
      </c>
      <c r="G865" s="300">
        <f>G866</f>
        <v>0</v>
      </c>
    </row>
    <row r="866" spans="1:8" ht="31.5" hidden="1" x14ac:dyDescent="0.25">
      <c r="A866" s="345" t="s">
        <v>123</v>
      </c>
      <c r="B866" s="346" t="s">
        <v>203</v>
      </c>
      <c r="C866" s="346" t="s">
        <v>116</v>
      </c>
      <c r="D866" s="346" t="s">
        <v>1153</v>
      </c>
      <c r="E866" s="346" t="s">
        <v>124</v>
      </c>
      <c r="F866" s="300">
        <f>F867</f>
        <v>0</v>
      </c>
      <c r="G866" s="300">
        <f>G867</f>
        <v>0</v>
      </c>
    </row>
    <row r="867" spans="1:8" ht="47.25" hidden="1" x14ac:dyDescent="0.25">
      <c r="A867" s="345" t="s">
        <v>125</v>
      </c>
      <c r="B867" s="346" t="s">
        <v>203</v>
      </c>
      <c r="C867" s="346" t="s">
        <v>116</v>
      </c>
      <c r="D867" s="346" t="s">
        <v>1153</v>
      </c>
      <c r="E867" s="346" t="s">
        <v>126</v>
      </c>
      <c r="F867" s="300">
        <f>'Пр.4.1 ведом.23-24 '!G435</f>
        <v>0</v>
      </c>
      <c r="G867" s="300">
        <f>'Пр.4.1 ведом.23-24 '!H435</f>
        <v>0</v>
      </c>
    </row>
    <row r="868" spans="1:8" ht="15.75" hidden="1" x14ac:dyDescent="0.25">
      <c r="A868" s="67" t="s">
        <v>725</v>
      </c>
      <c r="B868" s="346" t="s">
        <v>203</v>
      </c>
      <c r="C868" s="346" t="s">
        <v>116</v>
      </c>
      <c r="D868" s="346" t="s">
        <v>750</v>
      </c>
      <c r="E868" s="346"/>
      <c r="F868" s="300">
        <f t="shared" ref="F868:G868" si="132">F869</f>
        <v>0</v>
      </c>
      <c r="G868" s="300">
        <f t="shared" si="132"/>
        <v>0</v>
      </c>
    </row>
    <row r="869" spans="1:8" ht="31.5" hidden="1" x14ac:dyDescent="0.25">
      <c r="A869" s="345" t="s">
        <v>123</v>
      </c>
      <c r="B869" s="346" t="s">
        <v>203</v>
      </c>
      <c r="C869" s="346" t="s">
        <v>116</v>
      </c>
      <c r="D869" s="346" t="s">
        <v>750</v>
      </c>
      <c r="E869" s="346" t="s">
        <v>124</v>
      </c>
      <c r="F869" s="300">
        <f>F870</f>
        <v>0</v>
      </c>
      <c r="G869" s="300">
        <f>G870</f>
        <v>0</v>
      </c>
    </row>
    <row r="870" spans="1:8" ht="47.25" hidden="1" x14ac:dyDescent="0.25">
      <c r="A870" s="345" t="s">
        <v>125</v>
      </c>
      <c r="B870" s="346" t="s">
        <v>203</v>
      </c>
      <c r="C870" s="346" t="s">
        <v>116</v>
      </c>
      <c r="D870" s="346" t="s">
        <v>750</v>
      </c>
      <c r="E870" s="346" t="s">
        <v>126</v>
      </c>
      <c r="F870" s="300">
        <f>'Пр.4.1 ведом.23-24 '!G438</f>
        <v>0</v>
      </c>
      <c r="G870" s="300">
        <f>'Пр.4.1 ведом.23-24 '!H438</f>
        <v>0</v>
      </c>
    </row>
    <row r="871" spans="1:8" ht="47.25" x14ac:dyDescent="0.25">
      <c r="A871" s="24" t="s">
        <v>860</v>
      </c>
      <c r="B871" s="299" t="s">
        <v>203</v>
      </c>
      <c r="C871" s="299" t="s">
        <v>116</v>
      </c>
      <c r="D871" s="299" t="s">
        <v>206</v>
      </c>
      <c r="E871" s="299"/>
      <c r="F871" s="248">
        <f t="shared" ref="F871:G874" si="133">F872</f>
        <v>10</v>
      </c>
      <c r="G871" s="248">
        <f t="shared" si="133"/>
        <v>10</v>
      </c>
    </row>
    <row r="872" spans="1:8" ht="63" x14ac:dyDescent="0.25">
      <c r="A872" s="24" t="s">
        <v>586</v>
      </c>
      <c r="B872" s="299" t="s">
        <v>203</v>
      </c>
      <c r="C872" s="299" t="s">
        <v>116</v>
      </c>
      <c r="D872" s="299" t="s">
        <v>502</v>
      </c>
      <c r="E872" s="299"/>
      <c r="F872" s="294">
        <f>F873+F876</f>
        <v>10</v>
      </c>
      <c r="G872" s="294">
        <f>G873+G876</f>
        <v>10</v>
      </c>
      <c r="H872" s="71"/>
    </row>
    <row r="873" spans="1:8" ht="47.25" x14ac:dyDescent="0.25">
      <c r="A873" s="22" t="s">
        <v>631</v>
      </c>
      <c r="B873" s="346" t="s">
        <v>203</v>
      </c>
      <c r="C873" s="346" t="s">
        <v>116</v>
      </c>
      <c r="D873" s="346" t="s">
        <v>587</v>
      </c>
      <c r="E873" s="346"/>
      <c r="F873" s="295">
        <f t="shared" si="133"/>
        <v>4</v>
      </c>
      <c r="G873" s="295">
        <f t="shared" si="133"/>
        <v>4</v>
      </c>
    </row>
    <row r="874" spans="1:8" ht="31.5" x14ac:dyDescent="0.25">
      <c r="A874" s="345" t="s">
        <v>123</v>
      </c>
      <c r="B874" s="346" t="s">
        <v>203</v>
      </c>
      <c r="C874" s="346" t="s">
        <v>116</v>
      </c>
      <c r="D874" s="346" t="s">
        <v>587</v>
      </c>
      <c r="E874" s="346" t="s">
        <v>124</v>
      </c>
      <c r="F874" s="295">
        <f t="shared" si="133"/>
        <v>4</v>
      </c>
      <c r="G874" s="295">
        <f t="shared" si="133"/>
        <v>4</v>
      </c>
    </row>
    <row r="875" spans="1:8" ht="47.25" x14ac:dyDescent="0.25">
      <c r="A875" s="345" t="s">
        <v>125</v>
      </c>
      <c r="B875" s="346" t="s">
        <v>203</v>
      </c>
      <c r="C875" s="346" t="s">
        <v>116</v>
      </c>
      <c r="D875" s="346" t="s">
        <v>587</v>
      </c>
      <c r="E875" s="346" t="s">
        <v>126</v>
      </c>
      <c r="F875" s="295">
        <f>'Пр.4.1 ведом.23-24 '!G443</f>
        <v>4</v>
      </c>
      <c r="G875" s="295">
        <f>'Пр.4.1 ведом.23-24 '!H443</f>
        <v>4</v>
      </c>
    </row>
    <row r="876" spans="1:8" ht="47.25" x14ac:dyDescent="0.25">
      <c r="A876" s="345" t="s">
        <v>569</v>
      </c>
      <c r="B876" s="346" t="s">
        <v>203</v>
      </c>
      <c r="C876" s="346" t="s">
        <v>116</v>
      </c>
      <c r="D876" s="394" t="s">
        <v>503</v>
      </c>
      <c r="E876" s="346"/>
      <c r="F876" s="295">
        <f>F877</f>
        <v>6</v>
      </c>
      <c r="G876" s="295">
        <f>G877</f>
        <v>6</v>
      </c>
    </row>
    <row r="877" spans="1:8" ht="31.5" x14ac:dyDescent="0.25">
      <c r="A877" s="345" t="s">
        <v>191</v>
      </c>
      <c r="B877" s="346" t="s">
        <v>203</v>
      </c>
      <c r="C877" s="346" t="s">
        <v>116</v>
      </c>
      <c r="D877" s="394" t="s">
        <v>503</v>
      </c>
      <c r="E877" s="346" t="s">
        <v>192</v>
      </c>
      <c r="F877" s="295">
        <f>F878</f>
        <v>6</v>
      </c>
      <c r="G877" s="295">
        <f>G878</f>
        <v>6</v>
      </c>
    </row>
    <row r="878" spans="1:8" ht="15.75" x14ac:dyDescent="0.25">
      <c r="A878" s="345" t="s">
        <v>193</v>
      </c>
      <c r="B878" s="346" t="s">
        <v>203</v>
      </c>
      <c r="C878" s="346" t="s">
        <v>116</v>
      </c>
      <c r="D878" s="394" t="s">
        <v>503</v>
      </c>
      <c r="E878" s="346" t="s">
        <v>194</v>
      </c>
      <c r="F878" s="295">
        <f>'Пр.4.1 ведом.23-24 '!G446</f>
        <v>6</v>
      </c>
      <c r="G878" s="295">
        <f>'Пр.4.1 ведом.23-24 '!H446</f>
        <v>6</v>
      </c>
    </row>
    <row r="879" spans="1:8" ht="47.25" x14ac:dyDescent="0.25">
      <c r="A879" s="340" t="s">
        <v>856</v>
      </c>
      <c r="B879" s="299" t="s">
        <v>203</v>
      </c>
      <c r="C879" s="299" t="s">
        <v>116</v>
      </c>
      <c r="D879" s="299" t="s">
        <v>339</v>
      </c>
      <c r="E879" s="304"/>
      <c r="F879" s="294">
        <f t="shared" ref="F879:G879" si="134">F880</f>
        <v>878.7</v>
      </c>
      <c r="G879" s="294">
        <f t="shared" si="134"/>
        <v>878.7</v>
      </c>
    </row>
    <row r="880" spans="1:8" ht="47.25" x14ac:dyDescent="0.25">
      <c r="A880" s="340" t="s">
        <v>461</v>
      </c>
      <c r="B880" s="299" t="s">
        <v>203</v>
      </c>
      <c r="C880" s="299" t="s">
        <v>116</v>
      </c>
      <c r="D880" s="299" t="s">
        <v>459</v>
      </c>
      <c r="E880" s="304"/>
      <c r="F880" s="294">
        <f>F881+F884</f>
        <v>878.7</v>
      </c>
      <c r="G880" s="294">
        <f>G881+G884</f>
        <v>878.7</v>
      </c>
      <c r="H880" s="302"/>
    </row>
    <row r="881" spans="1:7" ht="47.25" x14ac:dyDescent="0.25">
      <c r="A881" s="67" t="s">
        <v>583</v>
      </c>
      <c r="B881" s="346" t="s">
        <v>203</v>
      </c>
      <c r="C881" s="346" t="s">
        <v>116</v>
      </c>
      <c r="D881" s="346" t="s">
        <v>460</v>
      </c>
      <c r="E881" s="301"/>
      <c r="F881" s="246">
        <f t="shared" ref="F881:G882" si="135">F882</f>
        <v>506.80000000000007</v>
      </c>
      <c r="G881" s="246">
        <f t="shared" si="135"/>
        <v>506.80000000000007</v>
      </c>
    </row>
    <row r="882" spans="1:7" ht="31.5" x14ac:dyDescent="0.25">
      <c r="A882" s="345" t="s">
        <v>123</v>
      </c>
      <c r="B882" s="346" t="s">
        <v>203</v>
      </c>
      <c r="C882" s="346" t="s">
        <v>116</v>
      </c>
      <c r="D882" s="346" t="s">
        <v>460</v>
      </c>
      <c r="E882" s="301" t="s">
        <v>124</v>
      </c>
      <c r="F882" s="295">
        <f t="shared" si="135"/>
        <v>506.80000000000007</v>
      </c>
      <c r="G882" s="295">
        <f t="shared" si="135"/>
        <v>506.80000000000007</v>
      </c>
    </row>
    <row r="883" spans="1:7" ht="47.25" x14ac:dyDescent="0.25">
      <c r="A883" s="345" t="s">
        <v>125</v>
      </c>
      <c r="B883" s="346" t="s">
        <v>203</v>
      </c>
      <c r="C883" s="346" t="s">
        <v>116</v>
      </c>
      <c r="D883" s="346" t="s">
        <v>460</v>
      </c>
      <c r="E883" s="301" t="s">
        <v>126</v>
      </c>
      <c r="F883" s="295">
        <f>'Пр.4.1 ведом.23-24 '!G451</f>
        <v>506.80000000000007</v>
      </c>
      <c r="G883" s="295">
        <f>'Пр.4.1 ведом.23-24 '!H451</f>
        <v>506.80000000000007</v>
      </c>
    </row>
    <row r="884" spans="1:7" ht="47.25" x14ac:dyDescent="0.25">
      <c r="A884" s="391" t="s">
        <v>357</v>
      </c>
      <c r="B884" s="346" t="s">
        <v>203</v>
      </c>
      <c r="C884" s="346" t="s">
        <v>116</v>
      </c>
      <c r="D884" s="394" t="s">
        <v>504</v>
      </c>
      <c r="E884" s="301"/>
      <c r="F884" s="295">
        <f>F885</f>
        <v>371.9</v>
      </c>
      <c r="G884" s="295">
        <f>G885</f>
        <v>371.9</v>
      </c>
    </row>
    <row r="885" spans="1:7" ht="31.5" x14ac:dyDescent="0.25">
      <c r="A885" s="391" t="s">
        <v>191</v>
      </c>
      <c r="B885" s="346" t="s">
        <v>203</v>
      </c>
      <c r="C885" s="346" t="s">
        <v>116</v>
      </c>
      <c r="D885" s="394" t="s">
        <v>504</v>
      </c>
      <c r="E885" s="301" t="s">
        <v>192</v>
      </c>
      <c r="F885" s="295">
        <f>F886</f>
        <v>371.9</v>
      </c>
      <c r="G885" s="295">
        <f>G886</f>
        <v>371.9</v>
      </c>
    </row>
    <row r="886" spans="1:7" ht="15.75" x14ac:dyDescent="0.25">
      <c r="A886" s="345" t="s">
        <v>193</v>
      </c>
      <c r="B886" s="346" t="s">
        <v>203</v>
      </c>
      <c r="C886" s="346" t="s">
        <v>116</v>
      </c>
      <c r="D886" s="394" t="s">
        <v>504</v>
      </c>
      <c r="E886" s="301" t="s">
        <v>194</v>
      </c>
      <c r="F886" s="295">
        <f>'Пр.4.1 ведом.23-24 '!G454</f>
        <v>371.9</v>
      </c>
      <c r="G886" s="295">
        <f>'Пр.4.1 ведом.23-24 '!H454</f>
        <v>371.9</v>
      </c>
    </row>
    <row r="887" spans="1:7" ht="31.5" x14ac:dyDescent="0.25">
      <c r="A887" s="298" t="s">
        <v>208</v>
      </c>
      <c r="B887" s="299" t="s">
        <v>203</v>
      </c>
      <c r="C887" s="299" t="s">
        <v>139</v>
      </c>
      <c r="D887" s="299"/>
      <c r="E887" s="301"/>
      <c r="F887" s="294">
        <f>F888+F901+F917</f>
        <v>22162.699999999997</v>
      </c>
      <c r="G887" s="294">
        <f>G888+G901+G917+G923</f>
        <v>22166.6</v>
      </c>
    </row>
    <row r="888" spans="1:7" ht="31.5" x14ac:dyDescent="0.25">
      <c r="A888" s="298" t="s">
        <v>486</v>
      </c>
      <c r="B888" s="299" t="s">
        <v>203</v>
      </c>
      <c r="C888" s="299" t="s">
        <v>139</v>
      </c>
      <c r="D888" s="299" t="s">
        <v>432</v>
      </c>
      <c r="E888" s="301"/>
      <c r="F888" s="294">
        <f>F889</f>
        <v>9105.7999999999993</v>
      </c>
      <c r="G888" s="294">
        <f>G889</f>
        <v>9105.7000000000007</v>
      </c>
    </row>
    <row r="889" spans="1:7" ht="15.75" x14ac:dyDescent="0.25">
      <c r="A889" s="298" t="s">
        <v>487</v>
      </c>
      <c r="B889" s="299" t="s">
        <v>203</v>
      </c>
      <c r="C889" s="299" t="s">
        <v>139</v>
      </c>
      <c r="D889" s="299" t="s">
        <v>433</v>
      </c>
      <c r="E889" s="301"/>
      <c r="F889" s="294">
        <f>F890+F898+F895</f>
        <v>9105.7999999999993</v>
      </c>
      <c r="G889" s="294">
        <f>G890+G898+G895</f>
        <v>9105.7000000000007</v>
      </c>
    </row>
    <row r="890" spans="1:7" ht="31.5" x14ac:dyDescent="0.25">
      <c r="A890" s="345" t="s">
        <v>466</v>
      </c>
      <c r="B890" s="346" t="s">
        <v>203</v>
      </c>
      <c r="C890" s="346" t="s">
        <v>139</v>
      </c>
      <c r="D890" s="346" t="s">
        <v>434</v>
      </c>
      <c r="E890" s="301"/>
      <c r="F890" s="295">
        <f>F891+F893</f>
        <v>7689.7</v>
      </c>
      <c r="G890" s="295">
        <f>G891+G893</f>
        <v>7689.6</v>
      </c>
    </row>
    <row r="891" spans="1:7" ht="78.75" x14ac:dyDescent="0.25">
      <c r="A891" s="345" t="s">
        <v>119</v>
      </c>
      <c r="B891" s="346" t="s">
        <v>203</v>
      </c>
      <c r="C891" s="346" t="s">
        <v>139</v>
      </c>
      <c r="D891" s="346" t="s">
        <v>434</v>
      </c>
      <c r="E891" s="301" t="s">
        <v>120</v>
      </c>
      <c r="F891" s="295">
        <f>F892</f>
        <v>7689.7</v>
      </c>
      <c r="G891" s="295">
        <f>G892</f>
        <v>7689.6</v>
      </c>
    </row>
    <row r="892" spans="1:7" ht="31.5" x14ac:dyDescent="0.25">
      <c r="A892" s="345" t="s">
        <v>121</v>
      </c>
      <c r="B892" s="346" t="s">
        <v>203</v>
      </c>
      <c r="C892" s="346" t="s">
        <v>139</v>
      </c>
      <c r="D892" s="346" t="s">
        <v>434</v>
      </c>
      <c r="E892" s="341" t="s">
        <v>122</v>
      </c>
      <c r="F892" s="295">
        <f>'Пр.4.1 ведом.23-24 '!G460</f>
        <v>7689.7</v>
      </c>
      <c r="G892" s="295">
        <f>'Пр.4.1 ведом.23-24 '!H460</f>
        <v>7689.6</v>
      </c>
    </row>
    <row r="893" spans="1:7" ht="31.5" hidden="1" x14ac:dyDescent="0.25">
      <c r="A893" s="345" t="s">
        <v>123</v>
      </c>
      <c r="B893" s="346" t="s">
        <v>203</v>
      </c>
      <c r="C893" s="346" t="s">
        <v>139</v>
      </c>
      <c r="D893" s="346" t="s">
        <v>434</v>
      </c>
      <c r="E893" s="341" t="s">
        <v>124</v>
      </c>
      <c r="F893" s="295">
        <f>F894</f>
        <v>0</v>
      </c>
      <c r="G893" s="295">
        <f>G894</f>
        <v>0</v>
      </c>
    </row>
    <row r="894" spans="1:7" ht="47.25" hidden="1" x14ac:dyDescent="0.25">
      <c r="A894" s="345" t="s">
        <v>125</v>
      </c>
      <c r="B894" s="346" t="s">
        <v>203</v>
      </c>
      <c r="C894" s="346" t="s">
        <v>139</v>
      </c>
      <c r="D894" s="346" t="s">
        <v>434</v>
      </c>
      <c r="E894" s="341" t="s">
        <v>126</v>
      </c>
      <c r="F894" s="295">
        <f>'Пр.4.1 ведом.23-24 '!G462</f>
        <v>0</v>
      </c>
      <c r="G894" s="295">
        <f>'Пр.4.1 ведом.23-24 '!H462</f>
        <v>0</v>
      </c>
    </row>
    <row r="895" spans="1:7" ht="31.5" x14ac:dyDescent="0.25">
      <c r="A895" s="345" t="s">
        <v>415</v>
      </c>
      <c r="B895" s="346" t="s">
        <v>203</v>
      </c>
      <c r="C895" s="346" t="s">
        <v>139</v>
      </c>
      <c r="D895" s="346" t="s">
        <v>435</v>
      </c>
      <c r="E895" s="341"/>
      <c r="F895" s="295">
        <f>F896</f>
        <v>986.1</v>
      </c>
      <c r="G895" s="295">
        <f>G896</f>
        <v>986.1</v>
      </c>
    </row>
    <row r="896" spans="1:7" ht="78.75" x14ac:dyDescent="0.25">
      <c r="A896" s="345" t="s">
        <v>119</v>
      </c>
      <c r="B896" s="346" t="s">
        <v>203</v>
      </c>
      <c r="C896" s="346" t="s">
        <v>139</v>
      </c>
      <c r="D896" s="346" t="s">
        <v>435</v>
      </c>
      <c r="E896" s="341" t="s">
        <v>120</v>
      </c>
      <c r="F896" s="295">
        <f>F897</f>
        <v>986.1</v>
      </c>
      <c r="G896" s="295">
        <f>G897</f>
        <v>986.1</v>
      </c>
    </row>
    <row r="897" spans="1:7" ht="31.5" x14ac:dyDescent="0.25">
      <c r="A897" s="345" t="s">
        <v>121</v>
      </c>
      <c r="B897" s="346" t="s">
        <v>203</v>
      </c>
      <c r="C897" s="346" t="s">
        <v>139</v>
      </c>
      <c r="D897" s="346" t="s">
        <v>435</v>
      </c>
      <c r="E897" s="341" t="s">
        <v>122</v>
      </c>
      <c r="F897" s="295">
        <f>'Пр.4.1 ведом.23-24 '!G465</f>
        <v>986.1</v>
      </c>
      <c r="G897" s="295">
        <f>'Пр.4.1 ведом.23-24 '!H465</f>
        <v>986.1</v>
      </c>
    </row>
    <row r="898" spans="1:7" ht="47.25" x14ac:dyDescent="0.25">
      <c r="A898" s="345" t="s">
        <v>414</v>
      </c>
      <c r="B898" s="346" t="s">
        <v>203</v>
      </c>
      <c r="C898" s="346" t="s">
        <v>139</v>
      </c>
      <c r="D898" s="346" t="s">
        <v>436</v>
      </c>
      <c r="E898" s="341"/>
      <c r="F898" s="295">
        <f>F899</f>
        <v>430</v>
      </c>
      <c r="G898" s="295">
        <f>G899</f>
        <v>430</v>
      </c>
    </row>
    <row r="899" spans="1:7" ht="78.75" x14ac:dyDescent="0.25">
      <c r="A899" s="345" t="s">
        <v>119</v>
      </c>
      <c r="B899" s="346" t="s">
        <v>203</v>
      </c>
      <c r="C899" s="346" t="s">
        <v>139</v>
      </c>
      <c r="D899" s="346" t="s">
        <v>436</v>
      </c>
      <c r="E899" s="341" t="s">
        <v>120</v>
      </c>
      <c r="F899" s="295">
        <f t="shared" ref="F899:G899" si="136">F900</f>
        <v>430</v>
      </c>
      <c r="G899" s="295">
        <f t="shared" si="136"/>
        <v>430</v>
      </c>
    </row>
    <row r="900" spans="1:7" ht="31.5" x14ac:dyDescent="0.25">
      <c r="A900" s="345" t="s">
        <v>121</v>
      </c>
      <c r="B900" s="346" t="s">
        <v>203</v>
      </c>
      <c r="C900" s="346" t="s">
        <v>139</v>
      </c>
      <c r="D900" s="346" t="s">
        <v>436</v>
      </c>
      <c r="E900" s="341" t="s">
        <v>122</v>
      </c>
      <c r="F900" s="295">
        <f>'Пр.4.1 ведом.23-24 '!G468</f>
        <v>430</v>
      </c>
      <c r="G900" s="295">
        <f>'Пр.4.1 ведом.23-24 '!H468</f>
        <v>430</v>
      </c>
    </row>
    <row r="901" spans="1:7" ht="15.75" x14ac:dyDescent="0.25">
      <c r="A901" s="298" t="s">
        <v>495</v>
      </c>
      <c r="B901" s="299" t="s">
        <v>203</v>
      </c>
      <c r="C901" s="299" t="s">
        <v>139</v>
      </c>
      <c r="D901" s="299" t="s">
        <v>440</v>
      </c>
      <c r="E901" s="341"/>
      <c r="F901" s="294">
        <f>F902+F913</f>
        <v>12796.9</v>
      </c>
      <c r="G901" s="294">
        <f>G902+G913</f>
        <v>12796.9</v>
      </c>
    </row>
    <row r="902" spans="1:7" ht="15.75" x14ac:dyDescent="0.25">
      <c r="A902" s="298" t="s">
        <v>1115</v>
      </c>
      <c r="B902" s="299" t="s">
        <v>203</v>
      </c>
      <c r="C902" s="299" t="s">
        <v>139</v>
      </c>
      <c r="D902" s="299" t="s">
        <v>516</v>
      </c>
      <c r="E902" s="299"/>
      <c r="F902" s="295">
        <f>F903+F906</f>
        <v>12796.9</v>
      </c>
      <c r="G902" s="295">
        <f>G903+G906</f>
        <v>12796.9</v>
      </c>
    </row>
    <row r="903" spans="1:7" ht="47.25" x14ac:dyDescent="0.25">
      <c r="A903" s="345" t="s">
        <v>414</v>
      </c>
      <c r="B903" s="346" t="s">
        <v>203</v>
      </c>
      <c r="C903" s="346" t="s">
        <v>139</v>
      </c>
      <c r="D903" s="346" t="s">
        <v>519</v>
      </c>
      <c r="E903" s="346"/>
      <c r="F903" s="295">
        <f>F904</f>
        <v>215</v>
      </c>
      <c r="G903" s="295">
        <f>G904</f>
        <v>215</v>
      </c>
    </row>
    <row r="904" spans="1:7" ht="78.75" x14ac:dyDescent="0.25">
      <c r="A904" s="345" t="s">
        <v>119</v>
      </c>
      <c r="B904" s="346" t="s">
        <v>203</v>
      </c>
      <c r="C904" s="346" t="s">
        <v>139</v>
      </c>
      <c r="D904" s="346" t="s">
        <v>519</v>
      </c>
      <c r="E904" s="346" t="s">
        <v>120</v>
      </c>
      <c r="F904" s="295">
        <f>F905</f>
        <v>215</v>
      </c>
      <c r="G904" s="295">
        <f>G905</f>
        <v>215</v>
      </c>
    </row>
    <row r="905" spans="1:7" ht="31.5" x14ac:dyDescent="0.25">
      <c r="A905" s="345" t="s">
        <v>212</v>
      </c>
      <c r="B905" s="346" t="s">
        <v>203</v>
      </c>
      <c r="C905" s="346" t="s">
        <v>139</v>
      </c>
      <c r="D905" s="346" t="s">
        <v>519</v>
      </c>
      <c r="E905" s="346" t="s">
        <v>156</v>
      </c>
      <c r="F905" s="295">
        <f>'Пр.4.1 ведом.23-24 '!G477</f>
        <v>215</v>
      </c>
      <c r="G905" s="295">
        <f>'Пр.4.1 ведом.23-24 '!H477</f>
        <v>215</v>
      </c>
    </row>
    <row r="906" spans="1:7" ht="15.75" x14ac:dyDescent="0.25">
      <c r="A906" s="345" t="s">
        <v>377</v>
      </c>
      <c r="B906" s="346" t="s">
        <v>203</v>
      </c>
      <c r="C906" s="346" t="s">
        <v>139</v>
      </c>
      <c r="D906" s="346" t="s">
        <v>518</v>
      </c>
      <c r="E906" s="346"/>
      <c r="F906" s="295">
        <f>F907+F909+F911</f>
        <v>12581.9</v>
      </c>
      <c r="G906" s="295">
        <f>G907+G909+G911</f>
        <v>12581.9</v>
      </c>
    </row>
    <row r="907" spans="1:7" ht="78.75" x14ac:dyDescent="0.25">
      <c r="A907" s="345" t="s">
        <v>119</v>
      </c>
      <c r="B907" s="346" t="s">
        <v>203</v>
      </c>
      <c r="C907" s="346" t="s">
        <v>139</v>
      </c>
      <c r="D907" s="346" t="s">
        <v>518</v>
      </c>
      <c r="E907" s="346" t="s">
        <v>120</v>
      </c>
      <c r="F907" s="295">
        <f>F908</f>
        <v>10677.8</v>
      </c>
      <c r="G907" s="295">
        <f>G908</f>
        <v>10677.8</v>
      </c>
    </row>
    <row r="908" spans="1:7" ht="31.5" x14ac:dyDescent="0.25">
      <c r="A908" s="345" t="s">
        <v>212</v>
      </c>
      <c r="B908" s="346" t="s">
        <v>203</v>
      </c>
      <c r="C908" s="346" t="s">
        <v>139</v>
      </c>
      <c r="D908" s="346" t="s">
        <v>518</v>
      </c>
      <c r="E908" s="346" t="s">
        <v>156</v>
      </c>
      <c r="F908" s="295">
        <f>'Пр.4.1 ведом.23-24 '!G480</f>
        <v>10677.8</v>
      </c>
      <c r="G908" s="295">
        <f>'Пр.4.1 ведом.23-24 '!H480</f>
        <v>10677.8</v>
      </c>
    </row>
    <row r="909" spans="1:7" ht="31.5" x14ac:dyDescent="0.25">
      <c r="A909" s="345" t="s">
        <v>123</v>
      </c>
      <c r="B909" s="346" t="s">
        <v>203</v>
      </c>
      <c r="C909" s="346" t="s">
        <v>139</v>
      </c>
      <c r="D909" s="346" t="s">
        <v>518</v>
      </c>
      <c r="E909" s="346" t="s">
        <v>124</v>
      </c>
      <c r="F909" s="295">
        <f>F910</f>
        <v>1890.1</v>
      </c>
      <c r="G909" s="295">
        <f>G910</f>
        <v>1890.1</v>
      </c>
    </row>
    <row r="910" spans="1:7" ht="47.25" x14ac:dyDescent="0.25">
      <c r="A910" s="345" t="s">
        <v>125</v>
      </c>
      <c r="B910" s="346" t="s">
        <v>203</v>
      </c>
      <c r="C910" s="346" t="s">
        <v>139</v>
      </c>
      <c r="D910" s="346" t="s">
        <v>518</v>
      </c>
      <c r="E910" s="346" t="s">
        <v>126</v>
      </c>
      <c r="F910" s="295">
        <f>'Пр.4.1 ведом.23-24 '!G482</f>
        <v>1890.1</v>
      </c>
      <c r="G910" s="295">
        <f>'Пр.4.1 ведом.23-24 '!H482</f>
        <v>1890.1</v>
      </c>
    </row>
    <row r="911" spans="1:7" ht="15.75" x14ac:dyDescent="0.25">
      <c r="A911" s="345" t="s">
        <v>127</v>
      </c>
      <c r="B911" s="346" t="s">
        <v>203</v>
      </c>
      <c r="C911" s="346" t="s">
        <v>139</v>
      </c>
      <c r="D911" s="346" t="s">
        <v>518</v>
      </c>
      <c r="E911" s="346" t="s">
        <v>134</v>
      </c>
      <c r="F911" s="295">
        <f>F912</f>
        <v>14</v>
      </c>
      <c r="G911" s="295">
        <f>G912</f>
        <v>14</v>
      </c>
    </row>
    <row r="912" spans="1:7" ht="15.75" x14ac:dyDescent="0.25">
      <c r="A912" s="345" t="s">
        <v>280</v>
      </c>
      <c r="B912" s="346" t="s">
        <v>203</v>
      </c>
      <c r="C912" s="346" t="s">
        <v>139</v>
      </c>
      <c r="D912" s="346" t="s">
        <v>518</v>
      </c>
      <c r="E912" s="346" t="s">
        <v>130</v>
      </c>
      <c r="F912" s="295">
        <f>'Пр.4.1 ведом.23-24 '!G484</f>
        <v>14</v>
      </c>
      <c r="G912" s="295">
        <f>'Пр.4.1 ведом.23-24 '!H484</f>
        <v>14</v>
      </c>
    </row>
    <row r="913" spans="1:12" ht="31.5" hidden="1" x14ac:dyDescent="0.25">
      <c r="A913" s="24" t="s">
        <v>444</v>
      </c>
      <c r="B913" s="299" t="s">
        <v>203</v>
      </c>
      <c r="C913" s="299" t="s">
        <v>139</v>
      </c>
      <c r="D913" s="299" t="s">
        <v>439</v>
      </c>
      <c r="E913" s="6"/>
      <c r="F913" s="294">
        <f t="shared" ref="F913:G915" si="137">F914</f>
        <v>0</v>
      </c>
      <c r="G913" s="294">
        <f t="shared" si="137"/>
        <v>0</v>
      </c>
    </row>
    <row r="914" spans="1:12" ht="47.25" hidden="1" x14ac:dyDescent="0.25">
      <c r="A914" s="22" t="s">
        <v>1067</v>
      </c>
      <c r="B914" s="346" t="s">
        <v>203</v>
      </c>
      <c r="C914" s="346" t="s">
        <v>139</v>
      </c>
      <c r="D914" s="346" t="s">
        <v>1066</v>
      </c>
      <c r="E914" s="341"/>
      <c r="F914" s="295">
        <f t="shared" si="137"/>
        <v>0</v>
      </c>
      <c r="G914" s="295">
        <f t="shared" si="137"/>
        <v>0</v>
      </c>
    </row>
    <row r="915" spans="1:12" ht="31.5" hidden="1" x14ac:dyDescent="0.25">
      <c r="A915" s="345" t="s">
        <v>123</v>
      </c>
      <c r="B915" s="346" t="s">
        <v>203</v>
      </c>
      <c r="C915" s="346" t="s">
        <v>139</v>
      </c>
      <c r="D915" s="346" t="s">
        <v>1066</v>
      </c>
      <c r="E915" s="341" t="s">
        <v>124</v>
      </c>
      <c r="F915" s="295">
        <f t="shared" si="137"/>
        <v>0</v>
      </c>
      <c r="G915" s="295">
        <f t="shared" si="137"/>
        <v>0</v>
      </c>
    </row>
    <row r="916" spans="1:12" ht="47.25" hidden="1" x14ac:dyDescent="0.25">
      <c r="A916" s="345" t="s">
        <v>125</v>
      </c>
      <c r="B916" s="346" t="s">
        <v>203</v>
      </c>
      <c r="C916" s="346" t="s">
        <v>139</v>
      </c>
      <c r="D916" s="346" t="s">
        <v>1066</v>
      </c>
      <c r="E916" s="341" t="s">
        <v>126</v>
      </c>
      <c r="F916" s="295">
        <f>'Пр.4 ведом.22'!G529</f>
        <v>0</v>
      </c>
      <c r="G916" s="295">
        <f>'Пр.4 ведом.22'!H529</f>
        <v>0</v>
      </c>
    </row>
    <row r="917" spans="1:12" ht="47.25" x14ac:dyDescent="0.25">
      <c r="A917" s="298" t="s">
        <v>851</v>
      </c>
      <c r="B917" s="299" t="s">
        <v>203</v>
      </c>
      <c r="C917" s="299" t="s">
        <v>139</v>
      </c>
      <c r="D917" s="299" t="s">
        <v>213</v>
      </c>
      <c r="E917" s="341"/>
      <c r="F917" s="294">
        <f t="shared" ref="F917:G919" si="138">F918</f>
        <v>260</v>
      </c>
      <c r="G917" s="294">
        <f t="shared" si="138"/>
        <v>260</v>
      </c>
    </row>
    <row r="918" spans="1:12" ht="31.5" x14ac:dyDescent="0.25">
      <c r="A918" s="298" t="s">
        <v>220</v>
      </c>
      <c r="B918" s="299" t="s">
        <v>203</v>
      </c>
      <c r="C918" s="299" t="s">
        <v>139</v>
      </c>
      <c r="D918" s="299" t="s">
        <v>223</v>
      </c>
      <c r="E918" s="341"/>
      <c r="F918" s="294">
        <f t="shared" si="138"/>
        <v>260</v>
      </c>
      <c r="G918" s="294">
        <f t="shared" si="138"/>
        <v>260</v>
      </c>
    </row>
    <row r="919" spans="1:12" ht="31.5" x14ac:dyDescent="0.25">
      <c r="A919" s="298" t="s">
        <v>558</v>
      </c>
      <c r="B919" s="299" t="s">
        <v>203</v>
      </c>
      <c r="C919" s="299" t="s">
        <v>139</v>
      </c>
      <c r="D919" s="299" t="s">
        <v>755</v>
      </c>
      <c r="E919" s="341"/>
      <c r="F919" s="294">
        <f t="shared" si="138"/>
        <v>260</v>
      </c>
      <c r="G919" s="294">
        <f t="shared" si="138"/>
        <v>260</v>
      </c>
    </row>
    <row r="920" spans="1:12" ht="31.5" x14ac:dyDescent="0.25">
      <c r="A920" s="345" t="s">
        <v>557</v>
      </c>
      <c r="B920" s="346" t="s">
        <v>203</v>
      </c>
      <c r="C920" s="346" t="s">
        <v>139</v>
      </c>
      <c r="D920" s="346" t="s">
        <v>756</v>
      </c>
      <c r="E920" s="341"/>
      <c r="F920" s="295">
        <f t="shared" ref="F920:G920" si="139">F921</f>
        <v>260</v>
      </c>
      <c r="G920" s="295">
        <f t="shared" si="139"/>
        <v>260</v>
      </c>
    </row>
    <row r="921" spans="1:12" ht="31.5" x14ac:dyDescent="0.25">
      <c r="A921" s="345" t="s">
        <v>123</v>
      </c>
      <c r="B921" s="346" t="s">
        <v>203</v>
      </c>
      <c r="C921" s="346" t="s">
        <v>139</v>
      </c>
      <c r="D921" s="346" t="s">
        <v>756</v>
      </c>
      <c r="E921" s="341" t="s">
        <v>124</v>
      </c>
      <c r="F921" s="295">
        <f>F922</f>
        <v>260</v>
      </c>
      <c r="G921" s="295">
        <f>G922</f>
        <v>260</v>
      </c>
    </row>
    <row r="922" spans="1:12" ht="47.25" x14ac:dyDescent="0.25">
      <c r="A922" s="345" t="s">
        <v>125</v>
      </c>
      <c r="B922" s="346" t="s">
        <v>203</v>
      </c>
      <c r="C922" s="346" t="s">
        <v>139</v>
      </c>
      <c r="D922" s="346" t="s">
        <v>756</v>
      </c>
      <c r="E922" s="341" t="s">
        <v>126</v>
      </c>
      <c r="F922" s="295">
        <f>'Пр.4.1 ведом.23-24 '!G490</f>
        <v>260</v>
      </c>
      <c r="G922" s="295">
        <f>'Пр.4.1 ведом.23-24 '!H490</f>
        <v>260</v>
      </c>
    </row>
    <row r="923" spans="1:12" ht="47.25" hidden="1" x14ac:dyDescent="0.25">
      <c r="A923" s="24" t="s">
        <v>860</v>
      </c>
      <c r="B923" s="299" t="s">
        <v>203</v>
      </c>
      <c r="C923" s="299" t="s">
        <v>139</v>
      </c>
      <c r="D923" s="299" t="s">
        <v>206</v>
      </c>
      <c r="E923" s="299"/>
      <c r="F923" s="297">
        <f>F925</f>
        <v>0</v>
      </c>
      <c r="G923" s="297">
        <f>G925</f>
        <v>4</v>
      </c>
    </row>
    <row r="924" spans="1:12" ht="63" hidden="1" x14ac:dyDescent="0.25">
      <c r="A924" s="24" t="s">
        <v>586</v>
      </c>
      <c r="B924" s="299" t="s">
        <v>203</v>
      </c>
      <c r="C924" s="299" t="s">
        <v>139</v>
      </c>
      <c r="D924" s="299" t="s">
        <v>502</v>
      </c>
      <c r="E924" s="299"/>
      <c r="F924" s="297">
        <f>F927</f>
        <v>0</v>
      </c>
      <c r="G924" s="297">
        <f>G927</f>
        <v>4</v>
      </c>
    </row>
    <row r="925" spans="1:12" ht="47.25" hidden="1" x14ac:dyDescent="0.25">
      <c r="A925" s="22" t="s">
        <v>632</v>
      </c>
      <c r="B925" s="346" t="s">
        <v>203</v>
      </c>
      <c r="C925" s="346" t="s">
        <v>139</v>
      </c>
      <c r="D925" s="346" t="s">
        <v>587</v>
      </c>
      <c r="E925" s="346"/>
      <c r="F925" s="300">
        <f>F926</f>
        <v>0</v>
      </c>
      <c r="G925" s="300">
        <f>G926</f>
        <v>4</v>
      </c>
    </row>
    <row r="926" spans="1:12" ht="31.5" hidden="1" x14ac:dyDescent="0.25">
      <c r="A926" s="345" t="s">
        <v>123</v>
      </c>
      <c r="B926" s="346" t="s">
        <v>203</v>
      </c>
      <c r="C926" s="346" t="s">
        <v>139</v>
      </c>
      <c r="D926" s="346" t="s">
        <v>587</v>
      </c>
      <c r="E926" s="346" t="s">
        <v>124</v>
      </c>
      <c r="F926" s="300">
        <f>F927</f>
        <v>0</v>
      </c>
      <c r="G926" s="300">
        <f>G927</f>
        <v>4</v>
      </c>
    </row>
    <row r="927" spans="1:12" ht="47.25" hidden="1" x14ac:dyDescent="0.25">
      <c r="A927" s="345" t="s">
        <v>125</v>
      </c>
      <c r="B927" s="346" t="s">
        <v>203</v>
      </c>
      <c r="C927" s="346" t="s">
        <v>139</v>
      </c>
      <c r="D927" s="346" t="s">
        <v>587</v>
      </c>
      <c r="E927" s="346" t="s">
        <v>126</v>
      </c>
      <c r="F927" s="300">
        <f>'Пр.4.1 ведом.23-24 '!G495</f>
        <v>0</v>
      </c>
      <c r="G927" s="300">
        <f>'Пр.4.1 ведом.23-24 '!H495</f>
        <v>4</v>
      </c>
    </row>
    <row r="928" spans="1:12" ht="15.75" x14ac:dyDescent="0.25">
      <c r="A928" s="298" t="s">
        <v>173</v>
      </c>
      <c r="B928" s="299" t="s">
        <v>174</v>
      </c>
      <c r="C928" s="299"/>
      <c r="D928" s="299"/>
      <c r="E928" s="299"/>
      <c r="F928" s="294">
        <f>F929+F935+F969+F964</f>
        <v>15384.48789</v>
      </c>
      <c r="G928" s="294">
        <f>G929+G935+G969+G964</f>
        <v>15374.45</v>
      </c>
      <c r="H928" s="71"/>
      <c r="K928" s="149" t="e">
        <f>F928-'Пр.4 ведом.22'!#REF!-'Пр.4 ведом.22'!#REF!-F965-F971</f>
        <v>#REF!</v>
      </c>
      <c r="L928" s="151" t="e">
        <f>F961+F966+F972-'Пр.4 ведом.22'!#REF!-'Пр.4 ведом.22'!#REF!</f>
        <v>#REF!</v>
      </c>
    </row>
    <row r="929" spans="1:7" ht="15.75" x14ac:dyDescent="0.25">
      <c r="A929" s="298" t="s">
        <v>175</v>
      </c>
      <c r="B929" s="299" t="s">
        <v>174</v>
      </c>
      <c r="C929" s="299" t="s">
        <v>116</v>
      </c>
      <c r="D929" s="299"/>
      <c r="E929" s="299"/>
      <c r="F929" s="294">
        <f t="shared" ref="F929:G933" si="140">F930</f>
        <v>9913.5</v>
      </c>
      <c r="G929" s="294">
        <f t="shared" si="140"/>
        <v>9913.5</v>
      </c>
    </row>
    <row r="930" spans="1:7" ht="15.75" x14ac:dyDescent="0.25">
      <c r="A930" s="298" t="s">
        <v>133</v>
      </c>
      <c r="B930" s="299" t="s">
        <v>174</v>
      </c>
      <c r="C930" s="299" t="s">
        <v>116</v>
      </c>
      <c r="D930" s="299" t="s">
        <v>440</v>
      </c>
      <c r="E930" s="299"/>
      <c r="F930" s="294">
        <f t="shared" si="140"/>
        <v>9913.5</v>
      </c>
      <c r="G930" s="294">
        <f t="shared" si="140"/>
        <v>9913.5</v>
      </c>
    </row>
    <row r="931" spans="1:7" ht="31.5" x14ac:dyDescent="0.25">
      <c r="A931" s="298" t="s">
        <v>444</v>
      </c>
      <c r="B931" s="299" t="s">
        <v>174</v>
      </c>
      <c r="C931" s="299" t="s">
        <v>116</v>
      </c>
      <c r="D931" s="299" t="s">
        <v>439</v>
      </c>
      <c r="E931" s="299"/>
      <c r="F931" s="294">
        <f t="shared" si="140"/>
        <v>9913.5</v>
      </c>
      <c r="G931" s="294">
        <f t="shared" si="140"/>
        <v>9913.5</v>
      </c>
    </row>
    <row r="932" spans="1:7" ht="15.75" x14ac:dyDescent="0.25">
      <c r="A932" s="345" t="s">
        <v>176</v>
      </c>
      <c r="B932" s="346" t="s">
        <v>174</v>
      </c>
      <c r="C932" s="346" t="s">
        <v>116</v>
      </c>
      <c r="D932" s="346" t="s">
        <v>454</v>
      </c>
      <c r="E932" s="346"/>
      <c r="F932" s="295">
        <f t="shared" si="140"/>
        <v>9913.5</v>
      </c>
      <c r="G932" s="295">
        <f t="shared" si="140"/>
        <v>9913.5</v>
      </c>
    </row>
    <row r="933" spans="1:7" ht="18" customHeight="1" x14ac:dyDescent="0.25">
      <c r="A933" s="345" t="s">
        <v>177</v>
      </c>
      <c r="B933" s="346" t="s">
        <v>174</v>
      </c>
      <c r="C933" s="346" t="s">
        <v>116</v>
      </c>
      <c r="D933" s="346" t="s">
        <v>454</v>
      </c>
      <c r="E933" s="346" t="s">
        <v>178</v>
      </c>
      <c r="F933" s="295">
        <f t="shared" si="140"/>
        <v>9913.5</v>
      </c>
      <c r="G933" s="295">
        <f t="shared" si="140"/>
        <v>9913.5</v>
      </c>
    </row>
    <row r="934" spans="1:7" ht="31.5" x14ac:dyDescent="0.25">
      <c r="A934" s="345" t="s">
        <v>216</v>
      </c>
      <c r="B934" s="346" t="s">
        <v>174</v>
      </c>
      <c r="C934" s="346" t="s">
        <v>116</v>
      </c>
      <c r="D934" s="346" t="s">
        <v>454</v>
      </c>
      <c r="E934" s="346" t="s">
        <v>217</v>
      </c>
      <c r="F934" s="295">
        <f>'Пр.4.1 ведом.23-24 '!G231</f>
        <v>9913.5</v>
      </c>
      <c r="G934" s="295">
        <f>'Пр.4.1 ведом.23-24 '!H231</f>
        <v>9913.5</v>
      </c>
    </row>
    <row r="935" spans="1:7" ht="15.75" x14ac:dyDescent="0.25">
      <c r="A935" s="298" t="s">
        <v>181</v>
      </c>
      <c r="B935" s="299" t="s">
        <v>174</v>
      </c>
      <c r="C935" s="299" t="s">
        <v>159</v>
      </c>
      <c r="D935" s="299"/>
      <c r="E935" s="299"/>
      <c r="F935" s="294">
        <f>F936+F959</f>
        <v>1695.1878900000002</v>
      </c>
      <c r="G935" s="294">
        <f>G936+G959</f>
        <v>1534.35</v>
      </c>
    </row>
    <row r="936" spans="1:7" ht="28.5" customHeight="1" x14ac:dyDescent="0.25">
      <c r="A936" s="298" t="s">
        <v>872</v>
      </c>
      <c r="B936" s="299" t="s">
        <v>174</v>
      </c>
      <c r="C936" s="299" t="s">
        <v>159</v>
      </c>
      <c r="D936" s="299" t="s">
        <v>213</v>
      </c>
      <c r="E936" s="299"/>
      <c r="F936" s="294">
        <f>F937+F942</f>
        <v>1685.1878900000002</v>
      </c>
      <c r="G936" s="294">
        <f>G937+G942</f>
        <v>1524.35</v>
      </c>
    </row>
    <row r="937" spans="1:7" ht="28.5" customHeight="1" x14ac:dyDescent="0.25">
      <c r="A937" s="298" t="s">
        <v>218</v>
      </c>
      <c r="B937" s="299" t="s">
        <v>174</v>
      </c>
      <c r="C937" s="299" t="s">
        <v>159</v>
      </c>
      <c r="D937" s="299" t="s">
        <v>219</v>
      </c>
      <c r="E937" s="299"/>
      <c r="F937" s="294">
        <f t="shared" ref="F937:G937" si="141">F938</f>
        <v>253</v>
      </c>
      <c r="G937" s="294">
        <f t="shared" si="141"/>
        <v>217.35</v>
      </c>
    </row>
    <row r="938" spans="1:7" ht="28.5" customHeight="1" x14ac:dyDescent="0.25">
      <c r="A938" s="298" t="s">
        <v>474</v>
      </c>
      <c r="B938" s="299" t="s">
        <v>174</v>
      </c>
      <c r="C938" s="299" t="s">
        <v>159</v>
      </c>
      <c r="D938" s="299" t="s">
        <v>473</v>
      </c>
      <c r="E938" s="299"/>
      <c r="F938" s="294">
        <f>F939</f>
        <v>253</v>
      </c>
      <c r="G938" s="294">
        <f>G939</f>
        <v>217.35</v>
      </c>
    </row>
    <row r="939" spans="1:7" ht="28.5" customHeight="1" x14ac:dyDescent="0.25">
      <c r="A939" s="345" t="s">
        <v>399</v>
      </c>
      <c r="B939" s="346" t="s">
        <v>174</v>
      </c>
      <c r="C939" s="346" t="s">
        <v>159</v>
      </c>
      <c r="D939" s="346" t="s">
        <v>475</v>
      </c>
      <c r="E939" s="346"/>
      <c r="F939" s="295">
        <f>F940</f>
        <v>253</v>
      </c>
      <c r="G939" s="295">
        <f>G940</f>
        <v>217.35</v>
      </c>
    </row>
    <row r="940" spans="1:7" ht="28.5" customHeight="1" x14ac:dyDescent="0.25">
      <c r="A940" s="345" t="s">
        <v>177</v>
      </c>
      <c r="B940" s="346" t="s">
        <v>174</v>
      </c>
      <c r="C940" s="346" t="s">
        <v>159</v>
      </c>
      <c r="D940" s="346" t="s">
        <v>475</v>
      </c>
      <c r="E940" s="346" t="s">
        <v>178</v>
      </c>
      <c r="F940" s="295">
        <f t="shared" ref="F940:G940" si="142">F941</f>
        <v>253</v>
      </c>
      <c r="G940" s="295">
        <f t="shared" si="142"/>
        <v>217.35</v>
      </c>
    </row>
    <row r="941" spans="1:7" ht="28.5" customHeight="1" x14ac:dyDescent="0.25">
      <c r="A941" s="345" t="s">
        <v>179</v>
      </c>
      <c r="B941" s="346" t="s">
        <v>174</v>
      </c>
      <c r="C941" s="346" t="s">
        <v>159</v>
      </c>
      <c r="D941" s="346" t="s">
        <v>475</v>
      </c>
      <c r="E941" s="346" t="s">
        <v>180</v>
      </c>
      <c r="F941" s="295">
        <f>'Пр.4.1 ведом.23-24 '!G503</f>
        <v>253</v>
      </c>
      <c r="G941" s="295">
        <f>'Пр.4.1 ведом.23-24 '!H503</f>
        <v>217.35</v>
      </c>
    </row>
    <row r="942" spans="1:7" ht="28.5" customHeight="1" x14ac:dyDescent="0.25">
      <c r="A942" s="298" t="s">
        <v>220</v>
      </c>
      <c r="B942" s="296">
        <v>10</v>
      </c>
      <c r="C942" s="299" t="s">
        <v>159</v>
      </c>
      <c r="D942" s="299" t="s">
        <v>223</v>
      </c>
      <c r="E942" s="299"/>
      <c r="F942" s="294">
        <f>F943+F949+F955</f>
        <v>1432.1878900000002</v>
      </c>
      <c r="G942" s="294">
        <f>G943+G949+G955</f>
        <v>1307</v>
      </c>
    </row>
    <row r="943" spans="1:7" ht="31.5" x14ac:dyDescent="0.25">
      <c r="A943" s="298" t="s">
        <v>598</v>
      </c>
      <c r="B943" s="299" t="s">
        <v>174</v>
      </c>
      <c r="C943" s="299" t="s">
        <v>159</v>
      </c>
      <c r="D943" s="299" t="s">
        <v>482</v>
      </c>
      <c r="E943" s="299"/>
      <c r="F943" s="297">
        <f>F944</f>
        <v>755.18789000000004</v>
      </c>
      <c r="G943" s="297">
        <f>G944</f>
        <v>630</v>
      </c>
    </row>
    <row r="944" spans="1:7" ht="47.25" x14ac:dyDescent="0.25">
      <c r="A944" s="67" t="s">
        <v>599</v>
      </c>
      <c r="B944" s="346" t="s">
        <v>174</v>
      </c>
      <c r="C944" s="346" t="s">
        <v>159</v>
      </c>
      <c r="D944" s="346" t="s">
        <v>758</v>
      </c>
      <c r="E944" s="346"/>
      <c r="F944" s="300">
        <f>F947+F945</f>
        <v>755.18789000000004</v>
      </c>
      <c r="G944" s="300">
        <f>G947+G945</f>
        <v>630</v>
      </c>
    </row>
    <row r="945" spans="1:7" ht="31.5" hidden="1" x14ac:dyDescent="0.25">
      <c r="A945" s="345" t="s">
        <v>123</v>
      </c>
      <c r="B945" s="346" t="s">
        <v>174</v>
      </c>
      <c r="C945" s="346" t="s">
        <v>159</v>
      </c>
      <c r="D945" s="346" t="s">
        <v>758</v>
      </c>
      <c r="E945" s="346" t="s">
        <v>124</v>
      </c>
      <c r="F945" s="300">
        <f>F946</f>
        <v>125.18789000000001</v>
      </c>
      <c r="G945" s="300">
        <f>G946</f>
        <v>0</v>
      </c>
    </row>
    <row r="946" spans="1:7" ht="47.25" hidden="1" x14ac:dyDescent="0.25">
      <c r="A946" s="345" t="s">
        <v>125</v>
      </c>
      <c r="B946" s="346" t="s">
        <v>174</v>
      </c>
      <c r="C946" s="346" t="s">
        <v>159</v>
      </c>
      <c r="D946" s="346" t="s">
        <v>758</v>
      </c>
      <c r="E946" s="346" t="s">
        <v>126</v>
      </c>
      <c r="F946" s="300">
        <f>'Пр.4 ведом.22'!G564</f>
        <v>125.18789000000001</v>
      </c>
      <c r="G946" s="300">
        <f>'Пр.4 ведом.22'!H564</f>
        <v>0</v>
      </c>
    </row>
    <row r="947" spans="1:7" ht="18.75" customHeight="1" x14ac:dyDescent="0.25">
      <c r="A947" s="345" t="s">
        <v>177</v>
      </c>
      <c r="B947" s="346" t="s">
        <v>174</v>
      </c>
      <c r="C947" s="346" t="s">
        <v>159</v>
      </c>
      <c r="D947" s="346" t="s">
        <v>758</v>
      </c>
      <c r="E947" s="346" t="s">
        <v>178</v>
      </c>
      <c r="F947" s="300">
        <f>F948</f>
        <v>630</v>
      </c>
      <c r="G947" s="300">
        <f>G948</f>
        <v>630</v>
      </c>
    </row>
    <row r="948" spans="1:7" ht="31.7" customHeight="1" x14ac:dyDescent="0.25">
      <c r="A948" s="345" t="s">
        <v>216</v>
      </c>
      <c r="B948" s="346" t="s">
        <v>174</v>
      </c>
      <c r="C948" s="346" t="s">
        <v>159</v>
      </c>
      <c r="D948" s="346" t="s">
        <v>758</v>
      </c>
      <c r="E948" s="346" t="s">
        <v>217</v>
      </c>
      <c r="F948" s="300">
        <f>'Пр.4.1 ведом.23-24 '!G510</f>
        <v>630</v>
      </c>
      <c r="G948" s="300">
        <f>'Пр.4.1 ведом.23-24 '!H510</f>
        <v>630</v>
      </c>
    </row>
    <row r="949" spans="1:7" ht="31.5" x14ac:dyDescent="0.25">
      <c r="A949" s="298" t="s">
        <v>762</v>
      </c>
      <c r="B949" s="296">
        <v>10</v>
      </c>
      <c r="C949" s="299" t="s">
        <v>159</v>
      </c>
      <c r="D949" s="299" t="s">
        <v>760</v>
      </c>
      <c r="E949" s="299"/>
      <c r="F949" s="297">
        <f>F950</f>
        <v>257</v>
      </c>
      <c r="G949" s="297">
        <f>G950</f>
        <v>257</v>
      </c>
    </row>
    <row r="950" spans="1:7" ht="35.450000000000003" customHeight="1" x14ac:dyDescent="0.25">
      <c r="A950" s="345" t="s">
        <v>759</v>
      </c>
      <c r="B950" s="346" t="s">
        <v>174</v>
      </c>
      <c r="C950" s="346" t="s">
        <v>159</v>
      </c>
      <c r="D950" s="346" t="s">
        <v>761</v>
      </c>
      <c r="E950" s="346"/>
      <c r="F950" s="300">
        <f>F952+F954</f>
        <v>257</v>
      </c>
      <c r="G950" s="300">
        <f>G952+G954</f>
        <v>257</v>
      </c>
    </row>
    <row r="951" spans="1:7" ht="36" hidden="1" customHeight="1" x14ac:dyDescent="0.25">
      <c r="A951" s="345" t="s">
        <v>123</v>
      </c>
      <c r="B951" s="346" t="s">
        <v>174</v>
      </c>
      <c r="C951" s="346" t="s">
        <v>159</v>
      </c>
      <c r="D951" s="346" t="s">
        <v>761</v>
      </c>
      <c r="E951" s="346" t="s">
        <v>124</v>
      </c>
      <c r="F951" s="300">
        <f>F952</f>
        <v>0</v>
      </c>
      <c r="G951" s="300">
        <f>G952</f>
        <v>0</v>
      </c>
    </row>
    <row r="952" spans="1:7" ht="39.75" hidden="1" customHeight="1" x14ac:dyDescent="0.25">
      <c r="A952" s="345" t="s">
        <v>125</v>
      </c>
      <c r="B952" s="346" t="s">
        <v>174</v>
      </c>
      <c r="C952" s="346" t="s">
        <v>159</v>
      </c>
      <c r="D952" s="346" t="s">
        <v>761</v>
      </c>
      <c r="E952" s="346" t="s">
        <v>126</v>
      </c>
      <c r="F952" s="300">
        <f>'Пр.4 ведом.22'!G570</f>
        <v>0</v>
      </c>
      <c r="G952" s="300">
        <f>'Пр.4 ведом.22'!H570</f>
        <v>0</v>
      </c>
    </row>
    <row r="953" spans="1:7" ht="19.5" customHeight="1" x14ac:dyDescent="0.25">
      <c r="A953" s="345" t="s">
        <v>177</v>
      </c>
      <c r="B953" s="346" t="s">
        <v>174</v>
      </c>
      <c r="C953" s="346" t="s">
        <v>159</v>
      </c>
      <c r="D953" s="346" t="s">
        <v>761</v>
      </c>
      <c r="E953" s="346" t="s">
        <v>178</v>
      </c>
      <c r="F953" s="300">
        <f>F954</f>
        <v>257</v>
      </c>
      <c r="G953" s="300">
        <f>G954</f>
        <v>257</v>
      </c>
    </row>
    <row r="954" spans="1:7" ht="31.5" x14ac:dyDescent="0.25">
      <c r="A954" s="345" t="s">
        <v>216</v>
      </c>
      <c r="B954" s="346" t="s">
        <v>174</v>
      </c>
      <c r="C954" s="346" t="s">
        <v>159</v>
      </c>
      <c r="D954" s="346" t="s">
        <v>761</v>
      </c>
      <c r="E954" s="346" t="s">
        <v>217</v>
      </c>
      <c r="F954" s="300">
        <f>'Пр.4.1 ведом.23-24 '!G516</f>
        <v>257</v>
      </c>
      <c r="G954" s="300">
        <f>'Пр.4.1 ведом.23-24 '!H516</f>
        <v>257</v>
      </c>
    </row>
    <row r="955" spans="1:7" ht="31.5" x14ac:dyDescent="0.25">
      <c r="A955" s="298" t="s">
        <v>558</v>
      </c>
      <c r="B955" s="296">
        <v>10</v>
      </c>
      <c r="C955" s="299" t="s">
        <v>159</v>
      </c>
      <c r="D955" s="299" t="s">
        <v>755</v>
      </c>
      <c r="E955" s="299"/>
      <c r="F955" s="297">
        <f t="shared" ref="F955:G957" si="143">F956</f>
        <v>420</v>
      </c>
      <c r="G955" s="297">
        <f t="shared" si="143"/>
        <v>420</v>
      </c>
    </row>
    <row r="956" spans="1:7" ht="15.75" x14ac:dyDescent="0.25">
      <c r="A956" s="345" t="s">
        <v>596</v>
      </c>
      <c r="B956" s="346" t="s">
        <v>174</v>
      </c>
      <c r="C956" s="346" t="s">
        <v>159</v>
      </c>
      <c r="D956" s="346" t="s">
        <v>757</v>
      </c>
      <c r="E956" s="346"/>
      <c r="F956" s="300">
        <f t="shared" si="143"/>
        <v>420</v>
      </c>
      <c r="G956" s="300">
        <f t="shared" si="143"/>
        <v>420</v>
      </c>
    </row>
    <row r="957" spans="1:7" ht="21.75" customHeight="1" x14ac:dyDescent="0.25">
      <c r="A957" s="345" t="s">
        <v>177</v>
      </c>
      <c r="B957" s="346" t="s">
        <v>174</v>
      </c>
      <c r="C957" s="346" t="s">
        <v>159</v>
      </c>
      <c r="D957" s="346" t="s">
        <v>757</v>
      </c>
      <c r="E957" s="346" t="s">
        <v>178</v>
      </c>
      <c r="F957" s="300">
        <f t="shared" si="143"/>
        <v>420</v>
      </c>
      <c r="G957" s="300">
        <f t="shared" si="143"/>
        <v>420</v>
      </c>
    </row>
    <row r="958" spans="1:7" ht="31.5" x14ac:dyDescent="0.25">
      <c r="A958" s="345" t="s">
        <v>216</v>
      </c>
      <c r="B958" s="346" t="s">
        <v>174</v>
      </c>
      <c r="C958" s="346" t="s">
        <v>159</v>
      </c>
      <c r="D958" s="346" t="s">
        <v>757</v>
      </c>
      <c r="E958" s="346" t="s">
        <v>217</v>
      </c>
      <c r="F958" s="300">
        <f>'Пр.4.1 ведом.23-24 '!G520</f>
        <v>420</v>
      </c>
      <c r="G958" s="300">
        <f>'Пр.4.1 ведом.23-24 '!H520</f>
        <v>420</v>
      </c>
    </row>
    <row r="959" spans="1:7" ht="69" customHeight="1" x14ac:dyDescent="0.25">
      <c r="A959" s="298" t="s">
        <v>850</v>
      </c>
      <c r="B959" s="299" t="s">
        <v>174</v>
      </c>
      <c r="C959" s="299" t="s">
        <v>159</v>
      </c>
      <c r="D959" s="299" t="s">
        <v>182</v>
      </c>
      <c r="E959" s="299"/>
      <c r="F959" s="294">
        <f t="shared" ref="F959:G961" si="144">F960</f>
        <v>10</v>
      </c>
      <c r="G959" s="294">
        <f t="shared" si="144"/>
        <v>10</v>
      </c>
    </row>
    <row r="960" spans="1:7" ht="47.25" x14ac:dyDescent="0.25">
      <c r="A960" s="298" t="s">
        <v>457</v>
      </c>
      <c r="B960" s="299" t="s">
        <v>174</v>
      </c>
      <c r="C960" s="299" t="s">
        <v>159</v>
      </c>
      <c r="D960" s="299" t="s">
        <v>455</v>
      </c>
      <c r="E960" s="299"/>
      <c r="F960" s="294">
        <f>F961</f>
        <v>10</v>
      </c>
      <c r="G960" s="294">
        <f>G961</f>
        <v>10</v>
      </c>
    </row>
    <row r="961" spans="1:7" ht="31.5" x14ac:dyDescent="0.25">
      <c r="A961" s="345" t="s">
        <v>456</v>
      </c>
      <c r="B961" s="346" t="s">
        <v>174</v>
      </c>
      <c r="C961" s="346" t="s">
        <v>159</v>
      </c>
      <c r="D961" s="346" t="s">
        <v>726</v>
      </c>
      <c r="E961" s="346"/>
      <c r="F961" s="295">
        <f t="shared" si="144"/>
        <v>10</v>
      </c>
      <c r="G961" s="295">
        <f t="shared" si="144"/>
        <v>10</v>
      </c>
    </row>
    <row r="962" spans="1:7" ht="19.5" customHeight="1" x14ac:dyDescent="0.25">
      <c r="A962" s="345" t="s">
        <v>177</v>
      </c>
      <c r="B962" s="346" t="s">
        <v>174</v>
      </c>
      <c r="C962" s="346" t="s">
        <v>159</v>
      </c>
      <c r="D962" s="346" t="s">
        <v>726</v>
      </c>
      <c r="E962" s="346" t="s">
        <v>178</v>
      </c>
      <c r="F962" s="295">
        <v>10</v>
      </c>
      <c r="G962" s="295">
        <v>10</v>
      </c>
    </row>
    <row r="963" spans="1:7" ht="31.5" x14ac:dyDescent="0.25">
      <c r="A963" s="345" t="s">
        <v>179</v>
      </c>
      <c r="B963" s="346" t="s">
        <v>174</v>
      </c>
      <c r="C963" s="346" t="s">
        <v>159</v>
      </c>
      <c r="D963" s="346" t="s">
        <v>726</v>
      </c>
      <c r="E963" s="346" t="s">
        <v>180</v>
      </c>
      <c r="F963" s="295">
        <f>'Пр.4.1 ведом.23-24 '!G237</f>
        <v>10</v>
      </c>
      <c r="G963" s="295">
        <f>'Пр.4.1 ведом.23-24 '!H237</f>
        <v>10</v>
      </c>
    </row>
    <row r="964" spans="1:7" ht="15.75" hidden="1" x14ac:dyDescent="0.25">
      <c r="A964" s="298" t="s">
        <v>234</v>
      </c>
      <c r="B964" s="299" t="s">
        <v>174</v>
      </c>
      <c r="C964" s="299" t="s">
        <v>139</v>
      </c>
      <c r="D964" s="299"/>
      <c r="E964" s="299"/>
      <c r="F964" s="294">
        <f t="shared" ref="F964:G967" si="145">F965</f>
        <v>0</v>
      </c>
      <c r="G964" s="294">
        <f t="shared" si="145"/>
        <v>0</v>
      </c>
    </row>
    <row r="965" spans="1:7" ht="31.5" hidden="1" x14ac:dyDescent="0.25">
      <c r="A965" s="298" t="s">
        <v>458</v>
      </c>
      <c r="B965" s="299" t="s">
        <v>174</v>
      </c>
      <c r="C965" s="299" t="s">
        <v>139</v>
      </c>
      <c r="D965" s="299" t="s">
        <v>437</v>
      </c>
      <c r="E965" s="346"/>
      <c r="F965" s="297">
        <f t="shared" si="145"/>
        <v>0</v>
      </c>
      <c r="G965" s="297">
        <f t="shared" si="145"/>
        <v>0</v>
      </c>
    </row>
    <row r="966" spans="1:7" ht="47.25" hidden="1" x14ac:dyDescent="0.25">
      <c r="A966" s="345" t="s">
        <v>719</v>
      </c>
      <c r="B966" s="346" t="s">
        <v>174</v>
      </c>
      <c r="C966" s="346" t="s">
        <v>139</v>
      </c>
      <c r="D966" s="346" t="s">
        <v>718</v>
      </c>
      <c r="E966" s="346"/>
      <c r="F966" s="300">
        <f t="shared" si="145"/>
        <v>0</v>
      </c>
      <c r="G966" s="300">
        <f t="shared" si="145"/>
        <v>0</v>
      </c>
    </row>
    <row r="967" spans="1:7" ht="31.5" hidden="1" x14ac:dyDescent="0.25">
      <c r="A967" s="345" t="s">
        <v>123</v>
      </c>
      <c r="B967" s="346" t="s">
        <v>174</v>
      </c>
      <c r="C967" s="346" t="s">
        <v>139</v>
      </c>
      <c r="D967" s="346" t="s">
        <v>718</v>
      </c>
      <c r="E967" s="346" t="s">
        <v>124</v>
      </c>
      <c r="F967" s="300">
        <f t="shared" si="145"/>
        <v>0</v>
      </c>
      <c r="G967" s="300">
        <f t="shared" si="145"/>
        <v>0</v>
      </c>
    </row>
    <row r="968" spans="1:7" ht="47.25" hidden="1" x14ac:dyDescent="0.25">
      <c r="A968" s="345" t="s">
        <v>125</v>
      </c>
      <c r="B968" s="346" t="s">
        <v>174</v>
      </c>
      <c r="C968" s="346" t="s">
        <v>139</v>
      </c>
      <c r="D968" s="346" t="s">
        <v>718</v>
      </c>
      <c r="E968" s="346" t="s">
        <v>126</v>
      </c>
      <c r="F968" s="300">
        <f>'Пр.4 ведом.22'!G673</f>
        <v>0</v>
      </c>
      <c r="G968" s="300">
        <f>'Пр.4 ведом.22'!H673</f>
        <v>0</v>
      </c>
    </row>
    <row r="969" spans="1:7" ht="15.75" x14ac:dyDescent="0.25">
      <c r="A969" s="298" t="s">
        <v>183</v>
      </c>
      <c r="B969" s="299" t="s">
        <v>174</v>
      </c>
      <c r="C969" s="299" t="s">
        <v>118</v>
      </c>
      <c r="D969" s="299"/>
      <c r="E969" s="299"/>
      <c r="F969" s="294">
        <f>F970+F977</f>
        <v>3775.8</v>
      </c>
      <c r="G969" s="294">
        <f>G970+G977</f>
        <v>3926.6</v>
      </c>
    </row>
    <row r="970" spans="1:7" ht="31.5" x14ac:dyDescent="0.25">
      <c r="A970" s="298" t="s">
        <v>486</v>
      </c>
      <c r="B970" s="299" t="s">
        <v>174</v>
      </c>
      <c r="C970" s="299" t="s">
        <v>118</v>
      </c>
      <c r="D970" s="299" t="s">
        <v>432</v>
      </c>
      <c r="E970" s="299"/>
      <c r="F970" s="294">
        <f>F971</f>
        <v>3690.7000000000003</v>
      </c>
      <c r="G970" s="294">
        <f>G971</f>
        <v>3841.5</v>
      </c>
    </row>
    <row r="971" spans="1:7" ht="31.5" x14ac:dyDescent="0.25">
      <c r="A971" s="298" t="s">
        <v>458</v>
      </c>
      <c r="B971" s="299" t="s">
        <v>174</v>
      </c>
      <c r="C971" s="299" t="s">
        <v>118</v>
      </c>
      <c r="D971" s="299" t="s">
        <v>437</v>
      </c>
      <c r="E971" s="299"/>
      <c r="F971" s="294">
        <f>F972</f>
        <v>3690.7000000000003</v>
      </c>
      <c r="G971" s="294">
        <f>G972</f>
        <v>3841.5</v>
      </c>
    </row>
    <row r="972" spans="1:7" ht="43.5" customHeight="1" x14ac:dyDescent="0.25">
      <c r="A972" s="22" t="s">
        <v>184</v>
      </c>
      <c r="B972" s="346" t="s">
        <v>174</v>
      </c>
      <c r="C972" s="346" t="s">
        <v>118</v>
      </c>
      <c r="D972" s="346" t="s">
        <v>494</v>
      </c>
      <c r="E972" s="346"/>
      <c r="F972" s="295">
        <f>F973+F975</f>
        <v>3690.7000000000003</v>
      </c>
      <c r="G972" s="295">
        <f>G973+G975</f>
        <v>3841.5</v>
      </c>
    </row>
    <row r="973" spans="1:7" ht="78.75" x14ac:dyDescent="0.25">
      <c r="A973" s="345" t="s">
        <v>119</v>
      </c>
      <c r="B973" s="346" t="s">
        <v>174</v>
      </c>
      <c r="C973" s="346" t="s">
        <v>118</v>
      </c>
      <c r="D973" s="346" t="s">
        <v>494</v>
      </c>
      <c r="E973" s="346" t="s">
        <v>120</v>
      </c>
      <c r="F973" s="295">
        <f t="shared" ref="F973:G973" si="146">F974</f>
        <v>3555.4</v>
      </c>
      <c r="G973" s="295">
        <f t="shared" si="146"/>
        <v>3689.8</v>
      </c>
    </row>
    <row r="974" spans="1:7" ht="31.5" x14ac:dyDescent="0.25">
      <c r="A974" s="345" t="s">
        <v>121</v>
      </c>
      <c r="B974" s="346" t="s">
        <v>174</v>
      </c>
      <c r="C974" s="346" t="s">
        <v>118</v>
      </c>
      <c r="D974" s="346" t="s">
        <v>494</v>
      </c>
      <c r="E974" s="346" t="s">
        <v>122</v>
      </c>
      <c r="F974" s="295">
        <f>'Пр.4.1 ведом.23-24 '!G243</f>
        <v>3555.4</v>
      </c>
      <c r="G974" s="295">
        <f>'Пр.4.1 ведом.23-24 '!H243</f>
        <v>3689.8</v>
      </c>
    </row>
    <row r="975" spans="1:7" ht="32.25" customHeight="1" x14ac:dyDescent="0.25">
      <c r="A975" s="345" t="s">
        <v>123</v>
      </c>
      <c r="B975" s="346" t="s">
        <v>174</v>
      </c>
      <c r="C975" s="346" t="s">
        <v>118</v>
      </c>
      <c r="D975" s="346" t="s">
        <v>494</v>
      </c>
      <c r="E975" s="346" t="s">
        <v>124</v>
      </c>
      <c r="F975" s="295">
        <f t="shared" ref="F975:G975" si="147">F976</f>
        <v>135.30000000000001</v>
      </c>
      <c r="G975" s="295">
        <f t="shared" si="147"/>
        <v>151.69999999999999</v>
      </c>
    </row>
    <row r="976" spans="1:7" ht="31.7" customHeight="1" x14ac:dyDescent="0.25">
      <c r="A976" s="345" t="s">
        <v>125</v>
      </c>
      <c r="B976" s="346" t="s">
        <v>174</v>
      </c>
      <c r="C976" s="346" t="s">
        <v>118</v>
      </c>
      <c r="D976" s="346" t="s">
        <v>494</v>
      </c>
      <c r="E976" s="346" t="s">
        <v>126</v>
      </c>
      <c r="F976" s="295">
        <f>'Пр.4.1 ведом.23-24 '!G245</f>
        <v>135.30000000000001</v>
      </c>
      <c r="G976" s="295">
        <f>'Пр.4.1 ведом.23-24 '!H245</f>
        <v>151.69999999999999</v>
      </c>
    </row>
    <row r="977" spans="1:12" ht="15" customHeight="1" x14ac:dyDescent="0.25">
      <c r="A977" s="298" t="s">
        <v>133</v>
      </c>
      <c r="B977" s="299" t="s">
        <v>174</v>
      </c>
      <c r="C977" s="299" t="s">
        <v>118</v>
      </c>
      <c r="D977" s="299" t="s">
        <v>440</v>
      </c>
      <c r="E977" s="299"/>
      <c r="F977" s="294">
        <f t="shared" ref="F977:G980" si="148">F978</f>
        <v>85.1</v>
      </c>
      <c r="G977" s="294">
        <f t="shared" si="148"/>
        <v>85.1</v>
      </c>
    </row>
    <row r="978" spans="1:12" ht="37.5" customHeight="1" x14ac:dyDescent="0.25">
      <c r="A978" s="298" t="s">
        <v>444</v>
      </c>
      <c r="B978" s="299" t="s">
        <v>174</v>
      </c>
      <c r="C978" s="299" t="s">
        <v>118</v>
      </c>
      <c r="D978" s="299" t="s">
        <v>439</v>
      </c>
      <c r="E978" s="299"/>
      <c r="F978" s="294">
        <f t="shared" si="148"/>
        <v>85.1</v>
      </c>
      <c r="G978" s="294">
        <f t="shared" si="148"/>
        <v>85.1</v>
      </c>
    </row>
    <row r="979" spans="1:12" ht="15.75" customHeight="1" x14ac:dyDescent="0.25">
      <c r="A979" s="345" t="s">
        <v>283</v>
      </c>
      <c r="B979" s="346" t="s">
        <v>174</v>
      </c>
      <c r="C979" s="346" t="s">
        <v>118</v>
      </c>
      <c r="D979" s="346" t="s">
        <v>548</v>
      </c>
      <c r="E979" s="346"/>
      <c r="F979" s="295">
        <f t="shared" si="148"/>
        <v>85.1</v>
      </c>
      <c r="G979" s="295">
        <f t="shared" si="148"/>
        <v>85.1</v>
      </c>
    </row>
    <row r="980" spans="1:12" ht="31.7" customHeight="1" x14ac:dyDescent="0.25">
      <c r="A980" s="345" t="s">
        <v>123</v>
      </c>
      <c r="B980" s="346" t="s">
        <v>174</v>
      </c>
      <c r="C980" s="346" t="s">
        <v>118</v>
      </c>
      <c r="D980" s="346" t="s">
        <v>548</v>
      </c>
      <c r="E980" s="346" t="s">
        <v>124</v>
      </c>
      <c r="F980" s="295">
        <f t="shared" si="148"/>
        <v>85.1</v>
      </c>
      <c r="G980" s="295">
        <f t="shared" si="148"/>
        <v>85.1</v>
      </c>
    </row>
    <row r="981" spans="1:12" ht="35.450000000000003" customHeight="1" x14ac:dyDescent="0.25">
      <c r="A981" s="345" t="s">
        <v>125</v>
      </c>
      <c r="B981" s="346" t="s">
        <v>174</v>
      </c>
      <c r="C981" s="346" t="s">
        <v>118</v>
      </c>
      <c r="D981" s="346" t="s">
        <v>548</v>
      </c>
      <c r="E981" s="346" t="s">
        <v>126</v>
      </c>
      <c r="F981" s="295">
        <f>'Пр.4.1 ведом.23-24 '!G1193</f>
        <v>85.1</v>
      </c>
      <c r="G981" s="295">
        <f>'Пр.4.1 ведом.23-24 '!H1193</f>
        <v>85.1</v>
      </c>
    </row>
    <row r="982" spans="1:12" ht="15.75" x14ac:dyDescent="0.25">
      <c r="A982" s="340" t="s">
        <v>250</v>
      </c>
      <c r="B982" s="6" t="s">
        <v>251</v>
      </c>
      <c r="C982" s="341"/>
      <c r="D982" s="341"/>
      <c r="E982" s="341"/>
      <c r="F982" s="294">
        <f>F983+F1030</f>
        <v>70728.3</v>
      </c>
      <c r="G982" s="294">
        <f>G983+G1030</f>
        <v>70328.3</v>
      </c>
      <c r="H982" s="71">
        <f>G982-F982</f>
        <v>-400</v>
      </c>
      <c r="K982" s="149" t="e">
        <f>F982-F1009-'Пр.4 ведом.22'!#REF!</f>
        <v>#REF!</v>
      </c>
      <c r="L982" s="151" t="e">
        <f>F1009+F1022-'Пр.4 ведом.22'!#REF!</f>
        <v>#REF!</v>
      </c>
    </row>
    <row r="983" spans="1:12" ht="15.75" x14ac:dyDescent="0.25">
      <c r="A983" s="298" t="s">
        <v>252</v>
      </c>
      <c r="B983" s="299" t="s">
        <v>251</v>
      </c>
      <c r="C983" s="299" t="s">
        <v>116</v>
      </c>
      <c r="D983" s="346"/>
      <c r="E983" s="346"/>
      <c r="F983" s="294">
        <f>F984+F1025</f>
        <v>57055.199999999997</v>
      </c>
      <c r="G983" s="294">
        <f>G984+G1025</f>
        <v>56655.199999999997</v>
      </c>
      <c r="H983" s="71"/>
      <c r="I983" s="71"/>
      <c r="J983" s="71"/>
    </row>
    <row r="984" spans="1:12" ht="47.25" x14ac:dyDescent="0.25">
      <c r="A984" s="298" t="s">
        <v>870</v>
      </c>
      <c r="B984" s="299" t="s">
        <v>251</v>
      </c>
      <c r="C984" s="299" t="s">
        <v>116</v>
      </c>
      <c r="D984" s="299" t="s">
        <v>249</v>
      </c>
      <c r="E984" s="299"/>
      <c r="F984" s="294">
        <f>F985+F989+F1002+F1009+F1021+F1013+F1017</f>
        <v>56476.1</v>
      </c>
      <c r="G984" s="294">
        <f>G985+G989+G1002+G1009+G1021+G1013+G1017</f>
        <v>56076.1</v>
      </c>
      <c r="H984" s="71"/>
    </row>
    <row r="985" spans="1:12" ht="31.5" x14ac:dyDescent="0.25">
      <c r="A985" s="298" t="s">
        <v>505</v>
      </c>
      <c r="B985" s="299" t="s">
        <v>251</v>
      </c>
      <c r="C985" s="299" t="s">
        <v>116</v>
      </c>
      <c r="D985" s="299" t="s">
        <v>788</v>
      </c>
      <c r="E985" s="299"/>
      <c r="F985" s="294">
        <f t="shared" ref="F985:G987" si="149">F986</f>
        <v>53866.2</v>
      </c>
      <c r="G985" s="294">
        <f t="shared" si="149"/>
        <v>53866.2</v>
      </c>
    </row>
    <row r="986" spans="1:12" ht="31.5" x14ac:dyDescent="0.25">
      <c r="A986" s="345" t="s">
        <v>811</v>
      </c>
      <c r="B986" s="346" t="s">
        <v>251</v>
      </c>
      <c r="C986" s="346" t="s">
        <v>116</v>
      </c>
      <c r="D986" s="346" t="s">
        <v>789</v>
      </c>
      <c r="E986" s="346"/>
      <c r="F986" s="295">
        <f t="shared" si="149"/>
        <v>53866.2</v>
      </c>
      <c r="G986" s="295">
        <f t="shared" si="149"/>
        <v>53866.2</v>
      </c>
    </row>
    <row r="987" spans="1:12" ht="31.5" x14ac:dyDescent="0.25">
      <c r="A987" s="345" t="s">
        <v>191</v>
      </c>
      <c r="B987" s="346" t="s">
        <v>251</v>
      </c>
      <c r="C987" s="346" t="s">
        <v>116</v>
      </c>
      <c r="D987" s="346" t="s">
        <v>789</v>
      </c>
      <c r="E987" s="346" t="s">
        <v>192</v>
      </c>
      <c r="F987" s="295">
        <f t="shared" si="149"/>
        <v>53866.2</v>
      </c>
      <c r="G987" s="295">
        <f t="shared" si="149"/>
        <v>53866.2</v>
      </c>
    </row>
    <row r="988" spans="1:12" ht="15.75" x14ac:dyDescent="0.25">
      <c r="A988" s="345" t="s">
        <v>193</v>
      </c>
      <c r="B988" s="346" t="s">
        <v>251</v>
      </c>
      <c r="C988" s="346" t="s">
        <v>116</v>
      </c>
      <c r="D988" s="346" t="s">
        <v>789</v>
      </c>
      <c r="E988" s="346" t="s">
        <v>194</v>
      </c>
      <c r="F988" s="295">
        <f>'Пр.4.1 ведом.23-24 '!G857</f>
        <v>53866.2</v>
      </c>
      <c r="G988" s="295">
        <f>'Пр.4.1 ведом.23-24 '!H857</f>
        <v>53866.2</v>
      </c>
      <c r="H988" s="71"/>
    </row>
    <row r="989" spans="1:12" ht="31.5" x14ac:dyDescent="0.25">
      <c r="A989" s="298" t="s">
        <v>511</v>
      </c>
      <c r="B989" s="299" t="s">
        <v>251</v>
      </c>
      <c r="C989" s="299" t="s">
        <v>116</v>
      </c>
      <c r="D989" s="299" t="s">
        <v>790</v>
      </c>
      <c r="E989" s="299"/>
      <c r="F989" s="294">
        <f>F990+F993+F996+F999</f>
        <v>436</v>
      </c>
      <c r="G989" s="294">
        <f>G990+G993+G996+G999</f>
        <v>36</v>
      </c>
    </row>
    <row r="990" spans="1:12" ht="31.5" hidden="1" x14ac:dyDescent="0.25">
      <c r="A990" s="345" t="s">
        <v>195</v>
      </c>
      <c r="B990" s="346" t="s">
        <v>251</v>
      </c>
      <c r="C990" s="346" t="s">
        <v>116</v>
      </c>
      <c r="D990" s="346" t="s">
        <v>832</v>
      </c>
      <c r="E990" s="346"/>
      <c r="F990" s="295">
        <f t="shared" ref="F990:G990" si="150">F991</f>
        <v>0</v>
      </c>
      <c r="G990" s="295">
        <f t="shared" si="150"/>
        <v>0</v>
      </c>
    </row>
    <row r="991" spans="1:12" ht="31.5" hidden="1" x14ac:dyDescent="0.25">
      <c r="A991" s="345" t="s">
        <v>191</v>
      </c>
      <c r="B991" s="346" t="s">
        <v>251</v>
      </c>
      <c r="C991" s="346" t="s">
        <v>116</v>
      </c>
      <c r="D991" s="346" t="s">
        <v>832</v>
      </c>
      <c r="E991" s="346" t="s">
        <v>192</v>
      </c>
      <c r="F991" s="295">
        <f>'Пр.4 ведом.22'!G955</f>
        <v>0</v>
      </c>
      <c r="G991" s="295">
        <f>'Пр.4 ведом.22'!H955</f>
        <v>0</v>
      </c>
    </row>
    <row r="992" spans="1:12" ht="20.25" hidden="1" customHeight="1" x14ac:dyDescent="0.25">
      <c r="A992" s="345" t="s">
        <v>193</v>
      </c>
      <c r="B992" s="346" t="s">
        <v>251</v>
      </c>
      <c r="C992" s="346" t="s">
        <v>116</v>
      </c>
      <c r="D992" s="346" t="s">
        <v>832</v>
      </c>
      <c r="E992" s="346" t="s">
        <v>194</v>
      </c>
      <c r="F992" s="295">
        <f>'Пр.4 ведом.22'!G955</f>
        <v>0</v>
      </c>
      <c r="G992" s="295">
        <f>'Пр.4 ведом.22'!H955</f>
        <v>0</v>
      </c>
    </row>
    <row r="993" spans="1:7" ht="33" hidden="1" customHeight="1" x14ac:dyDescent="0.25">
      <c r="A993" s="345" t="s">
        <v>196</v>
      </c>
      <c r="B993" s="346" t="s">
        <v>251</v>
      </c>
      <c r="C993" s="346" t="s">
        <v>116</v>
      </c>
      <c r="D993" s="346" t="s">
        <v>833</v>
      </c>
      <c r="E993" s="346"/>
      <c r="F993" s="295">
        <f t="shared" ref="F993:G993" si="151">F994</f>
        <v>400</v>
      </c>
      <c r="G993" s="295">
        <f t="shared" si="151"/>
        <v>0</v>
      </c>
    </row>
    <row r="994" spans="1:7" ht="37.5" hidden="1" customHeight="1" x14ac:dyDescent="0.25">
      <c r="A994" s="345" t="s">
        <v>191</v>
      </c>
      <c r="B994" s="346" t="s">
        <v>251</v>
      </c>
      <c r="C994" s="346" t="s">
        <v>116</v>
      </c>
      <c r="D994" s="346" t="s">
        <v>833</v>
      </c>
      <c r="E994" s="346" t="s">
        <v>192</v>
      </c>
      <c r="F994" s="295">
        <f>'Пр.4 ведом.22'!G958</f>
        <v>400</v>
      </c>
      <c r="G994" s="295">
        <f>'Пр.4 ведом.22'!H958</f>
        <v>0</v>
      </c>
    </row>
    <row r="995" spans="1:7" ht="15.75" hidden="1" customHeight="1" x14ac:dyDescent="0.25">
      <c r="A995" s="345" t="s">
        <v>193</v>
      </c>
      <c r="B995" s="346" t="s">
        <v>251</v>
      </c>
      <c r="C995" s="346" t="s">
        <v>116</v>
      </c>
      <c r="D995" s="346" t="s">
        <v>833</v>
      </c>
      <c r="E995" s="346" t="s">
        <v>194</v>
      </c>
      <c r="F995" s="295">
        <f>'Пр.4 ведом.22'!G958</f>
        <v>400</v>
      </c>
      <c r="G995" s="295">
        <f>'Пр.4 ведом.22'!H958</f>
        <v>0</v>
      </c>
    </row>
    <row r="996" spans="1:7" ht="20.25" customHeight="1" x14ac:dyDescent="0.25">
      <c r="A996" s="345" t="s">
        <v>405</v>
      </c>
      <c r="B996" s="346" t="s">
        <v>251</v>
      </c>
      <c r="C996" s="346" t="s">
        <v>116</v>
      </c>
      <c r="D996" s="346" t="s">
        <v>791</v>
      </c>
      <c r="E996" s="346"/>
      <c r="F996" s="295">
        <f>F997</f>
        <v>36</v>
      </c>
      <c r="G996" s="295">
        <f>G997</f>
        <v>36</v>
      </c>
    </row>
    <row r="997" spans="1:7" ht="33" customHeight="1" x14ac:dyDescent="0.25">
      <c r="A997" s="345" t="s">
        <v>191</v>
      </c>
      <c r="B997" s="346" t="s">
        <v>251</v>
      </c>
      <c r="C997" s="346" t="s">
        <v>116</v>
      </c>
      <c r="D997" s="346" t="s">
        <v>791</v>
      </c>
      <c r="E997" s="346" t="s">
        <v>192</v>
      </c>
      <c r="F997" s="295">
        <f>'Пр.4 ведом.22'!G961</f>
        <v>36</v>
      </c>
      <c r="G997" s="295">
        <f>G998</f>
        <v>36</v>
      </c>
    </row>
    <row r="998" spans="1:7" ht="20.25" customHeight="1" x14ac:dyDescent="0.25">
      <c r="A998" s="345" t="s">
        <v>193</v>
      </c>
      <c r="B998" s="346" t="s">
        <v>251</v>
      </c>
      <c r="C998" s="346" t="s">
        <v>116</v>
      </c>
      <c r="D998" s="346" t="s">
        <v>791</v>
      </c>
      <c r="E998" s="346" t="s">
        <v>194</v>
      </c>
      <c r="F998" s="295">
        <f>'Пр.4.1 ведом.23-24 '!G867</f>
        <v>36</v>
      </c>
      <c r="G998" s="295">
        <f>'Пр.4.1 ведом.23-24 '!H867</f>
        <v>36</v>
      </c>
    </row>
    <row r="999" spans="1:7" ht="39.75" hidden="1" customHeight="1" x14ac:dyDescent="0.25">
      <c r="A999" s="345" t="s">
        <v>199</v>
      </c>
      <c r="B999" s="346" t="s">
        <v>251</v>
      </c>
      <c r="C999" s="346" t="s">
        <v>116</v>
      </c>
      <c r="D999" s="346" t="s">
        <v>1089</v>
      </c>
      <c r="E999" s="346"/>
      <c r="F999" s="295">
        <f>F1000</f>
        <v>0</v>
      </c>
      <c r="G999" s="295">
        <f>G1000</f>
        <v>0</v>
      </c>
    </row>
    <row r="1000" spans="1:7" ht="35.25" hidden="1" customHeight="1" x14ac:dyDescent="0.25">
      <c r="A1000" s="345" t="s">
        <v>191</v>
      </c>
      <c r="B1000" s="346" t="s">
        <v>251</v>
      </c>
      <c r="C1000" s="346" t="s">
        <v>116</v>
      </c>
      <c r="D1000" s="346" t="s">
        <v>1089</v>
      </c>
      <c r="E1000" s="346" t="s">
        <v>192</v>
      </c>
      <c r="F1000" s="295">
        <f>F1001</f>
        <v>0</v>
      </c>
      <c r="G1000" s="295">
        <f>G1001</f>
        <v>0</v>
      </c>
    </row>
    <row r="1001" spans="1:7" ht="20.25" hidden="1" customHeight="1" x14ac:dyDescent="0.25">
      <c r="A1001" s="345" t="s">
        <v>193</v>
      </c>
      <c r="B1001" s="346" t="s">
        <v>251</v>
      </c>
      <c r="C1001" s="346" t="s">
        <v>116</v>
      </c>
      <c r="D1001" s="346" t="s">
        <v>1089</v>
      </c>
      <c r="E1001" s="346" t="s">
        <v>194</v>
      </c>
      <c r="F1001" s="295">
        <f>'Пр.4 ведом.22'!G964</f>
        <v>0</v>
      </c>
      <c r="G1001" s="295">
        <f>'Пр.4 ведом.22'!H964</f>
        <v>0</v>
      </c>
    </row>
    <row r="1002" spans="1:7" ht="33" customHeight="1" x14ac:dyDescent="0.25">
      <c r="A1002" s="298" t="s">
        <v>512</v>
      </c>
      <c r="B1002" s="299" t="s">
        <v>251</v>
      </c>
      <c r="C1002" s="299" t="s">
        <v>116</v>
      </c>
      <c r="D1002" s="299" t="s">
        <v>792</v>
      </c>
      <c r="E1002" s="299"/>
      <c r="F1002" s="294">
        <f>F1003+F1006</f>
        <v>1290</v>
      </c>
      <c r="G1002" s="294">
        <f>G1003+G1006</f>
        <v>1290</v>
      </c>
    </row>
    <row r="1003" spans="1:7" ht="39.200000000000003" hidden="1" customHeight="1" x14ac:dyDescent="0.25">
      <c r="A1003" s="345" t="s">
        <v>367</v>
      </c>
      <c r="B1003" s="346" t="s">
        <v>251</v>
      </c>
      <c r="C1003" s="346" t="s">
        <v>116</v>
      </c>
      <c r="D1003" s="346" t="s">
        <v>820</v>
      </c>
      <c r="E1003" s="346"/>
      <c r="F1003" s="295">
        <f>'Пр.4 ведом.22'!G968</f>
        <v>0</v>
      </c>
      <c r="G1003" s="295">
        <f>'Пр.4 ведом.22'!H968</f>
        <v>0</v>
      </c>
    </row>
    <row r="1004" spans="1:7" ht="40.700000000000003" hidden="1" customHeight="1" x14ac:dyDescent="0.25">
      <c r="A1004" s="345" t="s">
        <v>191</v>
      </c>
      <c r="B1004" s="346" t="s">
        <v>251</v>
      </c>
      <c r="C1004" s="346" t="s">
        <v>116</v>
      </c>
      <c r="D1004" s="346" t="s">
        <v>820</v>
      </c>
      <c r="E1004" s="346" t="s">
        <v>192</v>
      </c>
      <c r="F1004" s="295">
        <f t="shared" ref="F1004:G1004" si="152">F1005</f>
        <v>0</v>
      </c>
      <c r="G1004" s="295">
        <f t="shared" si="152"/>
        <v>0</v>
      </c>
    </row>
    <row r="1005" spans="1:7" ht="15.75" hidden="1" customHeight="1" x14ac:dyDescent="0.25">
      <c r="A1005" s="345" t="s">
        <v>193</v>
      </c>
      <c r="B1005" s="346" t="s">
        <v>251</v>
      </c>
      <c r="C1005" s="346" t="s">
        <v>116</v>
      </c>
      <c r="D1005" s="346" t="s">
        <v>820</v>
      </c>
      <c r="E1005" s="346" t="s">
        <v>194</v>
      </c>
      <c r="F1005" s="295">
        <f>'Пр.4 ведом.22'!G968</f>
        <v>0</v>
      </c>
      <c r="G1005" s="295">
        <f>'Пр.4 ведом.22'!H968</f>
        <v>0</v>
      </c>
    </row>
    <row r="1006" spans="1:7" ht="34.5" customHeight="1" x14ac:dyDescent="0.25">
      <c r="A1006" s="29" t="s">
        <v>342</v>
      </c>
      <c r="B1006" s="346" t="s">
        <v>251</v>
      </c>
      <c r="C1006" s="346" t="s">
        <v>116</v>
      </c>
      <c r="D1006" s="346" t="s">
        <v>793</v>
      </c>
      <c r="E1006" s="346"/>
      <c r="F1006" s="295">
        <f>'Пр.4 ведом.22'!G971</f>
        <v>1290</v>
      </c>
      <c r="G1006" s="295">
        <f>G1007</f>
        <v>1290</v>
      </c>
    </row>
    <row r="1007" spans="1:7" ht="39.75" customHeight="1" x14ac:dyDescent="0.25">
      <c r="A1007" s="22" t="s">
        <v>191</v>
      </c>
      <c r="B1007" s="346" t="s">
        <v>251</v>
      </c>
      <c r="C1007" s="346" t="s">
        <v>116</v>
      </c>
      <c r="D1007" s="346" t="s">
        <v>793</v>
      </c>
      <c r="E1007" s="346" t="s">
        <v>192</v>
      </c>
      <c r="F1007" s="295">
        <f>F1008</f>
        <v>1290</v>
      </c>
      <c r="G1007" s="295">
        <f>G1008</f>
        <v>1290</v>
      </c>
    </row>
    <row r="1008" spans="1:7" ht="15.75" x14ac:dyDescent="0.25">
      <c r="A1008" s="22" t="s">
        <v>193</v>
      </c>
      <c r="B1008" s="346" t="s">
        <v>251</v>
      </c>
      <c r="C1008" s="346" t="s">
        <v>116</v>
      </c>
      <c r="D1008" s="346" t="s">
        <v>793</v>
      </c>
      <c r="E1008" s="346" t="s">
        <v>194</v>
      </c>
      <c r="F1008" s="295">
        <f>'Пр.4.1 ведом.23-24 '!G877</f>
        <v>1290</v>
      </c>
      <c r="G1008" s="295">
        <f>'Пр.4.1 ведом.23-24 '!H877</f>
        <v>1290</v>
      </c>
    </row>
    <row r="1009" spans="1:7" ht="47.25" x14ac:dyDescent="0.25">
      <c r="A1009" s="298" t="s">
        <v>469</v>
      </c>
      <c r="B1009" s="299" t="s">
        <v>251</v>
      </c>
      <c r="C1009" s="299" t="s">
        <v>116</v>
      </c>
      <c r="D1009" s="299" t="s">
        <v>794</v>
      </c>
      <c r="E1009" s="299"/>
      <c r="F1009" s="294">
        <f>F1010</f>
        <v>883.9</v>
      </c>
      <c r="G1009" s="294">
        <f>G1010</f>
        <v>883.9</v>
      </c>
    </row>
    <row r="1010" spans="1:7" ht="94.5" x14ac:dyDescent="0.25">
      <c r="A1010" s="22" t="s">
        <v>245</v>
      </c>
      <c r="B1010" s="346" t="s">
        <v>251</v>
      </c>
      <c r="C1010" s="346" t="s">
        <v>116</v>
      </c>
      <c r="D1010" s="346" t="s">
        <v>897</v>
      </c>
      <c r="E1010" s="346"/>
      <c r="F1010" s="295">
        <f>F1011</f>
        <v>883.9</v>
      </c>
      <c r="G1010" s="295">
        <f>G1011</f>
        <v>883.9</v>
      </c>
    </row>
    <row r="1011" spans="1:7" ht="31.5" x14ac:dyDescent="0.25">
      <c r="A1011" s="345" t="s">
        <v>191</v>
      </c>
      <c r="B1011" s="346" t="s">
        <v>251</v>
      </c>
      <c r="C1011" s="346" t="s">
        <v>116</v>
      </c>
      <c r="D1011" s="346" t="s">
        <v>897</v>
      </c>
      <c r="E1011" s="346" t="s">
        <v>192</v>
      </c>
      <c r="F1011" s="295">
        <f t="shared" ref="F1011:G1025" si="153">F1012</f>
        <v>883.9</v>
      </c>
      <c r="G1011" s="295">
        <f t="shared" si="153"/>
        <v>883.9</v>
      </c>
    </row>
    <row r="1012" spans="1:7" ht="15.75" x14ac:dyDescent="0.25">
      <c r="A1012" s="345" t="s">
        <v>193</v>
      </c>
      <c r="B1012" s="346" t="s">
        <v>251</v>
      </c>
      <c r="C1012" s="346" t="s">
        <v>116</v>
      </c>
      <c r="D1012" s="346" t="s">
        <v>897</v>
      </c>
      <c r="E1012" s="346" t="s">
        <v>194</v>
      </c>
      <c r="F1012" s="295">
        <f>'Пр.4.1 ведом.23-24 '!G881</f>
        <v>883.9</v>
      </c>
      <c r="G1012" s="295">
        <f>'Пр.4.1 ведом.23-24 '!H881</f>
        <v>883.9</v>
      </c>
    </row>
    <row r="1013" spans="1:7" ht="47.25" hidden="1" x14ac:dyDescent="0.25">
      <c r="A1013" s="298" t="s">
        <v>1070</v>
      </c>
      <c r="B1013" s="299" t="s">
        <v>251</v>
      </c>
      <c r="C1013" s="299" t="s">
        <v>116</v>
      </c>
      <c r="D1013" s="299" t="s">
        <v>1068</v>
      </c>
      <c r="E1013" s="299"/>
      <c r="F1013" s="294">
        <f>F1014</f>
        <v>0</v>
      </c>
      <c r="G1013" s="294">
        <f>G1014</f>
        <v>0</v>
      </c>
    </row>
    <row r="1014" spans="1:7" ht="55.5" hidden="1" customHeight="1" x14ac:dyDescent="0.25">
      <c r="A1014" s="22" t="s">
        <v>1071</v>
      </c>
      <c r="B1014" s="346" t="s">
        <v>251</v>
      </c>
      <c r="C1014" s="346" t="s">
        <v>116</v>
      </c>
      <c r="D1014" s="346" t="s">
        <v>1069</v>
      </c>
      <c r="E1014" s="346"/>
      <c r="F1014" s="295">
        <f>F1015</f>
        <v>0</v>
      </c>
      <c r="G1014" s="295">
        <f>G1015</f>
        <v>0</v>
      </c>
    </row>
    <row r="1015" spans="1:7" ht="31.5" hidden="1" x14ac:dyDescent="0.25">
      <c r="A1015" s="345" t="s">
        <v>191</v>
      </c>
      <c r="B1015" s="346" t="s">
        <v>251</v>
      </c>
      <c r="C1015" s="346" t="s">
        <v>116</v>
      </c>
      <c r="D1015" s="346" t="s">
        <v>1069</v>
      </c>
      <c r="E1015" s="346" t="s">
        <v>192</v>
      </c>
      <c r="F1015" s="295">
        <f t="shared" si="153"/>
        <v>0</v>
      </c>
      <c r="G1015" s="295">
        <f t="shared" si="153"/>
        <v>0</v>
      </c>
    </row>
    <row r="1016" spans="1:7" ht="15.75" hidden="1" x14ac:dyDescent="0.25">
      <c r="A1016" s="345" t="s">
        <v>193</v>
      </c>
      <c r="B1016" s="346" t="s">
        <v>251</v>
      </c>
      <c r="C1016" s="346" t="s">
        <v>116</v>
      </c>
      <c r="D1016" s="346" t="s">
        <v>1069</v>
      </c>
      <c r="E1016" s="346" t="s">
        <v>194</v>
      </c>
      <c r="F1016" s="295">
        <f>'Пр.4.1 ведом.23-24 '!G885</f>
        <v>0</v>
      </c>
      <c r="G1016" s="295">
        <f>'Пр.4.1 ведом.23-24 '!H885</f>
        <v>0</v>
      </c>
    </row>
    <row r="1017" spans="1:7" ht="31.5" hidden="1" x14ac:dyDescent="0.25">
      <c r="A1017" s="340" t="s">
        <v>1139</v>
      </c>
      <c r="B1017" s="299" t="s">
        <v>251</v>
      </c>
      <c r="C1017" s="299" t="s">
        <v>116</v>
      </c>
      <c r="D1017" s="299" t="s">
        <v>1140</v>
      </c>
      <c r="E1017" s="299"/>
      <c r="F1017" s="294">
        <f t="shared" ref="F1017:G1019" si="154">F1018</f>
        <v>0</v>
      </c>
      <c r="G1017" s="294">
        <f t="shared" si="154"/>
        <v>0</v>
      </c>
    </row>
    <row r="1018" spans="1:7" ht="31.5" hidden="1" x14ac:dyDescent="0.25">
      <c r="A1018" s="20" t="s">
        <v>1142</v>
      </c>
      <c r="B1018" s="346" t="s">
        <v>251</v>
      </c>
      <c r="C1018" s="346" t="s">
        <v>116</v>
      </c>
      <c r="D1018" s="346" t="s">
        <v>1141</v>
      </c>
      <c r="E1018" s="346"/>
      <c r="F1018" s="295">
        <f t="shared" si="154"/>
        <v>0</v>
      </c>
      <c r="G1018" s="295">
        <f t="shared" si="154"/>
        <v>0</v>
      </c>
    </row>
    <row r="1019" spans="1:7" ht="31.5" hidden="1" x14ac:dyDescent="0.25">
      <c r="A1019" s="345" t="s">
        <v>191</v>
      </c>
      <c r="B1019" s="346" t="s">
        <v>251</v>
      </c>
      <c r="C1019" s="346" t="s">
        <v>116</v>
      </c>
      <c r="D1019" s="346" t="s">
        <v>1141</v>
      </c>
      <c r="E1019" s="346" t="s">
        <v>192</v>
      </c>
      <c r="F1019" s="295">
        <f t="shared" si="154"/>
        <v>0</v>
      </c>
      <c r="G1019" s="295">
        <f t="shared" si="154"/>
        <v>0</v>
      </c>
    </row>
    <row r="1020" spans="1:7" ht="15.75" hidden="1" x14ac:dyDescent="0.25">
      <c r="A1020" s="345" t="s">
        <v>193</v>
      </c>
      <c r="B1020" s="346" t="s">
        <v>251</v>
      </c>
      <c r="C1020" s="346" t="s">
        <v>116</v>
      </c>
      <c r="D1020" s="346" t="s">
        <v>1141</v>
      </c>
      <c r="E1020" s="346" t="s">
        <v>194</v>
      </c>
      <c r="F1020" s="295">
        <f>'Пр.4.1 ведом.23-24 '!G889</f>
        <v>0</v>
      </c>
      <c r="G1020" s="295">
        <f>'Пр.4.1 ведом.23-24 '!H889</f>
        <v>0</v>
      </c>
    </row>
    <row r="1021" spans="1:7" ht="63" hidden="1" x14ac:dyDescent="0.25">
      <c r="A1021" s="298" t="s">
        <v>730</v>
      </c>
      <c r="B1021" s="299" t="s">
        <v>251</v>
      </c>
      <c r="C1021" s="299" t="s">
        <v>116</v>
      </c>
      <c r="D1021" s="299" t="s">
        <v>795</v>
      </c>
      <c r="E1021" s="299"/>
      <c r="F1021" s="294">
        <f t="shared" ref="F1021:G1023" si="155">F1022</f>
        <v>0</v>
      </c>
      <c r="G1021" s="294">
        <f t="shared" si="155"/>
        <v>0</v>
      </c>
    </row>
    <row r="1022" spans="1:7" ht="63" hidden="1" x14ac:dyDescent="0.25">
      <c r="A1022" s="345" t="s">
        <v>732</v>
      </c>
      <c r="B1022" s="346" t="s">
        <v>251</v>
      </c>
      <c r="C1022" s="346" t="s">
        <v>116</v>
      </c>
      <c r="D1022" s="346" t="s">
        <v>834</v>
      </c>
      <c r="E1022" s="346"/>
      <c r="F1022" s="295">
        <f t="shared" si="155"/>
        <v>0</v>
      </c>
      <c r="G1022" s="295">
        <f t="shared" si="155"/>
        <v>0</v>
      </c>
    </row>
    <row r="1023" spans="1:7" ht="31.5" hidden="1" x14ac:dyDescent="0.25">
      <c r="A1023" s="345" t="s">
        <v>191</v>
      </c>
      <c r="B1023" s="346" t="s">
        <v>251</v>
      </c>
      <c r="C1023" s="346" t="s">
        <v>116</v>
      </c>
      <c r="D1023" s="346" t="s">
        <v>834</v>
      </c>
      <c r="E1023" s="346" t="s">
        <v>192</v>
      </c>
      <c r="F1023" s="295">
        <f t="shared" si="155"/>
        <v>0</v>
      </c>
      <c r="G1023" s="295">
        <f t="shared" si="155"/>
        <v>0</v>
      </c>
    </row>
    <row r="1024" spans="1:7" ht="15.75" hidden="1" x14ac:dyDescent="0.25">
      <c r="A1024" s="345" t="s">
        <v>193</v>
      </c>
      <c r="B1024" s="346" t="s">
        <v>251</v>
      </c>
      <c r="C1024" s="346" t="s">
        <v>116</v>
      </c>
      <c r="D1024" s="346" t="s">
        <v>834</v>
      </c>
      <c r="E1024" s="346" t="s">
        <v>194</v>
      </c>
      <c r="F1024" s="295">
        <f>'Пр.4 ведом.22'!G991</f>
        <v>0</v>
      </c>
      <c r="G1024" s="295">
        <f>'Пр.4 ведом.22'!H991</f>
        <v>0</v>
      </c>
    </row>
    <row r="1025" spans="1:12" ht="47.25" x14ac:dyDescent="0.25">
      <c r="A1025" s="340" t="s">
        <v>856</v>
      </c>
      <c r="B1025" s="299" t="s">
        <v>251</v>
      </c>
      <c r="C1025" s="299" t="s">
        <v>116</v>
      </c>
      <c r="D1025" s="299" t="s">
        <v>339</v>
      </c>
      <c r="E1025" s="304"/>
      <c r="F1025" s="294">
        <f t="shared" si="153"/>
        <v>579.1</v>
      </c>
      <c r="G1025" s="294">
        <f t="shared" si="153"/>
        <v>579.1</v>
      </c>
    </row>
    <row r="1026" spans="1:12" ht="47.25" x14ac:dyDescent="0.25">
      <c r="A1026" s="340" t="s">
        <v>461</v>
      </c>
      <c r="B1026" s="299" t="s">
        <v>251</v>
      </c>
      <c r="C1026" s="299" t="s">
        <v>116</v>
      </c>
      <c r="D1026" s="299" t="s">
        <v>459</v>
      </c>
      <c r="E1026" s="304"/>
      <c r="F1026" s="294">
        <f t="shared" ref="F1026:G1028" si="156">F1027</f>
        <v>579.1</v>
      </c>
      <c r="G1026" s="294">
        <f t="shared" si="156"/>
        <v>579.1</v>
      </c>
    </row>
    <row r="1027" spans="1:12" ht="47.25" x14ac:dyDescent="0.25">
      <c r="A1027" s="67" t="s">
        <v>357</v>
      </c>
      <c r="B1027" s="346" t="s">
        <v>251</v>
      </c>
      <c r="C1027" s="346" t="s">
        <v>116</v>
      </c>
      <c r="D1027" s="346" t="s">
        <v>504</v>
      </c>
      <c r="E1027" s="301"/>
      <c r="F1027" s="295">
        <f t="shared" si="156"/>
        <v>579.1</v>
      </c>
      <c r="G1027" s="295">
        <f t="shared" si="156"/>
        <v>579.1</v>
      </c>
    </row>
    <row r="1028" spans="1:12" ht="31.5" x14ac:dyDescent="0.25">
      <c r="A1028" s="20" t="s">
        <v>191</v>
      </c>
      <c r="B1028" s="346" t="s">
        <v>251</v>
      </c>
      <c r="C1028" s="346" t="s">
        <v>116</v>
      </c>
      <c r="D1028" s="346" t="s">
        <v>504</v>
      </c>
      <c r="E1028" s="301" t="s">
        <v>192</v>
      </c>
      <c r="F1028" s="295">
        <f t="shared" si="156"/>
        <v>579.1</v>
      </c>
      <c r="G1028" s="295">
        <f t="shared" si="156"/>
        <v>579.1</v>
      </c>
    </row>
    <row r="1029" spans="1:12" ht="15.75" x14ac:dyDescent="0.25">
      <c r="A1029" s="108" t="s">
        <v>193</v>
      </c>
      <c r="B1029" s="346" t="s">
        <v>251</v>
      </c>
      <c r="C1029" s="346" t="s">
        <v>116</v>
      </c>
      <c r="D1029" s="346" t="s">
        <v>504</v>
      </c>
      <c r="E1029" s="301" t="s">
        <v>194</v>
      </c>
      <c r="F1029" s="295">
        <f>'Пр.4.1 ведом.23-24 '!G898</f>
        <v>579.1</v>
      </c>
      <c r="G1029" s="295">
        <f>'Пр.4.1 ведом.23-24 '!H898</f>
        <v>579.1</v>
      </c>
    </row>
    <row r="1030" spans="1:12" ht="31.5" x14ac:dyDescent="0.25">
      <c r="A1030" s="298" t="s">
        <v>254</v>
      </c>
      <c r="B1030" s="299" t="s">
        <v>251</v>
      </c>
      <c r="C1030" s="299" t="s">
        <v>168</v>
      </c>
      <c r="D1030" s="299"/>
      <c r="E1030" s="299"/>
      <c r="F1030" s="294">
        <f>F1031+F1046+F1058</f>
        <v>13673.1</v>
      </c>
      <c r="G1030" s="294">
        <f>G1031+G1046+G1058</f>
        <v>13673.1</v>
      </c>
    </row>
    <row r="1031" spans="1:12" ht="31.5" x14ac:dyDescent="0.25">
      <c r="A1031" s="298" t="s">
        <v>486</v>
      </c>
      <c r="B1031" s="299" t="s">
        <v>251</v>
      </c>
      <c r="C1031" s="299" t="s">
        <v>168</v>
      </c>
      <c r="D1031" s="299" t="s">
        <v>432</v>
      </c>
      <c r="E1031" s="299"/>
      <c r="F1031" s="294">
        <f>F1032</f>
        <v>10973.1</v>
      </c>
      <c r="G1031" s="294">
        <f>G1032</f>
        <v>10973.1</v>
      </c>
    </row>
    <row r="1032" spans="1:12" ht="15.75" x14ac:dyDescent="0.25">
      <c r="A1032" s="298" t="s">
        <v>487</v>
      </c>
      <c r="B1032" s="299" t="s">
        <v>251</v>
      </c>
      <c r="C1032" s="299" t="s">
        <v>168</v>
      </c>
      <c r="D1032" s="299" t="s">
        <v>433</v>
      </c>
      <c r="E1032" s="299"/>
      <c r="F1032" s="294">
        <f>F1033+F1043+F1036</f>
        <v>10973.1</v>
      </c>
      <c r="G1032" s="294">
        <f>G1033+G1043+G1036</f>
        <v>10973.1</v>
      </c>
    </row>
    <row r="1033" spans="1:12" ht="31.5" x14ac:dyDescent="0.25">
      <c r="A1033" s="345" t="s">
        <v>466</v>
      </c>
      <c r="B1033" s="346" t="s">
        <v>251</v>
      </c>
      <c r="C1033" s="346" t="s">
        <v>168</v>
      </c>
      <c r="D1033" s="346" t="s">
        <v>434</v>
      </c>
      <c r="E1033" s="346"/>
      <c r="F1033" s="295">
        <f>F1034</f>
        <v>5113.3</v>
      </c>
      <c r="G1033" s="295">
        <f>G1034</f>
        <v>5113.3</v>
      </c>
    </row>
    <row r="1034" spans="1:12" s="344" customFormat="1" ht="78.75" x14ac:dyDescent="0.25">
      <c r="A1034" s="345" t="s">
        <v>119</v>
      </c>
      <c r="B1034" s="346" t="s">
        <v>251</v>
      </c>
      <c r="C1034" s="346" t="s">
        <v>168</v>
      </c>
      <c r="D1034" s="346" t="s">
        <v>434</v>
      </c>
      <c r="E1034" s="346" t="s">
        <v>120</v>
      </c>
      <c r="F1034" s="295">
        <f>F1035</f>
        <v>5113.3</v>
      </c>
      <c r="G1034" s="295">
        <f>G1035</f>
        <v>5113.3</v>
      </c>
      <c r="L1034" s="343"/>
    </row>
    <row r="1035" spans="1:12" s="344" customFormat="1" ht="31.5" x14ac:dyDescent="0.25">
      <c r="A1035" s="345" t="s">
        <v>121</v>
      </c>
      <c r="B1035" s="346" t="s">
        <v>251</v>
      </c>
      <c r="C1035" s="346" t="s">
        <v>168</v>
      </c>
      <c r="D1035" s="346" t="s">
        <v>434</v>
      </c>
      <c r="E1035" s="346" t="s">
        <v>122</v>
      </c>
      <c r="F1035" s="295">
        <f>'Пр.4.1 ведом.23-24 '!G904</f>
        <v>5113.3</v>
      </c>
      <c r="G1035" s="295">
        <f>'Пр.4.1 ведом.23-24 '!H904</f>
        <v>5113.3</v>
      </c>
      <c r="L1035" s="343"/>
    </row>
    <row r="1036" spans="1:12" s="344" customFormat="1" ht="31.5" x14ac:dyDescent="0.25">
      <c r="A1036" s="345" t="s">
        <v>415</v>
      </c>
      <c r="B1036" s="346" t="s">
        <v>251</v>
      </c>
      <c r="C1036" s="346" t="s">
        <v>168</v>
      </c>
      <c r="D1036" s="346" t="s">
        <v>435</v>
      </c>
      <c r="E1036" s="346"/>
      <c r="F1036" s="295">
        <f>F1037+F1039+F1041</f>
        <v>5214.8</v>
      </c>
      <c r="G1036" s="295">
        <f>G1037+G1039+G1041</f>
        <v>5214.8</v>
      </c>
      <c r="L1036" s="343"/>
    </row>
    <row r="1037" spans="1:12" s="344" customFormat="1" ht="78.75" x14ac:dyDescent="0.25">
      <c r="A1037" s="345" t="s">
        <v>119</v>
      </c>
      <c r="B1037" s="346" t="s">
        <v>251</v>
      </c>
      <c r="C1037" s="346" t="s">
        <v>168</v>
      </c>
      <c r="D1037" s="346" t="s">
        <v>435</v>
      </c>
      <c r="E1037" s="346" t="s">
        <v>120</v>
      </c>
      <c r="F1037" s="295">
        <f>F1038</f>
        <v>4888.5</v>
      </c>
      <c r="G1037" s="295">
        <f>G1038</f>
        <v>4888.5</v>
      </c>
      <c r="L1037" s="343"/>
    </row>
    <row r="1038" spans="1:12" s="344" customFormat="1" ht="31.5" x14ac:dyDescent="0.25">
      <c r="A1038" s="345" t="s">
        <v>121</v>
      </c>
      <c r="B1038" s="346" t="s">
        <v>251</v>
      </c>
      <c r="C1038" s="346" t="s">
        <v>168</v>
      </c>
      <c r="D1038" s="346" t="s">
        <v>435</v>
      </c>
      <c r="E1038" s="346" t="s">
        <v>122</v>
      </c>
      <c r="F1038" s="295">
        <f>'Пр.4.1 ведом.23-24 '!G907</f>
        <v>4888.5</v>
      </c>
      <c r="G1038" s="295">
        <f>'Пр.4.1 ведом.23-24 '!H907</f>
        <v>4888.5</v>
      </c>
      <c r="L1038" s="343"/>
    </row>
    <row r="1039" spans="1:12" s="344" customFormat="1" ht="31.5" x14ac:dyDescent="0.25">
      <c r="A1039" s="345" t="s">
        <v>123</v>
      </c>
      <c r="B1039" s="346" t="s">
        <v>251</v>
      </c>
      <c r="C1039" s="346" t="s">
        <v>168</v>
      </c>
      <c r="D1039" s="346" t="s">
        <v>435</v>
      </c>
      <c r="E1039" s="346" t="s">
        <v>124</v>
      </c>
      <c r="F1039" s="295">
        <f>F1040</f>
        <v>275.3</v>
      </c>
      <c r="G1039" s="295">
        <f>G1040</f>
        <v>275.3</v>
      </c>
      <c r="L1039" s="343"/>
    </row>
    <row r="1040" spans="1:12" s="344" customFormat="1" ht="47.25" x14ac:dyDescent="0.25">
      <c r="A1040" s="345" t="s">
        <v>125</v>
      </c>
      <c r="B1040" s="346" t="s">
        <v>251</v>
      </c>
      <c r="C1040" s="346" t="s">
        <v>168</v>
      </c>
      <c r="D1040" s="346" t="s">
        <v>435</v>
      </c>
      <c r="E1040" s="346" t="s">
        <v>126</v>
      </c>
      <c r="F1040" s="295">
        <f>'Пр.4.1 ведом.23-24 '!G909</f>
        <v>275.3</v>
      </c>
      <c r="G1040" s="295">
        <f>'Пр.4.1 ведом.23-24 '!H909</f>
        <v>275.3</v>
      </c>
      <c r="L1040" s="343"/>
    </row>
    <row r="1041" spans="1:12" s="344" customFormat="1" ht="15.75" x14ac:dyDescent="0.25">
      <c r="A1041" s="345" t="s">
        <v>127</v>
      </c>
      <c r="B1041" s="346" t="s">
        <v>251</v>
      </c>
      <c r="C1041" s="346" t="s">
        <v>168</v>
      </c>
      <c r="D1041" s="346" t="s">
        <v>435</v>
      </c>
      <c r="E1041" s="346" t="s">
        <v>134</v>
      </c>
      <c r="F1041" s="295">
        <f>F1042</f>
        <v>51</v>
      </c>
      <c r="G1041" s="295">
        <f>G1042</f>
        <v>51</v>
      </c>
      <c r="L1041" s="343"/>
    </row>
    <row r="1042" spans="1:12" s="344" customFormat="1" ht="15.75" x14ac:dyDescent="0.25">
      <c r="A1042" s="345" t="s">
        <v>280</v>
      </c>
      <c r="B1042" s="346" t="s">
        <v>251</v>
      </c>
      <c r="C1042" s="346" t="s">
        <v>168</v>
      </c>
      <c r="D1042" s="346" t="s">
        <v>435</v>
      </c>
      <c r="E1042" s="346" t="s">
        <v>130</v>
      </c>
      <c r="F1042" s="295">
        <f>'Пр.4.1 ведом.23-24 '!G911</f>
        <v>51</v>
      </c>
      <c r="G1042" s="295">
        <f>'Пр.4.1 ведом.23-24 '!H911</f>
        <v>51</v>
      </c>
      <c r="L1042" s="343"/>
    </row>
    <row r="1043" spans="1:12" s="344" customFormat="1" ht="47.25" x14ac:dyDescent="0.25">
      <c r="A1043" s="345" t="s">
        <v>414</v>
      </c>
      <c r="B1043" s="346" t="s">
        <v>251</v>
      </c>
      <c r="C1043" s="346" t="s">
        <v>168</v>
      </c>
      <c r="D1043" s="346" t="s">
        <v>436</v>
      </c>
      <c r="E1043" s="346"/>
      <c r="F1043" s="295">
        <f>F1044</f>
        <v>645</v>
      </c>
      <c r="G1043" s="295">
        <f>G1044</f>
        <v>645</v>
      </c>
      <c r="L1043" s="343"/>
    </row>
    <row r="1044" spans="1:12" s="344" customFormat="1" ht="78.75" x14ac:dyDescent="0.25">
      <c r="A1044" s="345" t="s">
        <v>119</v>
      </c>
      <c r="B1044" s="346" t="s">
        <v>251</v>
      </c>
      <c r="C1044" s="346" t="s">
        <v>168</v>
      </c>
      <c r="D1044" s="346" t="s">
        <v>436</v>
      </c>
      <c r="E1044" s="346" t="s">
        <v>120</v>
      </c>
      <c r="F1044" s="295">
        <f>F1045</f>
        <v>645</v>
      </c>
      <c r="G1044" s="295">
        <f>G1045</f>
        <v>645</v>
      </c>
      <c r="L1044" s="343"/>
    </row>
    <row r="1045" spans="1:12" s="344" customFormat="1" ht="31.5" x14ac:dyDescent="0.25">
      <c r="A1045" s="345" t="s">
        <v>121</v>
      </c>
      <c r="B1045" s="346" t="s">
        <v>251</v>
      </c>
      <c r="C1045" s="346" t="s">
        <v>168</v>
      </c>
      <c r="D1045" s="346" t="s">
        <v>436</v>
      </c>
      <c r="E1045" s="346" t="s">
        <v>122</v>
      </c>
      <c r="F1045" s="295">
        <f>'Пр.4.1 ведом.23-24 '!G914</f>
        <v>645</v>
      </c>
      <c r="G1045" s="295">
        <f>'Пр.4.1 ведом.23-24 '!H914</f>
        <v>645</v>
      </c>
      <c r="L1045" s="343"/>
    </row>
    <row r="1046" spans="1:12" s="344" customFormat="1" ht="15.75" x14ac:dyDescent="0.25">
      <c r="A1046" s="298" t="s">
        <v>133</v>
      </c>
      <c r="B1046" s="299" t="s">
        <v>251</v>
      </c>
      <c r="C1046" s="299" t="s">
        <v>168</v>
      </c>
      <c r="D1046" s="299" t="s">
        <v>440</v>
      </c>
      <c r="E1046" s="299"/>
      <c r="F1046" s="294">
        <f>F1047</f>
        <v>0</v>
      </c>
      <c r="G1046" s="294">
        <f>G1047</f>
        <v>0</v>
      </c>
      <c r="L1046" s="343"/>
    </row>
    <row r="1047" spans="1:12" s="344" customFormat="1" ht="31.5" x14ac:dyDescent="0.25">
      <c r="A1047" s="298" t="s">
        <v>498</v>
      </c>
      <c r="B1047" s="299" t="s">
        <v>251</v>
      </c>
      <c r="C1047" s="299" t="s">
        <v>168</v>
      </c>
      <c r="D1047" s="299" t="s">
        <v>483</v>
      </c>
      <c r="E1047" s="299"/>
      <c r="F1047" s="294">
        <f>F1048+F1055</f>
        <v>0</v>
      </c>
      <c r="G1047" s="294">
        <f>G1048+G1055</f>
        <v>0</v>
      </c>
      <c r="L1047" s="343"/>
    </row>
    <row r="1048" spans="1:12" s="344" customFormat="1" ht="31.5" hidden="1" x14ac:dyDescent="0.25">
      <c r="A1048" s="345" t="s">
        <v>472</v>
      </c>
      <c r="B1048" s="346" t="s">
        <v>251</v>
      </c>
      <c r="C1048" s="346" t="s">
        <v>168</v>
      </c>
      <c r="D1048" s="346" t="s">
        <v>484</v>
      </c>
      <c r="E1048" s="346"/>
      <c r="F1048" s="295">
        <f>F1049+F1051+F1053</f>
        <v>0</v>
      </c>
      <c r="G1048" s="295">
        <f>G1049+G1051+G1053</f>
        <v>0</v>
      </c>
      <c r="L1048" s="343"/>
    </row>
    <row r="1049" spans="1:12" s="344" customFormat="1" ht="78.75" hidden="1" x14ac:dyDescent="0.25">
      <c r="A1049" s="345" t="s">
        <v>119</v>
      </c>
      <c r="B1049" s="346" t="s">
        <v>251</v>
      </c>
      <c r="C1049" s="346" t="s">
        <v>168</v>
      </c>
      <c r="D1049" s="346" t="s">
        <v>484</v>
      </c>
      <c r="E1049" s="346" t="s">
        <v>120</v>
      </c>
      <c r="F1049" s="295">
        <f>F1050</f>
        <v>0</v>
      </c>
      <c r="G1049" s="295">
        <f>G1050</f>
        <v>0</v>
      </c>
      <c r="L1049" s="343"/>
    </row>
    <row r="1050" spans="1:12" s="344" customFormat="1" ht="21.75" hidden="1" customHeight="1" x14ac:dyDescent="0.25">
      <c r="A1050" s="345" t="s">
        <v>212</v>
      </c>
      <c r="B1050" s="346" t="s">
        <v>251</v>
      </c>
      <c r="C1050" s="346" t="s">
        <v>168</v>
      </c>
      <c r="D1050" s="346" t="s">
        <v>484</v>
      </c>
      <c r="E1050" s="346" t="s">
        <v>156</v>
      </c>
      <c r="F1050" s="295">
        <f>'Пр.4.1 ведом.23-24 '!G919</f>
        <v>0</v>
      </c>
      <c r="G1050" s="295">
        <f>'Пр.4.1 ведом.23-24 '!H919</f>
        <v>0</v>
      </c>
      <c r="L1050" s="343"/>
    </row>
    <row r="1051" spans="1:12" s="344" customFormat="1" ht="31.5" hidden="1" x14ac:dyDescent="0.25">
      <c r="A1051" s="345" t="s">
        <v>123</v>
      </c>
      <c r="B1051" s="346" t="s">
        <v>251</v>
      </c>
      <c r="C1051" s="346" t="s">
        <v>168</v>
      </c>
      <c r="D1051" s="346" t="s">
        <v>484</v>
      </c>
      <c r="E1051" s="346" t="s">
        <v>124</v>
      </c>
      <c r="F1051" s="295">
        <f t="shared" ref="F1051:G1051" si="157">F1052</f>
        <v>0</v>
      </c>
      <c r="G1051" s="295">
        <f t="shared" si="157"/>
        <v>0</v>
      </c>
      <c r="L1051" s="343"/>
    </row>
    <row r="1052" spans="1:12" s="344" customFormat="1" ht="47.25" hidden="1" x14ac:dyDescent="0.25">
      <c r="A1052" s="345" t="s">
        <v>125</v>
      </c>
      <c r="B1052" s="346" t="s">
        <v>251</v>
      </c>
      <c r="C1052" s="346" t="s">
        <v>168</v>
      </c>
      <c r="D1052" s="346" t="s">
        <v>484</v>
      </c>
      <c r="E1052" s="346" t="s">
        <v>126</v>
      </c>
      <c r="F1052" s="295">
        <f>'Пр.4.1 ведом.23-24 '!G921</f>
        <v>0</v>
      </c>
      <c r="G1052" s="295">
        <f>'Пр.4.1 ведом.23-24 '!H921</f>
        <v>0</v>
      </c>
      <c r="L1052" s="343"/>
    </row>
    <row r="1053" spans="1:12" s="344" customFormat="1" ht="15.75" hidden="1" x14ac:dyDescent="0.25">
      <c r="A1053" s="345" t="s">
        <v>127</v>
      </c>
      <c r="B1053" s="346" t="s">
        <v>251</v>
      </c>
      <c r="C1053" s="346" t="s">
        <v>168</v>
      </c>
      <c r="D1053" s="346" t="s">
        <v>484</v>
      </c>
      <c r="E1053" s="346" t="s">
        <v>134</v>
      </c>
      <c r="F1053" s="295">
        <f>F1054</f>
        <v>0</v>
      </c>
      <c r="G1053" s="295">
        <f>G1054</f>
        <v>0</v>
      </c>
      <c r="L1053" s="343"/>
    </row>
    <row r="1054" spans="1:12" s="344" customFormat="1" ht="15.75" hidden="1" x14ac:dyDescent="0.25">
      <c r="A1054" s="345" t="s">
        <v>280</v>
      </c>
      <c r="B1054" s="346" t="s">
        <v>251</v>
      </c>
      <c r="C1054" s="346" t="s">
        <v>168</v>
      </c>
      <c r="D1054" s="346" t="s">
        <v>484</v>
      </c>
      <c r="E1054" s="346" t="s">
        <v>130</v>
      </c>
      <c r="F1054" s="295">
        <f>'Пр.4.1 ведом.23-24 '!G923</f>
        <v>0</v>
      </c>
      <c r="G1054" s="295">
        <f>'Пр.4.1 ведом.23-24 '!H923</f>
        <v>0</v>
      </c>
      <c r="L1054" s="343"/>
    </row>
    <row r="1055" spans="1:12" s="344" customFormat="1" ht="47.25" hidden="1" x14ac:dyDescent="0.25">
      <c r="A1055" s="345" t="s">
        <v>414</v>
      </c>
      <c r="B1055" s="346" t="s">
        <v>251</v>
      </c>
      <c r="C1055" s="346" t="s">
        <v>168</v>
      </c>
      <c r="D1055" s="346" t="s">
        <v>485</v>
      </c>
      <c r="E1055" s="346"/>
      <c r="F1055" s="295">
        <f>F1056</f>
        <v>0</v>
      </c>
      <c r="G1055" s="295">
        <f>G1056</f>
        <v>0</v>
      </c>
      <c r="L1055" s="343"/>
    </row>
    <row r="1056" spans="1:12" s="344" customFormat="1" ht="78.75" hidden="1" x14ac:dyDescent="0.25">
      <c r="A1056" s="345" t="s">
        <v>119</v>
      </c>
      <c r="B1056" s="346" t="s">
        <v>251</v>
      </c>
      <c r="C1056" s="346" t="s">
        <v>168</v>
      </c>
      <c r="D1056" s="346" t="s">
        <v>485</v>
      </c>
      <c r="E1056" s="346" t="s">
        <v>120</v>
      </c>
      <c r="F1056" s="295">
        <f t="shared" ref="F1056:G1056" si="158">F1057</f>
        <v>0</v>
      </c>
      <c r="G1056" s="295">
        <f t="shared" si="158"/>
        <v>0</v>
      </c>
      <c r="L1056" s="343"/>
    </row>
    <row r="1057" spans="1:12" s="344" customFormat="1" ht="31.5" hidden="1" x14ac:dyDescent="0.25">
      <c r="A1057" s="345" t="s">
        <v>121</v>
      </c>
      <c r="B1057" s="346" t="s">
        <v>251</v>
      </c>
      <c r="C1057" s="346" t="s">
        <v>168</v>
      </c>
      <c r="D1057" s="346" t="s">
        <v>485</v>
      </c>
      <c r="E1057" s="346" t="s">
        <v>122</v>
      </c>
      <c r="F1057" s="295">
        <f>'Пр.4.1 ведом.23-24 '!G926</f>
        <v>0</v>
      </c>
      <c r="G1057" s="295">
        <f>'Пр.4.1 ведом.23-24 '!H926</f>
        <v>0</v>
      </c>
      <c r="L1057" s="343"/>
    </row>
    <row r="1058" spans="1:12" s="344" customFormat="1" ht="47.25" x14ac:dyDescent="0.25">
      <c r="A1058" s="340" t="s">
        <v>870</v>
      </c>
      <c r="B1058" s="299" t="s">
        <v>251</v>
      </c>
      <c r="C1058" s="299" t="s">
        <v>168</v>
      </c>
      <c r="D1058" s="6" t="s">
        <v>249</v>
      </c>
      <c r="E1058" s="299"/>
      <c r="F1058" s="294">
        <f>F1059</f>
        <v>2700</v>
      </c>
      <c r="G1058" s="294">
        <f>G1059</f>
        <v>2700</v>
      </c>
      <c r="L1058" s="343"/>
    </row>
    <row r="1059" spans="1:12" s="344" customFormat="1" ht="33.75" customHeight="1" x14ac:dyDescent="0.25">
      <c r="A1059" s="34" t="s">
        <v>514</v>
      </c>
      <c r="B1059" s="299" t="s">
        <v>251</v>
      </c>
      <c r="C1059" s="299" t="s">
        <v>168</v>
      </c>
      <c r="D1059" s="6" t="s">
        <v>796</v>
      </c>
      <c r="E1059" s="299"/>
      <c r="F1059" s="294">
        <f>F1060</f>
        <v>2700</v>
      </c>
      <c r="G1059" s="294">
        <f>G1060</f>
        <v>2700</v>
      </c>
      <c r="L1059" s="343"/>
    </row>
    <row r="1060" spans="1:12" s="344" customFormat="1" ht="15.75" x14ac:dyDescent="0.25">
      <c r="A1060" s="20" t="s">
        <v>515</v>
      </c>
      <c r="B1060" s="346" t="s">
        <v>251</v>
      </c>
      <c r="C1060" s="346" t="s">
        <v>168</v>
      </c>
      <c r="D1060" s="341" t="s">
        <v>797</v>
      </c>
      <c r="E1060" s="346"/>
      <c r="F1060" s="246">
        <f>F1061+F1063</f>
        <v>2700</v>
      </c>
      <c r="G1060" s="246">
        <f>G1061+G1063</f>
        <v>2700</v>
      </c>
      <c r="L1060" s="343"/>
    </row>
    <row r="1061" spans="1:12" s="344" customFormat="1" ht="78.75" x14ac:dyDescent="0.25">
      <c r="A1061" s="345" t="s">
        <v>119</v>
      </c>
      <c r="B1061" s="346" t="s">
        <v>251</v>
      </c>
      <c r="C1061" s="346" t="s">
        <v>168</v>
      </c>
      <c r="D1061" s="341" t="s">
        <v>797</v>
      </c>
      <c r="E1061" s="346" t="s">
        <v>120</v>
      </c>
      <c r="F1061" s="246">
        <f>F1062</f>
        <v>2200</v>
      </c>
      <c r="G1061" s="246">
        <f>G1062</f>
        <v>2200</v>
      </c>
      <c r="L1061" s="343"/>
    </row>
    <row r="1062" spans="1:12" s="344" customFormat="1" ht="21.75" customHeight="1" x14ac:dyDescent="0.25">
      <c r="A1062" s="345" t="s">
        <v>212</v>
      </c>
      <c r="B1062" s="346" t="s">
        <v>251</v>
      </c>
      <c r="C1062" s="346" t="s">
        <v>168</v>
      </c>
      <c r="D1062" s="341" t="s">
        <v>797</v>
      </c>
      <c r="E1062" s="346" t="s">
        <v>156</v>
      </c>
      <c r="F1062" s="246">
        <f>'Пр.4.1 ведом.23-24 '!G931</f>
        <v>2200</v>
      </c>
      <c r="G1062" s="246">
        <f>'Пр.4.1 ведом.23-24 '!H931</f>
        <v>2200</v>
      </c>
      <c r="L1062" s="343"/>
    </row>
    <row r="1063" spans="1:12" s="344" customFormat="1" ht="36" customHeight="1" x14ac:dyDescent="0.25">
      <c r="A1063" s="20" t="s">
        <v>123</v>
      </c>
      <c r="B1063" s="346" t="s">
        <v>251</v>
      </c>
      <c r="C1063" s="346" t="s">
        <v>168</v>
      </c>
      <c r="D1063" s="341" t="s">
        <v>797</v>
      </c>
      <c r="E1063" s="346" t="s">
        <v>124</v>
      </c>
      <c r="F1063" s="246">
        <f>F1064</f>
        <v>500</v>
      </c>
      <c r="G1063" s="246">
        <f>G1064</f>
        <v>500</v>
      </c>
      <c r="L1063" s="343"/>
    </row>
    <row r="1064" spans="1:12" s="344" customFormat="1" ht="47.25" x14ac:dyDescent="0.25">
      <c r="A1064" s="20" t="s">
        <v>125</v>
      </c>
      <c r="B1064" s="346" t="s">
        <v>251</v>
      </c>
      <c r="C1064" s="346" t="s">
        <v>168</v>
      </c>
      <c r="D1064" s="341" t="s">
        <v>797</v>
      </c>
      <c r="E1064" s="346" t="s">
        <v>126</v>
      </c>
      <c r="F1064" s="295">
        <f>'Пр.4.1 ведом.23-24 '!G933</f>
        <v>500</v>
      </c>
      <c r="G1064" s="295">
        <f>'Пр.4.1 ведом.23-24 '!H933</f>
        <v>500</v>
      </c>
      <c r="L1064" s="343"/>
    </row>
    <row r="1065" spans="1:12" s="344" customFormat="1" ht="15.75" x14ac:dyDescent="0.25">
      <c r="A1065" s="340" t="s">
        <v>288</v>
      </c>
      <c r="B1065" s="6" t="s">
        <v>171</v>
      </c>
      <c r="C1065" s="341"/>
      <c r="D1065" s="341"/>
      <c r="E1065" s="341"/>
      <c r="F1065" s="294">
        <f t="shared" ref="F1065:G1065" si="159">F1066</f>
        <v>6358.2</v>
      </c>
      <c r="G1065" s="294">
        <f t="shared" si="159"/>
        <v>6358.2</v>
      </c>
      <c r="L1065" s="343"/>
    </row>
    <row r="1066" spans="1:12" s="344" customFormat="1" ht="15.75" x14ac:dyDescent="0.25">
      <c r="A1066" s="340" t="s">
        <v>289</v>
      </c>
      <c r="B1066" s="6" t="s">
        <v>171</v>
      </c>
      <c r="C1066" s="6" t="s">
        <v>158</v>
      </c>
      <c r="D1066" s="6"/>
      <c r="E1066" s="6"/>
      <c r="F1066" s="294">
        <f>F1067+F1079</f>
        <v>6358.2</v>
      </c>
      <c r="G1066" s="294">
        <f>G1067+G1079</f>
        <v>6358.2</v>
      </c>
      <c r="L1066" s="343"/>
    </row>
    <row r="1067" spans="1:12" s="344" customFormat="1" ht="15.75" x14ac:dyDescent="0.25">
      <c r="A1067" s="298" t="s">
        <v>133</v>
      </c>
      <c r="B1067" s="299" t="s">
        <v>171</v>
      </c>
      <c r="C1067" s="299" t="s">
        <v>158</v>
      </c>
      <c r="D1067" s="299" t="s">
        <v>189</v>
      </c>
      <c r="E1067" s="299"/>
      <c r="F1067" s="294">
        <f>F1068</f>
        <v>6283.3</v>
      </c>
      <c r="G1067" s="294">
        <f>G1068</f>
        <v>6283.3</v>
      </c>
      <c r="L1067" s="343"/>
    </row>
    <row r="1068" spans="1:12" s="344" customFormat="1" ht="15.75" x14ac:dyDescent="0.25">
      <c r="A1068" s="298" t="s">
        <v>517</v>
      </c>
      <c r="B1068" s="299" t="s">
        <v>171</v>
      </c>
      <c r="C1068" s="299" t="s">
        <v>158</v>
      </c>
      <c r="D1068" s="299" t="s">
        <v>741</v>
      </c>
      <c r="E1068" s="299"/>
      <c r="F1068" s="294">
        <f>F1069+F1076</f>
        <v>6283.3</v>
      </c>
      <c r="G1068" s="294">
        <f>G1069+G1076</f>
        <v>6283.3</v>
      </c>
      <c r="L1068" s="343"/>
    </row>
    <row r="1069" spans="1:12" s="344" customFormat="1" ht="15.75" x14ac:dyDescent="0.25">
      <c r="A1069" s="345" t="s">
        <v>377</v>
      </c>
      <c r="B1069" s="346" t="s">
        <v>171</v>
      </c>
      <c r="C1069" s="346" t="s">
        <v>158</v>
      </c>
      <c r="D1069" s="346" t="s">
        <v>742</v>
      </c>
      <c r="E1069" s="346"/>
      <c r="F1069" s="295">
        <f>F1070+F1072+F1074</f>
        <v>6025.3</v>
      </c>
      <c r="G1069" s="295">
        <f>G1070+G1072+G1074</f>
        <v>6025.3</v>
      </c>
      <c r="L1069" s="343"/>
    </row>
    <row r="1070" spans="1:12" s="344" customFormat="1" ht="78.75" x14ac:dyDescent="0.25">
      <c r="A1070" s="345" t="s">
        <v>119</v>
      </c>
      <c r="B1070" s="346" t="s">
        <v>171</v>
      </c>
      <c r="C1070" s="346" t="s">
        <v>158</v>
      </c>
      <c r="D1070" s="346" t="s">
        <v>742</v>
      </c>
      <c r="E1070" s="346" t="s">
        <v>120</v>
      </c>
      <c r="F1070" s="295">
        <f>F1071</f>
        <v>5124.5</v>
      </c>
      <c r="G1070" s="295">
        <f>G1071</f>
        <v>5124.5</v>
      </c>
      <c r="L1070" s="343"/>
    </row>
    <row r="1071" spans="1:12" s="344" customFormat="1" ht="15.75" x14ac:dyDescent="0.25">
      <c r="A1071" s="345" t="s">
        <v>155</v>
      </c>
      <c r="B1071" s="346" t="s">
        <v>171</v>
      </c>
      <c r="C1071" s="346" t="s">
        <v>158</v>
      </c>
      <c r="D1071" s="346" t="s">
        <v>742</v>
      </c>
      <c r="E1071" s="346" t="s">
        <v>156</v>
      </c>
      <c r="F1071" s="295">
        <f>'Пр.4.1 ведом.23-24 '!G527</f>
        <v>5124.5</v>
      </c>
      <c r="G1071" s="295">
        <f>'Пр.4.1 ведом.23-24 '!H527</f>
        <v>5124.5</v>
      </c>
      <c r="L1071" s="343"/>
    </row>
    <row r="1072" spans="1:12" s="344" customFormat="1" ht="31.5" x14ac:dyDescent="0.25">
      <c r="A1072" s="345" t="s">
        <v>123</v>
      </c>
      <c r="B1072" s="346" t="s">
        <v>171</v>
      </c>
      <c r="C1072" s="346" t="s">
        <v>158</v>
      </c>
      <c r="D1072" s="346" t="s">
        <v>742</v>
      </c>
      <c r="E1072" s="346" t="s">
        <v>124</v>
      </c>
      <c r="F1072" s="295">
        <f t="shared" ref="F1072:G1072" si="160">F1073</f>
        <v>890.3</v>
      </c>
      <c r="G1072" s="295">
        <f t="shared" si="160"/>
        <v>890.3</v>
      </c>
      <c r="L1072" s="343"/>
    </row>
    <row r="1073" spans="1:8" ht="47.25" x14ac:dyDescent="0.25">
      <c r="A1073" s="345" t="s">
        <v>125</v>
      </c>
      <c r="B1073" s="346" t="s">
        <v>171</v>
      </c>
      <c r="C1073" s="346" t="s">
        <v>158</v>
      </c>
      <c r="D1073" s="346" t="s">
        <v>742</v>
      </c>
      <c r="E1073" s="346" t="s">
        <v>126</v>
      </c>
      <c r="F1073" s="295">
        <f>'Пр.4.1 ведом.23-24 '!G529</f>
        <v>890.3</v>
      </c>
      <c r="G1073" s="295">
        <f>'Пр.4.1 ведом.23-24 '!H529</f>
        <v>890.3</v>
      </c>
    </row>
    <row r="1074" spans="1:8" ht="15.75" x14ac:dyDescent="0.25">
      <c r="A1074" s="345" t="s">
        <v>127</v>
      </c>
      <c r="B1074" s="346" t="s">
        <v>171</v>
      </c>
      <c r="C1074" s="346" t="s">
        <v>158</v>
      </c>
      <c r="D1074" s="346" t="s">
        <v>742</v>
      </c>
      <c r="E1074" s="346" t="s">
        <v>134</v>
      </c>
      <c r="F1074" s="246">
        <f t="shared" ref="F1074:G1074" si="161">F1075</f>
        <v>10.5</v>
      </c>
      <c r="G1074" s="246">
        <f t="shared" si="161"/>
        <v>10.5</v>
      </c>
    </row>
    <row r="1075" spans="1:8" ht="15.75" x14ac:dyDescent="0.25">
      <c r="A1075" s="345" t="s">
        <v>280</v>
      </c>
      <c r="B1075" s="346" t="s">
        <v>171</v>
      </c>
      <c r="C1075" s="346" t="s">
        <v>158</v>
      </c>
      <c r="D1075" s="346" t="s">
        <v>742</v>
      </c>
      <c r="E1075" s="346" t="s">
        <v>130</v>
      </c>
      <c r="F1075" s="246">
        <f>'Пр.4.1 ведом.23-24 '!G531</f>
        <v>10.5</v>
      </c>
      <c r="G1075" s="246">
        <f>'Пр.4.1 ведом.23-24 '!H531</f>
        <v>10.5</v>
      </c>
    </row>
    <row r="1076" spans="1:8" ht="47.25" x14ac:dyDescent="0.25">
      <c r="A1076" s="345" t="s">
        <v>414</v>
      </c>
      <c r="B1076" s="346" t="s">
        <v>171</v>
      </c>
      <c r="C1076" s="346" t="s">
        <v>158</v>
      </c>
      <c r="D1076" s="346" t="s">
        <v>824</v>
      </c>
      <c r="E1076" s="346"/>
      <c r="F1076" s="295">
        <f>F1077</f>
        <v>258</v>
      </c>
      <c r="G1076" s="295">
        <f>G1077</f>
        <v>258</v>
      </c>
    </row>
    <row r="1077" spans="1:8" ht="78.75" x14ac:dyDescent="0.25">
      <c r="A1077" s="345" t="s">
        <v>119</v>
      </c>
      <c r="B1077" s="346" t="s">
        <v>171</v>
      </c>
      <c r="C1077" s="346" t="s">
        <v>158</v>
      </c>
      <c r="D1077" s="346" t="s">
        <v>824</v>
      </c>
      <c r="E1077" s="346" t="s">
        <v>120</v>
      </c>
      <c r="F1077" s="295">
        <f>F1078</f>
        <v>258</v>
      </c>
      <c r="G1077" s="295">
        <f>G1078</f>
        <v>258</v>
      </c>
    </row>
    <row r="1078" spans="1:8" ht="31.5" x14ac:dyDescent="0.25">
      <c r="A1078" s="345" t="s">
        <v>121</v>
      </c>
      <c r="B1078" s="346" t="s">
        <v>171</v>
      </c>
      <c r="C1078" s="346" t="s">
        <v>158</v>
      </c>
      <c r="D1078" s="346" t="s">
        <v>824</v>
      </c>
      <c r="E1078" s="346" t="s">
        <v>156</v>
      </c>
      <c r="F1078" s="295">
        <f>'Пр.4.1 ведом.23-24 '!G535</f>
        <v>258</v>
      </c>
      <c r="G1078" s="295">
        <f>'Пр.4.1 ведом.23-24 '!H535</f>
        <v>258</v>
      </c>
    </row>
    <row r="1079" spans="1:8" ht="47.25" x14ac:dyDescent="0.25">
      <c r="A1079" s="340" t="s">
        <v>856</v>
      </c>
      <c r="B1079" s="299" t="s">
        <v>171</v>
      </c>
      <c r="C1079" s="299" t="s">
        <v>158</v>
      </c>
      <c r="D1079" s="299" t="s">
        <v>339</v>
      </c>
      <c r="E1079" s="304"/>
      <c r="F1079" s="294">
        <f t="shared" ref="F1079:G1082" si="162">F1080</f>
        <v>74.900000000000006</v>
      </c>
      <c r="G1079" s="294">
        <f t="shared" si="162"/>
        <v>74.900000000000006</v>
      </c>
    </row>
    <row r="1080" spans="1:8" ht="47.25" x14ac:dyDescent="0.25">
      <c r="A1080" s="340" t="s">
        <v>461</v>
      </c>
      <c r="B1080" s="299" t="s">
        <v>171</v>
      </c>
      <c r="C1080" s="299" t="s">
        <v>158</v>
      </c>
      <c r="D1080" s="299" t="s">
        <v>459</v>
      </c>
      <c r="E1080" s="304"/>
      <c r="F1080" s="294">
        <f t="shared" si="162"/>
        <v>74.900000000000006</v>
      </c>
      <c r="G1080" s="294">
        <f t="shared" si="162"/>
        <v>74.900000000000006</v>
      </c>
    </row>
    <row r="1081" spans="1:8" ht="47.25" x14ac:dyDescent="0.25">
      <c r="A1081" s="67" t="s">
        <v>565</v>
      </c>
      <c r="B1081" s="346" t="s">
        <v>171</v>
      </c>
      <c r="C1081" s="346" t="s">
        <v>158</v>
      </c>
      <c r="D1081" s="346" t="s">
        <v>460</v>
      </c>
      <c r="E1081" s="301"/>
      <c r="F1081" s="295">
        <f t="shared" si="162"/>
        <v>74.900000000000006</v>
      </c>
      <c r="G1081" s="295">
        <f t="shared" si="162"/>
        <v>74.900000000000006</v>
      </c>
    </row>
    <row r="1082" spans="1:8" ht="31.5" x14ac:dyDescent="0.25">
      <c r="A1082" s="345" t="s">
        <v>123</v>
      </c>
      <c r="B1082" s="346" t="s">
        <v>171</v>
      </c>
      <c r="C1082" s="346" t="s">
        <v>158</v>
      </c>
      <c r="D1082" s="346" t="s">
        <v>460</v>
      </c>
      <c r="E1082" s="301" t="s">
        <v>124</v>
      </c>
      <c r="F1082" s="295">
        <f t="shared" si="162"/>
        <v>74.900000000000006</v>
      </c>
      <c r="G1082" s="295">
        <f t="shared" si="162"/>
        <v>74.900000000000006</v>
      </c>
    </row>
    <row r="1083" spans="1:8" ht="47.25" x14ac:dyDescent="0.25">
      <c r="A1083" s="345" t="s">
        <v>125</v>
      </c>
      <c r="B1083" s="346" t="s">
        <v>171</v>
      </c>
      <c r="C1083" s="346" t="s">
        <v>158</v>
      </c>
      <c r="D1083" s="346" t="s">
        <v>460</v>
      </c>
      <c r="E1083" s="301" t="s">
        <v>126</v>
      </c>
      <c r="F1083" s="295">
        <f>'Пр.4.1 ведом.23-24 '!G540</f>
        <v>74.900000000000006</v>
      </c>
      <c r="G1083" s="295">
        <f>'Пр.4.1 ведом.23-24 '!H540</f>
        <v>74.900000000000006</v>
      </c>
    </row>
    <row r="1084" spans="1:8" ht="15.75" x14ac:dyDescent="0.25">
      <c r="A1084" s="37" t="s">
        <v>290</v>
      </c>
      <c r="B1084" s="6"/>
      <c r="C1084" s="6"/>
      <c r="D1084" s="6"/>
      <c r="E1084" s="6"/>
      <c r="F1084" s="250">
        <f>F9+F242+F269+F331+F522+F804+F982+F1065+F928+F8</f>
        <v>809269.22340000002</v>
      </c>
      <c r="G1084" s="250">
        <f>G9+G242+G269+G331+G522+G804+G982+G1065+G928+G8</f>
        <v>776653.67999999993</v>
      </c>
      <c r="H1084" s="71"/>
    </row>
    <row r="1085" spans="1:8" x14ac:dyDescent="0.25">
      <c r="F1085" s="71">
        <v>808002.8</v>
      </c>
      <c r="G1085" s="71">
        <v>777654.7</v>
      </c>
    </row>
    <row r="1086" spans="1:8" x14ac:dyDescent="0.25">
      <c r="F1086" s="71">
        <f>F1085-F1084</f>
        <v>-1266.4233999999706</v>
      </c>
      <c r="G1086" s="71">
        <f>G1085-G1084</f>
        <v>1001.0200000000186</v>
      </c>
    </row>
  </sheetData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1"/>
  <sheetViews>
    <sheetView view="pageBreakPreview" zoomScale="85" zoomScaleNormal="100" zoomScaleSheetLayoutView="85" workbookViewId="0">
      <selection activeCell="A1361" sqref="A1361:G1361"/>
    </sheetView>
  </sheetViews>
  <sheetFormatPr defaultColWidth="9.140625" defaultRowHeight="15" x14ac:dyDescent="0.25"/>
  <cols>
    <col min="1" max="1" width="62.28515625" style="344" customWidth="1"/>
    <col min="2" max="2" width="7" style="344" customWidth="1"/>
    <col min="3" max="3" width="4.28515625" style="344" customWidth="1"/>
    <col min="4" max="4" width="4.85546875" style="344" customWidth="1"/>
    <col min="5" max="5" width="15.42578125" style="595" customWidth="1"/>
    <col min="6" max="6" width="5.7109375" style="344" customWidth="1"/>
    <col min="7" max="7" width="18.7109375" style="101" customWidth="1"/>
    <col min="8" max="8" width="8.28515625" style="531" customWidth="1"/>
    <col min="9" max="9" width="12.28515625" style="531" customWidth="1"/>
    <col min="10" max="10" width="24.140625" style="1" customWidth="1"/>
    <col min="11" max="11" width="12.42578125" style="1" customWidth="1"/>
    <col min="12" max="12" width="10.5703125" style="1" customWidth="1"/>
    <col min="13" max="13" width="12.7109375" style="1" customWidth="1"/>
    <col min="14" max="14" width="16.42578125" style="1" customWidth="1"/>
    <col min="15" max="15" width="9.140625" style="1"/>
    <col min="16" max="16" width="10" style="1" customWidth="1"/>
    <col min="17" max="17" width="9.140625" style="1" customWidth="1"/>
    <col min="18" max="18" width="10.28515625" style="1" customWidth="1"/>
    <col min="19" max="19" width="9.140625" style="1" customWidth="1"/>
    <col min="20" max="26" width="9.140625" style="1"/>
    <col min="27" max="27" width="11.42578125" style="1" customWidth="1"/>
    <col min="28" max="29" width="9.140625" style="1"/>
    <col min="30" max="31" width="9.140625" style="129"/>
    <col min="32" max="32" width="9.140625" style="1"/>
    <col min="33" max="34" width="9.140625" style="129"/>
    <col min="35" max="35" width="9.140625" style="1"/>
    <col min="36" max="36" width="9.140625" style="129"/>
    <col min="37" max="37" width="9.140625" style="1"/>
    <col min="38" max="38" width="11.42578125" style="1" customWidth="1"/>
    <col min="39" max="16384" width="9.140625" style="1"/>
  </cols>
  <sheetData>
    <row r="1" spans="1:11" ht="15.75" x14ac:dyDescent="0.25">
      <c r="A1" s="39"/>
      <c r="B1" s="39"/>
      <c r="C1" s="39"/>
      <c r="D1" s="39"/>
      <c r="E1" s="650"/>
      <c r="F1" s="650" t="s">
        <v>1369</v>
      </c>
      <c r="G1" s="650"/>
      <c r="J1" s="129"/>
      <c r="K1" s="129"/>
    </row>
    <row r="2" spans="1:11" ht="15.75" x14ac:dyDescent="0.25">
      <c r="A2" s="39"/>
      <c r="B2" s="39"/>
      <c r="C2" s="39"/>
      <c r="D2" s="39"/>
      <c r="E2" s="650"/>
      <c r="F2" s="650" t="s">
        <v>0</v>
      </c>
      <c r="G2" s="650"/>
      <c r="J2" s="129"/>
      <c r="K2" s="129"/>
    </row>
    <row r="3" spans="1:11" ht="15.75" x14ac:dyDescent="0.25">
      <c r="A3" s="77"/>
      <c r="B3" s="77"/>
      <c r="C3" s="77"/>
      <c r="D3" s="77"/>
      <c r="E3" s="650"/>
      <c r="F3" s="650" t="s">
        <v>1366</v>
      </c>
      <c r="G3" s="650"/>
      <c r="J3" s="129"/>
      <c r="K3" s="129"/>
    </row>
    <row r="4" spans="1:11" s="129" customFormat="1" ht="15.75" x14ac:dyDescent="0.25">
      <c r="A4" s="517"/>
      <c r="B4" s="517"/>
      <c r="C4" s="517"/>
      <c r="D4" s="517"/>
      <c r="E4" s="517"/>
      <c r="F4" s="517"/>
      <c r="G4" s="645"/>
      <c r="H4" s="531"/>
      <c r="I4" s="531"/>
    </row>
    <row r="5" spans="1:11" ht="15.75" customHeight="1" x14ac:dyDescent="0.25">
      <c r="A5" s="673" t="s">
        <v>1124</v>
      </c>
      <c r="B5" s="673"/>
      <c r="C5" s="673"/>
      <c r="D5" s="673"/>
      <c r="E5" s="673"/>
      <c r="F5" s="673"/>
      <c r="G5" s="673"/>
      <c r="J5" s="129"/>
      <c r="K5" s="129"/>
    </row>
    <row r="6" spans="1:11" ht="15.75" x14ac:dyDescent="0.25">
      <c r="A6" s="648"/>
      <c r="B6" s="648"/>
      <c r="C6" s="648"/>
      <c r="D6" s="648"/>
      <c r="E6" s="648"/>
      <c r="F6" s="648"/>
      <c r="J6" s="129"/>
      <c r="K6" s="129"/>
    </row>
    <row r="7" spans="1:11" ht="15.75" x14ac:dyDescent="0.25">
      <c r="A7" s="12"/>
      <c r="B7" s="12"/>
      <c r="C7" s="12"/>
      <c r="D7" s="12"/>
      <c r="E7" s="12"/>
      <c r="F7" s="12"/>
      <c r="G7" s="627" t="s">
        <v>1</v>
      </c>
      <c r="J7" s="129"/>
      <c r="K7" s="129"/>
    </row>
    <row r="8" spans="1:11" ht="47.25" x14ac:dyDescent="0.25">
      <c r="A8" s="646" t="s">
        <v>108</v>
      </c>
      <c r="B8" s="646" t="s">
        <v>109</v>
      </c>
      <c r="C8" s="590" t="s">
        <v>110</v>
      </c>
      <c r="D8" s="590" t="s">
        <v>111</v>
      </c>
      <c r="E8" s="590" t="s">
        <v>112</v>
      </c>
      <c r="F8" s="590" t="s">
        <v>113</v>
      </c>
      <c r="G8" s="251" t="s">
        <v>588</v>
      </c>
      <c r="H8" s="532"/>
      <c r="I8" s="532"/>
      <c r="J8" s="302"/>
      <c r="K8" s="129"/>
    </row>
    <row r="9" spans="1:11" ht="31.5" x14ac:dyDescent="0.25">
      <c r="A9" s="296" t="s">
        <v>114</v>
      </c>
      <c r="B9" s="296">
        <v>901</v>
      </c>
      <c r="C9" s="346"/>
      <c r="D9" s="346"/>
      <c r="E9" s="346"/>
      <c r="F9" s="346"/>
      <c r="G9" s="297">
        <f>G10</f>
        <v>15004</v>
      </c>
      <c r="H9" s="532"/>
      <c r="I9" s="532"/>
      <c r="J9" s="302"/>
      <c r="K9" s="129"/>
    </row>
    <row r="10" spans="1:11" ht="15.75" x14ac:dyDescent="0.25">
      <c r="A10" s="298" t="s">
        <v>115</v>
      </c>
      <c r="B10" s="296">
        <v>901</v>
      </c>
      <c r="C10" s="299" t="s">
        <v>116</v>
      </c>
      <c r="D10" s="346"/>
      <c r="E10" s="346"/>
      <c r="F10" s="346"/>
      <c r="G10" s="297">
        <f>G11+G24+G30</f>
        <v>15004</v>
      </c>
      <c r="H10" s="533"/>
      <c r="I10" s="533"/>
      <c r="J10" s="302"/>
      <c r="K10" s="129"/>
    </row>
    <row r="11" spans="1:11" ht="47.25" x14ac:dyDescent="0.25">
      <c r="A11" s="298" t="s">
        <v>117</v>
      </c>
      <c r="B11" s="296">
        <v>901</v>
      </c>
      <c r="C11" s="299" t="s">
        <v>116</v>
      </c>
      <c r="D11" s="299" t="s">
        <v>118</v>
      </c>
      <c r="E11" s="299"/>
      <c r="F11" s="299"/>
      <c r="G11" s="297">
        <f>G12</f>
        <v>14454</v>
      </c>
      <c r="H11" s="533"/>
      <c r="I11" s="533"/>
      <c r="J11" s="302"/>
      <c r="K11" s="129"/>
    </row>
    <row r="12" spans="1:11" ht="31.5" x14ac:dyDescent="0.25">
      <c r="A12" s="298" t="s">
        <v>486</v>
      </c>
      <c r="B12" s="296">
        <v>901</v>
      </c>
      <c r="C12" s="299" t="s">
        <v>116</v>
      </c>
      <c r="D12" s="299" t="s">
        <v>118</v>
      </c>
      <c r="E12" s="299" t="s">
        <v>432</v>
      </c>
      <c r="F12" s="299"/>
      <c r="G12" s="297">
        <f>G13</f>
        <v>14454</v>
      </c>
      <c r="H12" s="532"/>
      <c r="I12" s="532"/>
      <c r="J12" s="302"/>
      <c r="K12" s="129"/>
    </row>
    <row r="13" spans="1:11" ht="15.75" x14ac:dyDescent="0.25">
      <c r="A13" s="298" t="s">
        <v>487</v>
      </c>
      <c r="B13" s="296">
        <v>901</v>
      </c>
      <c r="C13" s="299" t="s">
        <v>116</v>
      </c>
      <c r="D13" s="299" t="s">
        <v>118</v>
      </c>
      <c r="E13" s="299" t="s">
        <v>433</v>
      </c>
      <c r="F13" s="299"/>
      <c r="G13" s="297">
        <f>G14+G21</f>
        <v>14454</v>
      </c>
      <c r="H13" s="532"/>
      <c r="I13" s="532"/>
      <c r="J13" s="302"/>
      <c r="K13" s="129"/>
    </row>
    <row r="14" spans="1:11" ht="31.5" x14ac:dyDescent="0.25">
      <c r="A14" s="345" t="s">
        <v>466</v>
      </c>
      <c r="B14" s="591">
        <v>901</v>
      </c>
      <c r="C14" s="346" t="s">
        <v>116</v>
      </c>
      <c r="D14" s="346" t="s">
        <v>118</v>
      </c>
      <c r="E14" s="346" t="s">
        <v>434</v>
      </c>
      <c r="F14" s="346"/>
      <c r="G14" s="300">
        <f>G15+G17+G19</f>
        <v>14004</v>
      </c>
      <c r="H14" s="532"/>
      <c r="I14" s="532"/>
      <c r="J14" s="302"/>
      <c r="K14" s="129"/>
    </row>
    <row r="15" spans="1:11" ht="63" x14ac:dyDescent="0.25">
      <c r="A15" s="345" t="s">
        <v>119</v>
      </c>
      <c r="B15" s="591">
        <v>901</v>
      </c>
      <c r="C15" s="346" t="s">
        <v>116</v>
      </c>
      <c r="D15" s="346" t="s">
        <v>118</v>
      </c>
      <c r="E15" s="346" t="s">
        <v>434</v>
      </c>
      <c r="F15" s="346" t="s">
        <v>120</v>
      </c>
      <c r="G15" s="300">
        <f>G16</f>
        <v>12562.7</v>
      </c>
      <c r="H15" s="532"/>
      <c r="I15" s="532"/>
      <c r="J15" s="302"/>
      <c r="K15" s="129"/>
    </row>
    <row r="16" spans="1:11" ht="31.5" x14ac:dyDescent="0.25">
      <c r="A16" s="345" t="s">
        <v>121</v>
      </c>
      <c r="B16" s="591">
        <v>901</v>
      </c>
      <c r="C16" s="346" t="s">
        <v>116</v>
      </c>
      <c r="D16" s="346" t="s">
        <v>118</v>
      </c>
      <c r="E16" s="346" t="s">
        <v>434</v>
      </c>
      <c r="F16" s="346" t="s">
        <v>122</v>
      </c>
      <c r="G16" s="18">
        <f>12532.6+30.1-848.6+848.6</f>
        <v>12562.7</v>
      </c>
      <c r="H16" s="532"/>
      <c r="I16" s="532"/>
      <c r="J16" s="310"/>
      <c r="K16" s="129"/>
    </row>
    <row r="17" spans="1:11" ht="31.5" x14ac:dyDescent="0.25">
      <c r="A17" s="345" t="s">
        <v>123</v>
      </c>
      <c r="B17" s="591">
        <v>901</v>
      </c>
      <c r="C17" s="346" t="s">
        <v>116</v>
      </c>
      <c r="D17" s="346" t="s">
        <v>118</v>
      </c>
      <c r="E17" s="346" t="s">
        <v>434</v>
      </c>
      <c r="F17" s="346" t="s">
        <v>124</v>
      </c>
      <c r="G17" s="300">
        <f>G18</f>
        <v>1413.3</v>
      </c>
      <c r="H17" s="532"/>
      <c r="I17" s="532"/>
      <c r="J17" s="302"/>
      <c r="K17" s="129"/>
    </row>
    <row r="18" spans="1:11" ht="31.5" x14ac:dyDescent="0.25">
      <c r="A18" s="345" t="s">
        <v>125</v>
      </c>
      <c r="B18" s="591">
        <v>901</v>
      </c>
      <c r="C18" s="346" t="s">
        <v>116</v>
      </c>
      <c r="D18" s="346" t="s">
        <v>118</v>
      </c>
      <c r="E18" s="346" t="s">
        <v>434</v>
      </c>
      <c r="F18" s="346" t="s">
        <v>126</v>
      </c>
      <c r="G18" s="18">
        <f>969.5+181+262.8</f>
        <v>1413.3</v>
      </c>
      <c r="H18" s="532"/>
      <c r="I18" s="532"/>
      <c r="J18" s="302"/>
      <c r="K18" s="129"/>
    </row>
    <row r="19" spans="1:11" ht="15.75" x14ac:dyDescent="0.25">
      <c r="A19" s="345" t="s">
        <v>127</v>
      </c>
      <c r="B19" s="591">
        <v>901</v>
      </c>
      <c r="C19" s="346" t="s">
        <v>116</v>
      </c>
      <c r="D19" s="346" t="s">
        <v>118</v>
      </c>
      <c r="E19" s="346" t="s">
        <v>434</v>
      </c>
      <c r="F19" s="346" t="s">
        <v>128</v>
      </c>
      <c r="G19" s="300">
        <f>G20</f>
        <v>28</v>
      </c>
      <c r="H19" s="532"/>
      <c r="I19" s="532"/>
      <c r="J19" s="302"/>
      <c r="K19" s="129"/>
    </row>
    <row r="20" spans="1:11" ht="15.75" x14ac:dyDescent="0.25">
      <c r="A20" s="345" t="s">
        <v>280</v>
      </c>
      <c r="B20" s="591">
        <v>901</v>
      </c>
      <c r="C20" s="346" t="s">
        <v>116</v>
      </c>
      <c r="D20" s="346" t="s">
        <v>118</v>
      </c>
      <c r="E20" s="346" t="s">
        <v>434</v>
      </c>
      <c r="F20" s="346" t="s">
        <v>130</v>
      </c>
      <c r="G20" s="300">
        <v>28</v>
      </c>
      <c r="H20" s="532"/>
      <c r="I20" s="532"/>
      <c r="J20" s="302"/>
      <c r="K20" s="129"/>
    </row>
    <row r="21" spans="1:11" s="129" customFormat="1" ht="31.5" x14ac:dyDescent="0.25">
      <c r="A21" s="345" t="s">
        <v>414</v>
      </c>
      <c r="B21" s="591">
        <v>901</v>
      </c>
      <c r="C21" s="346" t="s">
        <v>116</v>
      </c>
      <c r="D21" s="346" t="s">
        <v>118</v>
      </c>
      <c r="E21" s="346" t="s">
        <v>436</v>
      </c>
      <c r="F21" s="346"/>
      <c r="G21" s="300">
        <f>G22</f>
        <v>450</v>
      </c>
      <c r="H21" s="532"/>
      <c r="I21" s="532"/>
      <c r="J21" s="302"/>
    </row>
    <row r="22" spans="1:11" s="129" customFormat="1" ht="63" x14ac:dyDescent="0.25">
      <c r="A22" s="345" t="s">
        <v>119</v>
      </c>
      <c r="B22" s="591">
        <v>901</v>
      </c>
      <c r="C22" s="346" t="s">
        <v>116</v>
      </c>
      <c r="D22" s="346" t="s">
        <v>118</v>
      </c>
      <c r="E22" s="346" t="s">
        <v>436</v>
      </c>
      <c r="F22" s="346" t="s">
        <v>120</v>
      </c>
      <c r="G22" s="300">
        <f>G23</f>
        <v>450</v>
      </c>
      <c r="H22" s="532"/>
      <c r="I22" s="532"/>
      <c r="J22" s="302"/>
    </row>
    <row r="23" spans="1:11" s="129" customFormat="1" ht="31.5" x14ac:dyDescent="0.25">
      <c r="A23" s="345" t="s">
        <v>121</v>
      </c>
      <c r="B23" s="591">
        <v>901</v>
      </c>
      <c r="C23" s="346" t="s">
        <v>116</v>
      </c>
      <c r="D23" s="346" t="s">
        <v>118</v>
      </c>
      <c r="E23" s="346" t="s">
        <v>436</v>
      </c>
      <c r="F23" s="346" t="s">
        <v>122</v>
      </c>
      <c r="G23" s="300">
        <v>450</v>
      </c>
      <c r="H23" s="532"/>
      <c r="I23" s="532"/>
      <c r="J23" s="302"/>
    </row>
    <row r="24" spans="1:11" s="129" customFormat="1" ht="15.75" x14ac:dyDescent="0.25">
      <c r="A24" s="298" t="s">
        <v>895</v>
      </c>
      <c r="B24" s="296">
        <v>901</v>
      </c>
      <c r="C24" s="299" t="s">
        <v>116</v>
      </c>
      <c r="D24" s="299" t="s">
        <v>251</v>
      </c>
      <c r="E24" s="299"/>
      <c r="F24" s="299"/>
      <c r="G24" s="297">
        <f t="shared" ref="G24:G28" si="0">G25</f>
        <v>75.095000000000027</v>
      </c>
      <c r="H24" s="532"/>
      <c r="I24" s="532"/>
      <c r="J24" s="302"/>
    </row>
    <row r="25" spans="1:11" s="129" customFormat="1" ht="15.75" x14ac:dyDescent="0.25">
      <c r="A25" s="298" t="s">
        <v>133</v>
      </c>
      <c r="B25" s="296">
        <v>901</v>
      </c>
      <c r="C25" s="299" t="s">
        <v>116</v>
      </c>
      <c r="D25" s="299" t="s">
        <v>251</v>
      </c>
      <c r="E25" s="299" t="s">
        <v>440</v>
      </c>
      <c r="F25" s="299"/>
      <c r="G25" s="297">
        <f t="shared" si="0"/>
        <v>75.095000000000027</v>
      </c>
      <c r="H25" s="532"/>
      <c r="I25" s="532"/>
      <c r="J25" s="302"/>
    </row>
    <row r="26" spans="1:11" s="129" customFormat="1" ht="31.5" x14ac:dyDescent="0.25">
      <c r="A26" s="298" t="s">
        <v>444</v>
      </c>
      <c r="B26" s="296">
        <v>901</v>
      </c>
      <c r="C26" s="299" t="s">
        <v>116</v>
      </c>
      <c r="D26" s="299" t="s">
        <v>251</v>
      </c>
      <c r="E26" s="299" t="s">
        <v>439</v>
      </c>
      <c r="F26" s="299"/>
      <c r="G26" s="297">
        <f t="shared" si="0"/>
        <v>75.095000000000027</v>
      </c>
      <c r="H26" s="532"/>
      <c r="I26" s="532"/>
      <c r="J26" s="302"/>
    </row>
    <row r="27" spans="1:11" s="129" customFormat="1" ht="15.75" x14ac:dyDescent="0.25">
      <c r="A27" s="345" t="s">
        <v>686</v>
      </c>
      <c r="B27" s="591">
        <v>901</v>
      </c>
      <c r="C27" s="346" t="s">
        <v>116</v>
      </c>
      <c r="D27" s="346" t="s">
        <v>251</v>
      </c>
      <c r="E27" s="346" t="s">
        <v>687</v>
      </c>
      <c r="F27" s="346"/>
      <c r="G27" s="300">
        <f t="shared" si="0"/>
        <v>75.095000000000027</v>
      </c>
      <c r="H27" s="532"/>
      <c r="I27" s="532"/>
      <c r="J27" s="302"/>
    </row>
    <row r="28" spans="1:11" s="129" customFormat="1" ht="15.75" x14ac:dyDescent="0.25">
      <c r="A28" s="345" t="s">
        <v>127</v>
      </c>
      <c r="B28" s="591">
        <v>901</v>
      </c>
      <c r="C28" s="346" t="s">
        <v>116</v>
      </c>
      <c r="D28" s="346" t="s">
        <v>251</v>
      </c>
      <c r="E28" s="346" t="s">
        <v>687</v>
      </c>
      <c r="F28" s="346" t="s">
        <v>134</v>
      </c>
      <c r="G28" s="300">
        <f t="shared" si="0"/>
        <v>75.095000000000027</v>
      </c>
      <c r="H28" s="532"/>
      <c r="I28" s="532"/>
      <c r="J28" s="302"/>
    </row>
    <row r="29" spans="1:11" s="129" customFormat="1" ht="15.75" x14ac:dyDescent="0.25">
      <c r="A29" s="345" t="s">
        <v>686</v>
      </c>
      <c r="B29" s="591">
        <v>901</v>
      </c>
      <c r="C29" s="346" t="s">
        <v>116</v>
      </c>
      <c r="D29" s="346" t="s">
        <v>251</v>
      </c>
      <c r="E29" s="346" t="s">
        <v>687</v>
      </c>
      <c r="F29" s="346" t="s">
        <v>688</v>
      </c>
      <c r="G29" s="300">
        <f>50+500-474.905</f>
        <v>75.095000000000027</v>
      </c>
      <c r="H29" s="532"/>
      <c r="I29" s="532"/>
      <c r="J29" s="302"/>
    </row>
    <row r="30" spans="1:11" s="344" customFormat="1" ht="15.75" x14ac:dyDescent="0.25">
      <c r="A30" s="298" t="s">
        <v>131</v>
      </c>
      <c r="B30" s="296">
        <v>901</v>
      </c>
      <c r="C30" s="299" t="s">
        <v>116</v>
      </c>
      <c r="D30" s="299" t="s">
        <v>132</v>
      </c>
      <c r="E30" s="299"/>
      <c r="F30" s="346"/>
      <c r="G30" s="300">
        <f>G31</f>
        <v>474.90499999999997</v>
      </c>
      <c r="H30" s="532"/>
      <c r="I30" s="532"/>
      <c r="J30" s="302"/>
    </row>
    <row r="31" spans="1:11" s="344" customFormat="1" ht="15.75" x14ac:dyDescent="0.25">
      <c r="A31" s="298" t="s">
        <v>133</v>
      </c>
      <c r="B31" s="296">
        <v>901</v>
      </c>
      <c r="C31" s="299" t="s">
        <v>116</v>
      </c>
      <c r="D31" s="299" t="s">
        <v>132</v>
      </c>
      <c r="E31" s="299" t="s">
        <v>440</v>
      </c>
      <c r="F31" s="346"/>
      <c r="G31" s="300">
        <f>G32</f>
        <v>474.90499999999997</v>
      </c>
      <c r="H31" s="532"/>
      <c r="I31" s="532"/>
      <c r="J31" s="302"/>
    </row>
    <row r="32" spans="1:11" s="344" customFormat="1" ht="34.9" customHeight="1" x14ac:dyDescent="0.25">
      <c r="A32" s="298" t="s">
        <v>444</v>
      </c>
      <c r="B32" s="296">
        <v>901</v>
      </c>
      <c r="C32" s="299" t="s">
        <v>116</v>
      </c>
      <c r="D32" s="299" t="s">
        <v>132</v>
      </c>
      <c r="E32" s="299" t="s">
        <v>439</v>
      </c>
      <c r="F32" s="346"/>
      <c r="G32" s="300">
        <f>G33</f>
        <v>474.90499999999997</v>
      </c>
      <c r="H32" s="532"/>
      <c r="I32" s="532"/>
      <c r="J32" s="302"/>
    </row>
    <row r="33" spans="1:11" s="131" customFormat="1" ht="31.5" x14ac:dyDescent="0.25">
      <c r="A33" s="345" t="s">
        <v>1355</v>
      </c>
      <c r="B33" s="591">
        <v>901</v>
      </c>
      <c r="C33" s="346" t="s">
        <v>116</v>
      </c>
      <c r="D33" s="346" t="s">
        <v>132</v>
      </c>
      <c r="E33" s="346" t="s">
        <v>1354</v>
      </c>
      <c r="F33" s="346"/>
      <c r="G33" s="300">
        <f>G34</f>
        <v>474.90499999999997</v>
      </c>
      <c r="H33" s="532"/>
      <c r="I33" s="532"/>
      <c r="J33" s="75"/>
    </row>
    <row r="34" spans="1:11" s="344" customFormat="1" ht="31.5" x14ac:dyDescent="0.25">
      <c r="A34" s="345" t="s">
        <v>123</v>
      </c>
      <c r="B34" s="591">
        <v>901</v>
      </c>
      <c r="C34" s="346" t="s">
        <v>116</v>
      </c>
      <c r="D34" s="346" t="s">
        <v>132</v>
      </c>
      <c r="E34" s="346" t="s">
        <v>1354</v>
      </c>
      <c r="F34" s="346" t="s">
        <v>124</v>
      </c>
      <c r="G34" s="300">
        <f>G35</f>
        <v>474.90499999999997</v>
      </c>
      <c r="H34" s="532"/>
      <c r="I34" s="532"/>
      <c r="J34" s="302"/>
    </row>
    <row r="35" spans="1:11" s="344" customFormat="1" ht="31.5" x14ac:dyDescent="0.25">
      <c r="A35" s="345" t="s">
        <v>125</v>
      </c>
      <c r="B35" s="591">
        <v>901</v>
      </c>
      <c r="C35" s="346" t="s">
        <v>116</v>
      </c>
      <c r="D35" s="346" t="s">
        <v>132</v>
      </c>
      <c r="E35" s="346" t="s">
        <v>1354</v>
      </c>
      <c r="F35" s="346" t="s">
        <v>126</v>
      </c>
      <c r="G35" s="300">
        <f>474.905</f>
        <v>474.90499999999997</v>
      </c>
      <c r="H35" s="532"/>
      <c r="I35" s="532"/>
      <c r="J35" s="302"/>
    </row>
    <row r="36" spans="1:11" ht="15.75" x14ac:dyDescent="0.25">
      <c r="A36" s="296" t="s">
        <v>137</v>
      </c>
      <c r="B36" s="296">
        <v>902</v>
      </c>
      <c r="C36" s="346"/>
      <c r="D36" s="346"/>
      <c r="E36" s="346"/>
      <c r="F36" s="346"/>
      <c r="G36" s="297">
        <f>G37+G179+G222+G246+G172</f>
        <v>114273.55899999999</v>
      </c>
      <c r="H36" s="533"/>
      <c r="I36" s="533"/>
      <c r="J36" s="302"/>
      <c r="K36" s="149"/>
    </row>
    <row r="37" spans="1:11" ht="15.75" x14ac:dyDescent="0.25">
      <c r="A37" s="298" t="s">
        <v>115</v>
      </c>
      <c r="B37" s="296">
        <v>902</v>
      </c>
      <c r="C37" s="299" t="s">
        <v>116</v>
      </c>
      <c r="D37" s="346"/>
      <c r="E37" s="346"/>
      <c r="F37" s="346"/>
      <c r="G37" s="297">
        <f>G54+G109+G126+G118+G38</f>
        <v>86463.111600000004</v>
      </c>
      <c r="H37" s="532"/>
      <c r="I37" s="532"/>
      <c r="J37" s="302"/>
      <c r="K37" s="129"/>
    </row>
    <row r="38" spans="1:11" s="129" customFormat="1" ht="31.9" customHeight="1" x14ac:dyDescent="0.25">
      <c r="A38" s="298" t="s">
        <v>285</v>
      </c>
      <c r="B38" s="296">
        <v>902</v>
      </c>
      <c r="C38" s="299" t="s">
        <v>116</v>
      </c>
      <c r="D38" s="299" t="s">
        <v>158</v>
      </c>
      <c r="E38" s="346"/>
      <c r="F38" s="346"/>
      <c r="G38" s="297">
        <f>G39</f>
        <v>6554.24</v>
      </c>
      <c r="H38" s="532"/>
      <c r="I38" s="532"/>
      <c r="J38" s="302"/>
    </row>
    <row r="39" spans="1:11" s="129" customFormat="1" ht="31.5" x14ac:dyDescent="0.25">
      <c r="A39" s="298" t="s">
        <v>486</v>
      </c>
      <c r="B39" s="296">
        <v>902</v>
      </c>
      <c r="C39" s="299" t="s">
        <v>116</v>
      </c>
      <c r="D39" s="299" t="s">
        <v>158</v>
      </c>
      <c r="E39" s="299" t="s">
        <v>432</v>
      </c>
      <c r="F39" s="346"/>
      <c r="G39" s="297">
        <f>G40+G49</f>
        <v>6554.24</v>
      </c>
      <c r="H39" s="532"/>
      <c r="I39" s="532"/>
      <c r="J39" s="302"/>
    </row>
    <row r="40" spans="1:11" s="129" customFormat="1" ht="15.75" x14ac:dyDescent="0.25">
      <c r="A40" s="298" t="s">
        <v>487</v>
      </c>
      <c r="B40" s="296">
        <v>902</v>
      </c>
      <c r="C40" s="299" t="s">
        <v>116</v>
      </c>
      <c r="D40" s="299" t="s">
        <v>158</v>
      </c>
      <c r="E40" s="299" t="s">
        <v>433</v>
      </c>
      <c r="F40" s="346"/>
      <c r="G40" s="297">
        <f>G41+G46</f>
        <v>6553.74</v>
      </c>
      <c r="H40" s="532"/>
      <c r="I40" s="532"/>
      <c r="J40" s="302"/>
    </row>
    <row r="41" spans="1:11" s="129" customFormat="1" ht="31.5" x14ac:dyDescent="0.25">
      <c r="A41" s="345" t="s">
        <v>286</v>
      </c>
      <c r="B41" s="591">
        <v>902</v>
      </c>
      <c r="C41" s="346" t="s">
        <v>116</v>
      </c>
      <c r="D41" s="346" t="s">
        <v>158</v>
      </c>
      <c r="E41" s="346" t="s">
        <v>837</v>
      </c>
      <c r="F41" s="346"/>
      <c r="G41" s="300">
        <f>G42+G44</f>
        <v>6553.74</v>
      </c>
      <c r="H41" s="532"/>
      <c r="I41" s="532"/>
      <c r="J41" s="302"/>
    </row>
    <row r="42" spans="1:11" s="129" customFormat="1" ht="63" x14ac:dyDescent="0.25">
      <c r="A42" s="345" t="s">
        <v>119</v>
      </c>
      <c r="B42" s="591">
        <v>902</v>
      </c>
      <c r="C42" s="346" t="s">
        <v>116</v>
      </c>
      <c r="D42" s="346" t="s">
        <v>158</v>
      </c>
      <c r="E42" s="346" t="s">
        <v>837</v>
      </c>
      <c r="F42" s="346" t="s">
        <v>120</v>
      </c>
      <c r="G42" s="300">
        <f>G43</f>
        <v>6553.74</v>
      </c>
      <c r="H42" s="532"/>
      <c r="I42" s="532"/>
      <c r="J42" s="302"/>
    </row>
    <row r="43" spans="1:11" s="129" customFormat="1" ht="31.5" x14ac:dyDescent="0.25">
      <c r="A43" s="345" t="s">
        <v>121</v>
      </c>
      <c r="B43" s="591">
        <v>902</v>
      </c>
      <c r="C43" s="346" t="s">
        <v>116</v>
      </c>
      <c r="D43" s="346" t="s">
        <v>158</v>
      </c>
      <c r="E43" s="346" t="s">
        <v>837</v>
      </c>
      <c r="F43" s="346" t="s">
        <v>122</v>
      </c>
      <c r="G43" s="18">
        <f>4934.5+80+1539.24</f>
        <v>6553.74</v>
      </c>
      <c r="H43" s="530"/>
      <c r="I43" s="530"/>
      <c r="J43" s="302"/>
      <c r="K43" s="320"/>
    </row>
    <row r="44" spans="1:11" s="129" customFormat="1" ht="31.5" hidden="1" x14ac:dyDescent="0.25">
      <c r="A44" s="345" t="s">
        <v>153</v>
      </c>
      <c r="B44" s="591">
        <v>902</v>
      </c>
      <c r="C44" s="346" t="s">
        <v>116</v>
      </c>
      <c r="D44" s="346" t="s">
        <v>158</v>
      </c>
      <c r="E44" s="346" t="s">
        <v>837</v>
      </c>
      <c r="F44" s="346" t="s">
        <v>124</v>
      </c>
      <c r="G44" s="300">
        <f>G45</f>
        <v>0</v>
      </c>
      <c r="H44" s="532"/>
      <c r="I44" s="532"/>
      <c r="J44" s="302"/>
    </row>
    <row r="45" spans="1:11" s="129" customFormat="1" ht="31.5" hidden="1" x14ac:dyDescent="0.25">
      <c r="A45" s="345" t="s">
        <v>125</v>
      </c>
      <c r="B45" s="591">
        <v>902</v>
      </c>
      <c r="C45" s="346" t="s">
        <v>116</v>
      </c>
      <c r="D45" s="346" t="s">
        <v>158</v>
      </c>
      <c r="E45" s="346" t="s">
        <v>837</v>
      </c>
      <c r="F45" s="346" t="s">
        <v>126</v>
      </c>
      <c r="G45" s="300">
        <f>90-90</f>
        <v>0</v>
      </c>
      <c r="H45" s="532"/>
      <c r="I45" s="532"/>
      <c r="J45" s="302"/>
    </row>
    <row r="46" spans="1:11" s="129" customFormat="1" ht="31.5" hidden="1" x14ac:dyDescent="0.25">
      <c r="A46" s="345" t="s">
        <v>414</v>
      </c>
      <c r="B46" s="591">
        <v>902</v>
      </c>
      <c r="C46" s="346" t="s">
        <v>116</v>
      </c>
      <c r="D46" s="346" t="s">
        <v>158</v>
      </c>
      <c r="E46" s="346" t="s">
        <v>436</v>
      </c>
      <c r="F46" s="346"/>
      <c r="G46" s="300">
        <f>G47</f>
        <v>0</v>
      </c>
      <c r="H46" s="532"/>
      <c r="I46" s="532"/>
      <c r="J46" s="302"/>
    </row>
    <row r="47" spans="1:11" s="129" customFormat="1" ht="63" hidden="1" x14ac:dyDescent="0.25">
      <c r="A47" s="345" t="s">
        <v>119</v>
      </c>
      <c r="B47" s="591">
        <v>902</v>
      </c>
      <c r="C47" s="346" t="s">
        <v>116</v>
      </c>
      <c r="D47" s="346" t="s">
        <v>158</v>
      </c>
      <c r="E47" s="346" t="s">
        <v>436</v>
      </c>
      <c r="F47" s="346" t="s">
        <v>120</v>
      </c>
      <c r="G47" s="300">
        <f>G48</f>
        <v>0</v>
      </c>
      <c r="H47" s="532"/>
      <c r="I47" s="532"/>
      <c r="J47" s="302"/>
    </row>
    <row r="48" spans="1:11" s="129" customFormat="1" ht="31.5" hidden="1" x14ac:dyDescent="0.25">
      <c r="A48" s="345" t="s">
        <v>121</v>
      </c>
      <c r="B48" s="591">
        <v>902</v>
      </c>
      <c r="C48" s="346" t="s">
        <v>116</v>
      </c>
      <c r="D48" s="346" t="s">
        <v>158</v>
      </c>
      <c r="E48" s="346" t="s">
        <v>436</v>
      </c>
      <c r="F48" s="346" t="s">
        <v>122</v>
      </c>
      <c r="G48" s="300"/>
      <c r="H48" s="532"/>
      <c r="I48" s="532"/>
      <c r="J48" s="302"/>
    </row>
    <row r="49" spans="1:11" s="129" customFormat="1" ht="31.5" x14ac:dyDescent="0.25">
      <c r="A49" s="298" t="s">
        <v>842</v>
      </c>
      <c r="B49" s="296">
        <v>902</v>
      </c>
      <c r="C49" s="299" t="s">
        <v>116</v>
      </c>
      <c r="D49" s="299" t="s">
        <v>158</v>
      </c>
      <c r="E49" s="299" t="s">
        <v>143</v>
      </c>
      <c r="F49" s="299"/>
      <c r="G49" s="297">
        <f t="shared" ref="G49:G52" si="1">G50</f>
        <v>0.5</v>
      </c>
      <c r="H49" s="532"/>
      <c r="I49" s="532"/>
      <c r="J49" s="302"/>
    </row>
    <row r="50" spans="1:11" s="129" customFormat="1" ht="63" x14ac:dyDescent="0.25">
      <c r="A50" s="137" t="s">
        <v>844</v>
      </c>
      <c r="B50" s="592">
        <v>902</v>
      </c>
      <c r="C50" s="299" t="s">
        <v>116</v>
      </c>
      <c r="D50" s="299" t="s">
        <v>158</v>
      </c>
      <c r="E50" s="6" t="s">
        <v>424</v>
      </c>
      <c r="F50" s="299"/>
      <c r="G50" s="297">
        <f t="shared" si="1"/>
        <v>0.5</v>
      </c>
      <c r="H50" s="532"/>
      <c r="I50" s="532"/>
      <c r="J50" s="302"/>
    </row>
    <row r="51" spans="1:11" s="129" customFormat="1" ht="59.1" customHeight="1" x14ac:dyDescent="0.25">
      <c r="A51" s="22" t="s">
        <v>334</v>
      </c>
      <c r="B51" s="591">
        <v>902</v>
      </c>
      <c r="C51" s="346" t="s">
        <v>116</v>
      </c>
      <c r="D51" s="346" t="s">
        <v>158</v>
      </c>
      <c r="E51" s="341" t="s">
        <v>554</v>
      </c>
      <c r="F51" s="346"/>
      <c r="G51" s="300">
        <f t="shared" si="1"/>
        <v>0.5</v>
      </c>
      <c r="H51" s="532"/>
      <c r="I51" s="532"/>
      <c r="J51" s="302"/>
    </row>
    <row r="52" spans="1:11" s="129" customFormat="1" ht="31.5" x14ac:dyDescent="0.25">
      <c r="A52" s="345" t="s">
        <v>123</v>
      </c>
      <c r="B52" s="591">
        <v>902</v>
      </c>
      <c r="C52" s="346" t="s">
        <v>116</v>
      </c>
      <c r="D52" s="346" t="s">
        <v>158</v>
      </c>
      <c r="E52" s="341" t="s">
        <v>554</v>
      </c>
      <c r="F52" s="346" t="s">
        <v>124</v>
      </c>
      <c r="G52" s="300">
        <f t="shared" si="1"/>
        <v>0.5</v>
      </c>
      <c r="H52" s="532"/>
      <c r="I52" s="532"/>
      <c r="J52" s="302"/>
    </row>
    <row r="53" spans="1:11" s="129" customFormat="1" ht="31.5" x14ac:dyDescent="0.25">
      <c r="A53" s="345" t="s">
        <v>125</v>
      </c>
      <c r="B53" s="591">
        <v>902</v>
      </c>
      <c r="C53" s="346" t="s">
        <v>116</v>
      </c>
      <c r="D53" s="346" t="s">
        <v>158</v>
      </c>
      <c r="E53" s="341" t="s">
        <v>554</v>
      </c>
      <c r="F53" s="346" t="s">
        <v>126</v>
      </c>
      <c r="G53" s="300">
        <v>0.5</v>
      </c>
      <c r="H53" s="532"/>
      <c r="I53" s="532"/>
      <c r="J53" s="302"/>
    </row>
    <row r="54" spans="1:11" ht="46.15" customHeight="1" x14ac:dyDescent="0.25">
      <c r="A54" s="298" t="s">
        <v>138</v>
      </c>
      <c r="B54" s="296">
        <v>902</v>
      </c>
      <c r="C54" s="299" t="s">
        <v>116</v>
      </c>
      <c r="D54" s="299" t="s">
        <v>139</v>
      </c>
      <c r="E54" s="299"/>
      <c r="F54" s="299"/>
      <c r="G54" s="297">
        <f>G55+G91</f>
        <v>59521.355000000003</v>
      </c>
      <c r="H54" s="532"/>
      <c r="I54" s="532"/>
      <c r="J54" s="302"/>
      <c r="K54" s="129"/>
    </row>
    <row r="55" spans="1:11" ht="31.5" x14ac:dyDescent="0.25">
      <c r="A55" s="298" t="s">
        <v>486</v>
      </c>
      <c r="B55" s="296">
        <v>902</v>
      </c>
      <c r="C55" s="299" t="s">
        <v>116</v>
      </c>
      <c r="D55" s="299" t="s">
        <v>139</v>
      </c>
      <c r="E55" s="299" t="s">
        <v>432</v>
      </c>
      <c r="F55" s="299"/>
      <c r="G55" s="28">
        <f>G56+G72</f>
        <v>58957.655000000006</v>
      </c>
      <c r="H55" s="532"/>
      <c r="I55" s="532"/>
      <c r="J55" s="302"/>
      <c r="K55" s="129"/>
    </row>
    <row r="56" spans="1:11" s="129" customFormat="1" ht="15.75" x14ac:dyDescent="0.25">
      <c r="A56" s="298" t="s">
        <v>487</v>
      </c>
      <c r="B56" s="296">
        <v>902</v>
      </c>
      <c r="C56" s="299" t="s">
        <v>116</v>
      </c>
      <c r="D56" s="299" t="s">
        <v>139</v>
      </c>
      <c r="E56" s="299" t="s">
        <v>433</v>
      </c>
      <c r="F56" s="299"/>
      <c r="G56" s="28">
        <f>G57+G66+G69</f>
        <v>55287.455000000009</v>
      </c>
      <c r="H56" s="532"/>
      <c r="I56" s="532"/>
      <c r="J56" s="302"/>
    </row>
    <row r="57" spans="1:11" ht="31.5" x14ac:dyDescent="0.25">
      <c r="A57" s="345" t="s">
        <v>466</v>
      </c>
      <c r="B57" s="591">
        <v>902</v>
      </c>
      <c r="C57" s="346" t="s">
        <v>116</v>
      </c>
      <c r="D57" s="346" t="s">
        <v>139</v>
      </c>
      <c r="E57" s="346" t="s">
        <v>434</v>
      </c>
      <c r="F57" s="346"/>
      <c r="G57" s="300">
        <f>G58+G60+G64+G62</f>
        <v>51481.605000000003</v>
      </c>
      <c r="H57" s="532"/>
      <c r="I57" s="532"/>
      <c r="J57" s="302"/>
      <c r="K57" s="129"/>
    </row>
    <row r="58" spans="1:11" ht="62.1" customHeight="1" x14ac:dyDescent="0.25">
      <c r="A58" s="345" t="s">
        <v>119</v>
      </c>
      <c r="B58" s="591">
        <v>902</v>
      </c>
      <c r="C58" s="346" t="s">
        <v>116</v>
      </c>
      <c r="D58" s="346" t="s">
        <v>139</v>
      </c>
      <c r="E58" s="346" t="s">
        <v>434</v>
      </c>
      <c r="F58" s="346" t="s">
        <v>120</v>
      </c>
      <c r="G58" s="300">
        <f>G59</f>
        <v>43748.625</v>
      </c>
      <c r="H58" s="532"/>
      <c r="I58" s="532"/>
      <c r="J58" s="302"/>
      <c r="K58" s="129"/>
    </row>
    <row r="59" spans="1:11" ht="31.5" x14ac:dyDescent="0.25">
      <c r="A59" s="345" t="s">
        <v>121</v>
      </c>
      <c r="B59" s="591">
        <v>902</v>
      </c>
      <c r="C59" s="346" t="s">
        <v>116</v>
      </c>
      <c r="D59" s="346" t="s">
        <v>139</v>
      </c>
      <c r="E59" s="346" t="s">
        <v>434</v>
      </c>
      <c r="F59" s="346" t="s">
        <v>122</v>
      </c>
      <c r="G59" s="18">
        <f>43968.8+185.9-5190+5190-200.76-205.315</f>
        <v>43748.625</v>
      </c>
      <c r="H59" s="530"/>
      <c r="I59" s="530"/>
      <c r="J59" s="302"/>
      <c r="K59" s="320"/>
    </row>
    <row r="60" spans="1:11" ht="31.5" x14ac:dyDescent="0.25">
      <c r="A60" s="345" t="s">
        <v>123</v>
      </c>
      <c r="B60" s="591">
        <v>902</v>
      </c>
      <c r="C60" s="346" t="s">
        <v>116</v>
      </c>
      <c r="D60" s="346" t="s">
        <v>139</v>
      </c>
      <c r="E60" s="346" t="s">
        <v>434</v>
      </c>
      <c r="F60" s="346" t="s">
        <v>124</v>
      </c>
      <c r="G60" s="300">
        <f>G61</f>
        <v>7545.4800000000005</v>
      </c>
      <c r="H60" s="532"/>
      <c r="I60" s="532"/>
      <c r="J60" s="302"/>
      <c r="K60" s="129"/>
    </row>
    <row r="61" spans="1:11" ht="31.5" x14ac:dyDescent="0.25">
      <c r="A61" s="345" t="s">
        <v>125</v>
      </c>
      <c r="B61" s="591">
        <v>902</v>
      </c>
      <c r="C61" s="346" t="s">
        <v>116</v>
      </c>
      <c r="D61" s="346" t="s">
        <v>139</v>
      </c>
      <c r="E61" s="346" t="s">
        <v>434</v>
      </c>
      <c r="F61" s="346" t="s">
        <v>126</v>
      </c>
      <c r="G61" s="18">
        <f>5660.3+199.2-40+16+661+901.3+262.8-46.956-0.57+47.526-262.8+300-116.5+10.68+10-56.5</f>
        <v>7545.4800000000005</v>
      </c>
      <c r="H61" s="530"/>
      <c r="I61" s="530"/>
      <c r="J61" s="302"/>
      <c r="K61" s="129"/>
    </row>
    <row r="62" spans="1:11" s="129" customFormat="1" ht="15.75" hidden="1" x14ac:dyDescent="0.25">
      <c r="A62" s="345" t="s">
        <v>177</v>
      </c>
      <c r="B62" s="591">
        <v>902</v>
      </c>
      <c r="C62" s="346" t="s">
        <v>116</v>
      </c>
      <c r="D62" s="346" t="s">
        <v>139</v>
      </c>
      <c r="E62" s="346" t="s">
        <v>434</v>
      </c>
      <c r="F62" s="346" t="s">
        <v>178</v>
      </c>
      <c r="G62" s="18">
        <f>G63</f>
        <v>0</v>
      </c>
      <c r="H62" s="532"/>
      <c r="I62" s="532"/>
      <c r="J62" s="302"/>
    </row>
    <row r="63" spans="1:11" s="129" customFormat="1" ht="31.5" hidden="1" x14ac:dyDescent="0.25">
      <c r="A63" s="345" t="s">
        <v>179</v>
      </c>
      <c r="B63" s="591">
        <v>902</v>
      </c>
      <c r="C63" s="346" t="s">
        <v>116</v>
      </c>
      <c r="D63" s="346" t="s">
        <v>139</v>
      </c>
      <c r="E63" s="346" t="s">
        <v>434</v>
      </c>
      <c r="F63" s="346" t="s">
        <v>180</v>
      </c>
      <c r="G63" s="18">
        <f>755-755</f>
        <v>0</v>
      </c>
      <c r="H63" s="532"/>
      <c r="I63" s="532"/>
      <c r="J63" s="302"/>
    </row>
    <row r="64" spans="1:11" ht="15.75" x14ac:dyDescent="0.25">
      <c r="A64" s="345" t="s">
        <v>127</v>
      </c>
      <c r="B64" s="591">
        <v>902</v>
      </c>
      <c r="C64" s="346" t="s">
        <v>116</v>
      </c>
      <c r="D64" s="346" t="s">
        <v>139</v>
      </c>
      <c r="E64" s="346" t="s">
        <v>434</v>
      </c>
      <c r="F64" s="346" t="s">
        <v>134</v>
      </c>
      <c r="G64" s="300">
        <f>G65</f>
        <v>187.5</v>
      </c>
      <c r="H64" s="532"/>
      <c r="I64" s="532"/>
      <c r="J64" s="302"/>
      <c r="K64" s="129"/>
    </row>
    <row r="65" spans="1:11" ht="15.75" x14ac:dyDescent="0.25">
      <c r="A65" s="345" t="s">
        <v>280</v>
      </c>
      <c r="B65" s="591">
        <v>902</v>
      </c>
      <c r="C65" s="346" t="s">
        <v>116</v>
      </c>
      <c r="D65" s="346" t="s">
        <v>139</v>
      </c>
      <c r="E65" s="346" t="s">
        <v>434</v>
      </c>
      <c r="F65" s="346" t="s">
        <v>130</v>
      </c>
      <c r="G65" s="18">
        <f>75+112.5</f>
        <v>187.5</v>
      </c>
      <c r="H65" s="532"/>
      <c r="I65" s="532"/>
      <c r="J65" s="302"/>
      <c r="K65" s="129"/>
    </row>
    <row r="66" spans="1:11" s="129" customFormat="1" ht="31.5" x14ac:dyDescent="0.25">
      <c r="A66" s="345" t="s">
        <v>415</v>
      </c>
      <c r="B66" s="591">
        <v>902</v>
      </c>
      <c r="C66" s="346" t="s">
        <v>116</v>
      </c>
      <c r="D66" s="346" t="s">
        <v>139</v>
      </c>
      <c r="E66" s="346" t="s">
        <v>435</v>
      </c>
      <c r="F66" s="346"/>
      <c r="G66" s="18">
        <f>G67</f>
        <v>3008.05</v>
      </c>
      <c r="H66" s="532"/>
      <c r="I66" s="532"/>
      <c r="J66" s="302"/>
    </row>
    <row r="67" spans="1:11" s="129" customFormat="1" ht="67.7" customHeight="1" x14ac:dyDescent="0.25">
      <c r="A67" s="345" t="s">
        <v>119</v>
      </c>
      <c r="B67" s="591">
        <v>902</v>
      </c>
      <c r="C67" s="346" t="s">
        <v>116</v>
      </c>
      <c r="D67" s="346" t="s">
        <v>139</v>
      </c>
      <c r="E67" s="346" t="s">
        <v>435</v>
      </c>
      <c r="F67" s="346" t="s">
        <v>120</v>
      </c>
      <c r="G67" s="18">
        <f>G68</f>
        <v>3008.05</v>
      </c>
      <c r="H67" s="532"/>
      <c r="I67" s="532"/>
      <c r="J67" s="302"/>
    </row>
    <row r="68" spans="1:11" s="129" customFormat="1" ht="31.5" x14ac:dyDescent="0.25">
      <c r="A68" s="345" t="s">
        <v>121</v>
      </c>
      <c r="B68" s="591">
        <v>902</v>
      </c>
      <c r="C68" s="346" t="s">
        <v>116</v>
      </c>
      <c r="D68" s="346" t="s">
        <v>139</v>
      </c>
      <c r="E68" s="346" t="s">
        <v>435</v>
      </c>
      <c r="F68" s="346" t="s">
        <v>122</v>
      </c>
      <c r="G68" s="18">
        <f>2557.53+450.52</f>
        <v>3008.05</v>
      </c>
      <c r="H68" s="532"/>
      <c r="I68" s="532"/>
      <c r="J68" s="302"/>
    </row>
    <row r="69" spans="1:11" s="129" customFormat="1" ht="31.5" x14ac:dyDescent="0.25">
      <c r="A69" s="345" t="s">
        <v>414</v>
      </c>
      <c r="B69" s="591">
        <v>902</v>
      </c>
      <c r="C69" s="346" t="s">
        <v>116</v>
      </c>
      <c r="D69" s="346" t="s">
        <v>139</v>
      </c>
      <c r="E69" s="346" t="s">
        <v>436</v>
      </c>
      <c r="F69" s="346"/>
      <c r="G69" s="300">
        <f>G70</f>
        <v>797.8</v>
      </c>
      <c r="H69" s="532"/>
      <c r="I69" s="532"/>
      <c r="J69" s="302"/>
    </row>
    <row r="70" spans="1:11" s="129" customFormat="1" ht="63" x14ac:dyDescent="0.25">
      <c r="A70" s="345" t="s">
        <v>119</v>
      </c>
      <c r="B70" s="591">
        <v>902</v>
      </c>
      <c r="C70" s="346" t="s">
        <v>116</v>
      </c>
      <c r="D70" s="346" t="s">
        <v>139</v>
      </c>
      <c r="E70" s="346" t="s">
        <v>436</v>
      </c>
      <c r="F70" s="346" t="s">
        <v>120</v>
      </c>
      <c r="G70" s="300">
        <f>G71</f>
        <v>797.8</v>
      </c>
      <c r="H70" s="532"/>
      <c r="I70" s="532"/>
      <c r="J70" s="302"/>
    </row>
    <row r="71" spans="1:11" s="129" customFormat="1" ht="31.5" x14ac:dyDescent="0.25">
      <c r="A71" s="345" t="s">
        <v>121</v>
      </c>
      <c r="B71" s="591">
        <v>902</v>
      </c>
      <c r="C71" s="346" t="s">
        <v>116</v>
      </c>
      <c r="D71" s="346" t="s">
        <v>139</v>
      </c>
      <c r="E71" s="346" t="s">
        <v>436</v>
      </c>
      <c r="F71" s="346" t="s">
        <v>122</v>
      </c>
      <c r="G71" s="300">
        <f>1591-713.2-80</f>
        <v>797.8</v>
      </c>
      <c r="H71" s="530"/>
      <c r="I71" s="530"/>
      <c r="J71" s="302"/>
      <c r="K71" s="320"/>
    </row>
    <row r="72" spans="1:11" s="129" customFormat="1" ht="31.5" x14ac:dyDescent="0.25">
      <c r="A72" s="298" t="s">
        <v>458</v>
      </c>
      <c r="B72" s="296">
        <v>902</v>
      </c>
      <c r="C72" s="299" t="s">
        <v>116</v>
      </c>
      <c r="D72" s="299" t="s">
        <v>139</v>
      </c>
      <c r="E72" s="299" t="s">
        <v>437</v>
      </c>
      <c r="F72" s="299"/>
      <c r="G72" s="297">
        <f>G73+G76+G81+G86</f>
        <v>3670.2000000000003</v>
      </c>
      <c r="H72" s="532"/>
      <c r="I72" s="532"/>
      <c r="J72" s="302"/>
    </row>
    <row r="73" spans="1:11" s="129" customFormat="1" ht="35.450000000000003" hidden="1" customHeight="1" x14ac:dyDescent="0.25">
      <c r="A73" s="345" t="s">
        <v>356</v>
      </c>
      <c r="B73" s="591">
        <v>902</v>
      </c>
      <c r="C73" s="346" t="s">
        <v>116</v>
      </c>
      <c r="D73" s="346" t="s">
        <v>139</v>
      </c>
      <c r="E73" s="346" t="s">
        <v>488</v>
      </c>
      <c r="F73" s="299"/>
      <c r="G73" s="300">
        <f>G74</f>
        <v>0</v>
      </c>
      <c r="H73" s="532"/>
      <c r="I73" s="532"/>
      <c r="J73" s="302"/>
    </row>
    <row r="74" spans="1:11" s="129" customFormat="1" ht="31.5" hidden="1" x14ac:dyDescent="0.25">
      <c r="A74" s="345" t="s">
        <v>123</v>
      </c>
      <c r="B74" s="591">
        <v>902</v>
      </c>
      <c r="C74" s="346" t="s">
        <v>116</v>
      </c>
      <c r="D74" s="346" t="s">
        <v>139</v>
      </c>
      <c r="E74" s="346" t="s">
        <v>488</v>
      </c>
      <c r="F74" s="346" t="s">
        <v>124</v>
      </c>
      <c r="G74" s="300">
        <f>G75</f>
        <v>0</v>
      </c>
      <c r="H74" s="532"/>
      <c r="I74" s="532"/>
      <c r="J74" s="302"/>
    </row>
    <row r="75" spans="1:11" s="129" customFormat="1" ht="31.5" hidden="1" x14ac:dyDescent="0.25">
      <c r="A75" s="345" t="s">
        <v>125</v>
      </c>
      <c r="B75" s="591">
        <v>902</v>
      </c>
      <c r="C75" s="346" t="s">
        <v>116</v>
      </c>
      <c r="D75" s="346" t="s">
        <v>139</v>
      </c>
      <c r="E75" s="346" t="s">
        <v>488</v>
      </c>
      <c r="F75" s="346" t="s">
        <v>126</v>
      </c>
      <c r="G75" s="300">
        <v>0</v>
      </c>
      <c r="H75" s="532"/>
      <c r="I75" s="532"/>
      <c r="J75" s="302"/>
    </row>
    <row r="76" spans="1:11" s="129" customFormat="1" ht="47.25" x14ac:dyDescent="0.25">
      <c r="A76" s="22" t="s">
        <v>150</v>
      </c>
      <c r="B76" s="591">
        <v>902</v>
      </c>
      <c r="C76" s="346" t="s">
        <v>116</v>
      </c>
      <c r="D76" s="346" t="s">
        <v>139</v>
      </c>
      <c r="E76" s="346" t="s">
        <v>489</v>
      </c>
      <c r="F76" s="346"/>
      <c r="G76" s="300">
        <f>G77+G79</f>
        <v>671</v>
      </c>
      <c r="H76" s="532"/>
      <c r="I76" s="532"/>
      <c r="J76" s="302"/>
    </row>
    <row r="77" spans="1:11" s="129" customFormat="1" ht="63" x14ac:dyDescent="0.25">
      <c r="A77" s="345" t="s">
        <v>119</v>
      </c>
      <c r="B77" s="591">
        <v>902</v>
      </c>
      <c r="C77" s="346" t="s">
        <v>116</v>
      </c>
      <c r="D77" s="346" t="s">
        <v>139</v>
      </c>
      <c r="E77" s="346" t="s">
        <v>489</v>
      </c>
      <c r="F77" s="346" t="s">
        <v>120</v>
      </c>
      <c r="G77" s="300">
        <f>G78</f>
        <v>671</v>
      </c>
      <c r="H77" s="532"/>
      <c r="I77" s="532"/>
      <c r="J77" s="302"/>
    </row>
    <row r="78" spans="1:11" s="129" customFormat="1" ht="31.5" x14ac:dyDescent="0.25">
      <c r="A78" s="345" t="s">
        <v>121</v>
      </c>
      <c r="B78" s="591">
        <v>902</v>
      </c>
      <c r="C78" s="346" t="s">
        <v>116</v>
      </c>
      <c r="D78" s="346" t="s">
        <v>139</v>
      </c>
      <c r="E78" s="346" t="s">
        <v>489</v>
      </c>
      <c r="F78" s="346" t="s">
        <v>122</v>
      </c>
      <c r="G78" s="300">
        <v>671</v>
      </c>
      <c r="H78" s="532"/>
      <c r="I78" s="532"/>
      <c r="J78" s="302"/>
    </row>
    <row r="79" spans="1:11" s="129" customFormat="1" ht="31.5" hidden="1" x14ac:dyDescent="0.25">
      <c r="A79" s="345" t="s">
        <v>123</v>
      </c>
      <c r="B79" s="591">
        <v>902</v>
      </c>
      <c r="C79" s="346" t="s">
        <v>116</v>
      </c>
      <c r="D79" s="346" t="s">
        <v>139</v>
      </c>
      <c r="E79" s="346" t="s">
        <v>489</v>
      </c>
      <c r="F79" s="346" t="s">
        <v>124</v>
      </c>
      <c r="G79" s="300">
        <f>G80</f>
        <v>0</v>
      </c>
      <c r="H79" s="532"/>
      <c r="I79" s="532"/>
      <c r="J79" s="302"/>
    </row>
    <row r="80" spans="1:11" s="129" customFormat="1" ht="31.5" hidden="1" x14ac:dyDescent="0.25">
      <c r="A80" s="345" t="s">
        <v>125</v>
      </c>
      <c r="B80" s="591">
        <v>902</v>
      </c>
      <c r="C80" s="346" t="s">
        <v>116</v>
      </c>
      <c r="D80" s="346" t="s">
        <v>139</v>
      </c>
      <c r="E80" s="346" t="s">
        <v>489</v>
      </c>
      <c r="F80" s="346" t="s">
        <v>126</v>
      </c>
      <c r="G80" s="300">
        <v>0</v>
      </c>
      <c r="H80" s="532"/>
      <c r="I80" s="532"/>
      <c r="J80" s="302"/>
    </row>
    <row r="81" spans="1:10" s="129" customFormat="1" ht="31.5" x14ac:dyDescent="0.25">
      <c r="A81" s="22" t="s">
        <v>152</v>
      </c>
      <c r="B81" s="591">
        <v>902</v>
      </c>
      <c r="C81" s="346" t="s">
        <v>116</v>
      </c>
      <c r="D81" s="346" t="s">
        <v>139</v>
      </c>
      <c r="E81" s="346" t="s">
        <v>490</v>
      </c>
      <c r="F81" s="346"/>
      <c r="G81" s="300">
        <f>G82+G84</f>
        <v>1420.8</v>
      </c>
      <c r="H81" s="532"/>
      <c r="I81" s="532"/>
      <c r="J81" s="302"/>
    </row>
    <row r="82" spans="1:10" s="129" customFormat="1" ht="63" x14ac:dyDescent="0.25">
      <c r="A82" s="345" t="s">
        <v>119</v>
      </c>
      <c r="B82" s="591">
        <v>902</v>
      </c>
      <c r="C82" s="346" t="s">
        <v>116</v>
      </c>
      <c r="D82" s="346" t="s">
        <v>139</v>
      </c>
      <c r="E82" s="346" t="s">
        <v>490</v>
      </c>
      <c r="F82" s="346" t="s">
        <v>120</v>
      </c>
      <c r="G82" s="300">
        <f>G83</f>
        <v>1336.6</v>
      </c>
      <c r="H82" s="532"/>
      <c r="I82" s="532"/>
      <c r="J82" s="302"/>
    </row>
    <row r="83" spans="1:10" s="129" customFormat="1" ht="31.5" x14ac:dyDescent="0.25">
      <c r="A83" s="345" t="s">
        <v>121</v>
      </c>
      <c r="B83" s="591">
        <v>902</v>
      </c>
      <c r="C83" s="346" t="s">
        <v>116</v>
      </c>
      <c r="D83" s="346" t="s">
        <v>139</v>
      </c>
      <c r="E83" s="346" t="s">
        <v>490</v>
      </c>
      <c r="F83" s="346" t="s">
        <v>122</v>
      </c>
      <c r="G83" s="300">
        <f>1336.5+0.1</f>
        <v>1336.6</v>
      </c>
      <c r="H83" s="532"/>
      <c r="I83" s="532"/>
      <c r="J83" s="302"/>
    </row>
    <row r="84" spans="1:10" s="129" customFormat="1" ht="31.5" x14ac:dyDescent="0.25">
      <c r="A84" s="345" t="s">
        <v>153</v>
      </c>
      <c r="B84" s="591">
        <v>902</v>
      </c>
      <c r="C84" s="346" t="s">
        <v>116</v>
      </c>
      <c r="D84" s="346" t="s">
        <v>139</v>
      </c>
      <c r="E84" s="346" t="s">
        <v>490</v>
      </c>
      <c r="F84" s="346" t="s">
        <v>124</v>
      </c>
      <c r="G84" s="300">
        <f>G85</f>
        <v>84.2</v>
      </c>
      <c r="H84" s="532"/>
      <c r="I84" s="532"/>
      <c r="J84" s="302"/>
    </row>
    <row r="85" spans="1:10" s="129" customFormat="1" ht="31.5" x14ac:dyDescent="0.25">
      <c r="A85" s="345" t="s">
        <v>125</v>
      </c>
      <c r="B85" s="591">
        <v>902</v>
      </c>
      <c r="C85" s="346" t="s">
        <v>116</v>
      </c>
      <c r="D85" s="346" t="s">
        <v>139</v>
      </c>
      <c r="E85" s="346" t="s">
        <v>490</v>
      </c>
      <c r="F85" s="346" t="s">
        <v>126</v>
      </c>
      <c r="G85" s="300">
        <f>84.3-0.1</f>
        <v>84.2</v>
      </c>
      <c r="H85" s="532"/>
      <c r="I85" s="532"/>
      <c r="J85" s="302"/>
    </row>
    <row r="86" spans="1:10" s="344" customFormat="1" ht="31.5" x14ac:dyDescent="0.25">
      <c r="A86" s="345" t="s">
        <v>1165</v>
      </c>
      <c r="B86" s="591">
        <v>902</v>
      </c>
      <c r="C86" s="346" t="s">
        <v>116</v>
      </c>
      <c r="D86" s="346" t="s">
        <v>139</v>
      </c>
      <c r="E86" s="346" t="s">
        <v>1174</v>
      </c>
      <c r="F86" s="346"/>
      <c r="G86" s="300">
        <f>G87+G89</f>
        <v>1578.4</v>
      </c>
      <c r="H86" s="532"/>
      <c r="I86" s="532"/>
      <c r="J86" s="302"/>
    </row>
    <row r="87" spans="1:10" s="344" customFormat="1" ht="63" x14ac:dyDescent="0.25">
      <c r="A87" s="345" t="s">
        <v>119</v>
      </c>
      <c r="B87" s="591">
        <v>902</v>
      </c>
      <c r="C87" s="346" t="s">
        <v>116</v>
      </c>
      <c r="D87" s="346" t="s">
        <v>139</v>
      </c>
      <c r="E87" s="346" t="s">
        <v>1174</v>
      </c>
      <c r="F87" s="346" t="s">
        <v>120</v>
      </c>
      <c r="G87" s="300">
        <f>G88</f>
        <v>1500.6000000000001</v>
      </c>
      <c r="H87" s="532"/>
      <c r="I87" s="532"/>
      <c r="J87" s="302"/>
    </row>
    <row r="88" spans="1:10" s="344" customFormat="1" ht="31.5" x14ac:dyDescent="0.25">
      <c r="A88" s="345" t="s">
        <v>121</v>
      </c>
      <c r="B88" s="591">
        <v>902</v>
      </c>
      <c r="C88" s="346" t="s">
        <v>116</v>
      </c>
      <c r="D88" s="346" t="s">
        <v>139</v>
      </c>
      <c r="E88" s="346" t="s">
        <v>1174</v>
      </c>
      <c r="F88" s="346" t="s">
        <v>122</v>
      </c>
      <c r="G88" s="300">
        <f>1500.7-0.1</f>
        <v>1500.6000000000001</v>
      </c>
      <c r="H88" s="532"/>
      <c r="I88" s="532"/>
      <c r="J88" s="302"/>
    </row>
    <row r="89" spans="1:10" s="344" customFormat="1" ht="31.5" x14ac:dyDescent="0.25">
      <c r="A89" s="345" t="s">
        <v>123</v>
      </c>
      <c r="B89" s="591">
        <v>902</v>
      </c>
      <c r="C89" s="346" t="s">
        <v>116</v>
      </c>
      <c r="D89" s="346" t="s">
        <v>139</v>
      </c>
      <c r="E89" s="346" t="s">
        <v>1174</v>
      </c>
      <c r="F89" s="346" t="s">
        <v>124</v>
      </c>
      <c r="G89" s="300">
        <f>G90</f>
        <v>77.8</v>
      </c>
      <c r="H89" s="532"/>
      <c r="I89" s="532"/>
      <c r="J89" s="302"/>
    </row>
    <row r="90" spans="1:10" s="344" customFormat="1" ht="31.5" x14ac:dyDescent="0.25">
      <c r="A90" s="345" t="s">
        <v>125</v>
      </c>
      <c r="B90" s="591">
        <v>902</v>
      </c>
      <c r="C90" s="346" t="s">
        <v>116</v>
      </c>
      <c r="D90" s="346" t="s">
        <v>139</v>
      </c>
      <c r="E90" s="346" t="s">
        <v>1174</v>
      </c>
      <c r="F90" s="346" t="s">
        <v>126</v>
      </c>
      <c r="G90" s="300">
        <v>77.8</v>
      </c>
      <c r="H90" s="532"/>
      <c r="I90" s="532"/>
      <c r="J90" s="302"/>
    </row>
    <row r="91" spans="1:10" s="129" customFormat="1" ht="31.5" x14ac:dyDescent="0.25">
      <c r="A91" s="298" t="s">
        <v>842</v>
      </c>
      <c r="B91" s="296">
        <v>902</v>
      </c>
      <c r="C91" s="299" t="s">
        <v>116</v>
      </c>
      <c r="D91" s="299" t="s">
        <v>139</v>
      </c>
      <c r="E91" s="299" t="s">
        <v>143</v>
      </c>
      <c r="F91" s="299"/>
      <c r="G91" s="297">
        <f>G92+G96+G105</f>
        <v>563.70000000000005</v>
      </c>
      <c r="H91" s="532"/>
      <c r="I91" s="532"/>
      <c r="J91" s="302"/>
    </row>
    <row r="92" spans="1:10" s="129" customFormat="1" ht="63" x14ac:dyDescent="0.25">
      <c r="A92" s="196" t="s">
        <v>843</v>
      </c>
      <c r="B92" s="296">
        <v>902</v>
      </c>
      <c r="C92" s="299" t="s">
        <v>116</v>
      </c>
      <c r="D92" s="299" t="s">
        <v>139</v>
      </c>
      <c r="E92" s="6" t="s">
        <v>423</v>
      </c>
      <c r="F92" s="299"/>
      <c r="G92" s="297">
        <f t="shared" ref="G92:G94" si="2">G93</f>
        <v>450</v>
      </c>
      <c r="H92" s="532"/>
      <c r="I92" s="532"/>
      <c r="J92" s="302"/>
    </row>
    <row r="93" spans="1:10" s="129" customFormat="1" ht="47.25" x14ac:dyDescent="0.25">
      <c r="A93" s="20" t="s">
        <v>821</v>
      </c>
      <c r="B93" s="591">
        <v>902</v>
      </c>
      <c r="C93" s="346" t="s">
        <v>116</v>
      </c>
      <c r="D93" s="346" t="s">
        <v>139</v>
      </c>
      <c r="E93" s="341" t="s">
        <v>416</v>
      </c>
      <c r="F93" s="346"/>
      <c r="G93" s="300">
        <f t="shared" si="2"/>
        <v>450</v>
      </c>
      <c r="H93" s="532"/>
      <c r="I93" s="532"/>
      <c r="J93" s="302"/>
    </row>
    <row r="94" spans="1:10" s="129" customFormat="1" ht="31.5" x14ac:dyDescent="0.25">
      <c r="A94" s="345" t="s">
        <v>123</v>
      </c>
      <c r="B94" s="591">
        <v>902</v>
      </c>
      <c r="C94" s="346" t="s">
        <v>116</v>
      </c>
      <c r="D94" s="346" t="s">
        <v>139</v>
      </c>
      <c r="E94" s="341" t="s">
        <v>416</v>
      </c>
      <c r="F94" s="346" t="s">
        <v>124</v>
      </c>
      <c r="G94" s="300">
        <f t="shared" si="2"/>
        <v>450</v>
      </c>
      <c r="H94" s="532"/>
      <c r="I94" s="532"/>
      <c r="J94" s="302"/>
    </row>
    <row r="95" spans="1:10" s="129" customFormat="1" ht="31.5" x14ac:dyDescent="0.25">
      <c r="A95" s="345" t="s">
        <v>125</v>
      </c>
      <c r="B95" s="591">
        <v>902</v>
      </c>
      <c r="C95" s="346" t="s">
        <v>116</v>
      </c>
      <c r="D95" s="346" t="s">
        <v>139</v>
      </c>
      <c r="E95" s="341" t="s">
        <v>416</v>
      </c>
      <c r="F95" s="346" t="s">
        <v>126</v>
      </c>
      <c r="G95" s="300">
        <f>526-76</f>
        <v>450</v>
      </c>
      <c r="H95" s="532"/>
      <c r="I95" s="532"/>
      <c r="J95" s="302"/>
    </row>
    <row r="96" spans="1:10" s="129" customFormat="1" ht="69.75" customHeight="1" x14ac:dyDescent="0.25">
      <c r="A96" s="137" t="s">
        <v>844</v>
      </c>
      <c r="B96" s="592">
        <v>902</v>
      </c>
      <c r="C96" s="299" t="s">
        <v>116</v>
      </c>
      <c r="D96" s="299" t="s">
        <v>139</v>
      </c>
      <c r="E96" s="6" t="s">
        <v>424</v>
      </c>
      <c r="F96" s="299"/>
      <c r="G96" s="297">
        <f>G97+G102</f>
        <v>113.2</v>
      </c>
      <c r="H96" s="532"/>
      <c r="I96" s="532"/>
      <c r="J96" s="302"/>
    </row>
    <row r="97" spans="1:11" s="129" customFormat="1" ht="47.25" x14ac:dyDescent="0.25">
      <c r="A97" s="100" t="s">
        <v>144</v>
      </c>
      <c r="B97" s="591">
        <v>902</v>
      </c>
      <c r="C97" s="346" t="s">
        <v>116</v>
      </c>
      <c r="D97" s="346" t="s">
        <v>139</v>
      </c>
      <c r="E97" s="341" t="s">
        <v>417</v>
      </c>
      <c r="F97" s="346"/>
      <c r="G97" s="300">
        <f>G98+G100</f>
        <v>113.2</v>
      </c>
      <c r="H97" s="532"/>
      <c r="I97" s="532"/>
      <c r="J97" s="302"/>
    </row>
    <row r="98" spans="1:11" s="129" customFormat="1" ht="63" x14ac:dyDescent="0.25">
      <c r="A98" s="345" t="s">
        <v>119</v>
      </c>
      <c r="B98" s="591">
        <v>902</v>
      </c>
      <c r="C98" s="346" t="s">
        <v>116</v>
      </c>
      <c r="D98" s="346" t="s">
        <v>139</v>
      </c>
      <c r="E98" s="341" t="s">
        <v>417</v>
      </c>
      <c r="F98" s="346" t="s">
        <v>120</v>
      </c>
      <c r="G98" s="300">
        <f>G99</f>
        <v>37.200000000000003</v>
      </c>
      <c r="H98" s="532"/>
      <c r="I98" s="532"/>
      <c r="J98" s="302"/>
    </row>
    <row r="99" spans="1:11" s="129" customFormat="1" ht="31.5" x14ac:dyDescent="0.25">
      <c r="A99" s="345" t="s">
        <v>121</v>
      </c>
      <c r="B99" s="591">
        <v>902</v>
      </c>
      <c r="C99" s="346" t="s">
        <v>116</v>
      </c>
      <c r="D99" s="346" t="s">
        <v>139</v>
      </c>
      <c r="E99" s="341" t="s">
        <v>417</v>
      </c>
      <c r="F99" s="346" t="s">
        <v>122</v>
      </c>
      <c r="G99" s="300">
        <v>37.200000000000003</v>
      </c>
      <c r="H99" s="532"/>
      <c r="I99" s="532"/>
      <c r="J99" s="302"/>
    </row>
    <row r="100" spans="1:11" s="129" customFormat="1" ht="31.5" x14ac:dyDescent="0.25">
      <c r="A100" s="345" t="s">
        <v>123</v>
      </c>
      <c r="B100" s="591">
        <v>902</v>
      </c>
      <c r="C100" s="346" t="s">
        <v>116</v>
      </c>
      <c r="D100" s="346" t="s">
        <v>139</v>
      </c>
      <c r="E100" s="341" t="s">
        <v>417</v>
      </c>
      <c r="F100" s="346" t="s">
        <v>124</v>
      </c>
      <c r="G100" s="300">
        <f>G101</f>
        <v>76</v>
      </c>
      <c r="H100" s="532"/>
      <c r="I100" s="532"/>
      <c r="J100" s="302"/>
    </row>
    <row r="101" spans="1:11" s="129" customFormat="1" ht="31.5" x14ac:dyDescent="0.25">
      <c r="A101" s="345" t="s">
        <v>125</v>
      </c>
      <c r="B101" s="591">
        <v>902</v>
      </c>
      <c r="C101" s="346" t="s">
        <v>116</v>
      </c>
      <c r="D101" s="346" t="s">
        <v>139</v>
      </c>
      <c r="E101" s="341" t="s">
        <v>417</v>
      </c>
      <c r="F101" s="346" t="s">
        <v>126</v>
      </c>
      <c r="G101" s="300">
        <f>39.8+36.2</f>
        <v>76</v>
      </c>
      <c r="H101" s="532"/>
      <c r="I101" s="532"/>
      <c r="J101" s="302"/>
    </row>
    <row r="102" spans="1:11" s="129" customFormat="1" ht="47.25" hidden="1" x14ac:dyDescent="0.25">
      <c r="A102" s="22" t="s">
        <v>646</v>
      </c>
      <c r="B102" s="591">
        <v>902</v>
      </c>
      <c r="C102" s="346" t="s">
        <v>116</v>
      </c>
      <c r="D102" s="346" t="s">
        <v>139</v>
      </c>
      <c r="E102" s="341" t="s">
        <v>554</v>
      </c>
      <c r="F102" s="346"/>
      <c r="G102" s="300">
        <f>G103</f>
        <v>0</v>
      </c>
      <c r="H102" s="532"/>
      <c r="I102" s="532"/>
      <c r="J102" s="302"/>
    </row>
    <row r="103" spans="1:11" s="129" customFormat="1" ht="31.5" hidden="1" x14ac:dyDescent="0.25">
      <c r="A103" s="345" t="s">
        <v>123</v>
      </c>
      <c r="B103" s="591">
        <v>902</v>
      </c>
      <c r="C103" s="346" t="s">
        <v>116</v>
      </c>
      <c r="D103" s="346" t="s">
        <v>139</v>
      </c>
      <c r="E103" s="341" t="s">
        <v>554</v>
      </c>
      <c r="F103" s="346" t="s">
        <v>124</v>
      </c>
      <c r="G103" s="300">
        <f>G104</f>
        <v>0</v>
      </c>
      <c r="H103" s="532"/>
      <c r="I103" s="532"/>
      <c r="J103" s="302"/>
    </row>
    <row r="104" spans="1:11" s="129" customFormat="1" ht="31.5" hidden="1" x14ac:dyDescent="0.25">
      <c r="A104" s="345" t="s">
        <v>125</v>
      </c>
      <c r="B104" s="591">
        <v>902</v>
      </c>
      <c r="C104" s="346" t="s">
        <v>116</v>
      </c>
      <c r="D104" s="346" t="s">
        <v>139</v>
      </c>
      <c r="E104" s="341" t="s">
        <v>335</v>
      </c>
      <c r="F104" s="346" t="s">
        <v>126</v>
      </c>
      <c r="G104" s="300">
        <v>0</v>
      </c>
      <c r="H104" s="532"/>
      <c r="I104" s="532"/>
      <c r="J104" s="302"/>
    </row>
    <row r="105" spans="1:11" s="129" customFormat="1" ht="51" customHeight="1" x14ac:dyDescent="0.25">
      <c r="A105" s="142" t="s">
        <v>564</v>
      </c>
      <c r="B105" s="296">
        <v>902</v>
      </c>
      <c r="C105" s="299" t="s">
        <v>116</v>
      </c>
      <c r="D105" s="299" t="s">
        <v>139</v>
      </c>
      <c r="E105" s="6" t="s">
        <v>425</v>
      </c>
      <c r="F105" s="299"/>
      <c r="G105" s="297">
        <f>G106</f>
        <v>0.5</v>
      </c>
      <c r="H105" s="532"/>
      <c r="I105" s="532"/>
      <c r="J105" s="302"/>
    </row>
    <row r="106" spans="1:11" s="129" customFormat="1" ht="31.5" x14ac:dyDescent="0.25">
      <c r="A106" s="23" t="s">
        <v>151</v>
      </c>
      <c r="B106" s="591">
        <v>902</v>
      </c>
      <c r="C106" s="346" t="s">
        <v>116</v>
      </c>
      <c r="D106" s="346" t="s">
        <v>139</v>
      </c>
      <c r="E106" s="341" t="s">
        <v>419</v>
      </c>
      <c r="F106" s="346"/>
      <c r="G106" s="300">
        <f>G107</f>
        <v>0.5</v>
      </c>
      <c r="H106" s="532"/>
      <c r="I106" s="532"/>
      <c r="J106" s="302"/>
    </row>
    <row r="107" spans="1:11" s="129" customFormat="1" ht="31.5" x14ac:dyDescent="0.25">
      <c r="A107" s="345" t="s">
        <v>123</v>
      </c>
      <c r="B107" s="591">
        <v>902</v>
      </c>
      <c r="C107" s="346" t="s">
        <v>116</v>
      </c>
      <c r="D107" s="346" t="s">
        <v>139</v>
      </c>
      <c r="E107" s="341" t="s">
        <v>419</v>
      </c>
      <c r="F107" s="346" t="s">
        <v>124</v>
      </c>
      <c r="G107" s="300">
        <f>G108</f>
        <v>0.5</v>
      </c>
      <c r="H107" s="532"/>
      <c r="I107" s="532"/>
      <c r="J107" s="302"/>
    </row>
    <row r="108" spans="1:11" s="129" customFormat="1" ht="31.5" x14ac:dyDescent="0.25">
      <c r="A108" s="345" t="s">
        <v>125</v>
      </c>
      <c r="B108" s="591">
        <v>902</v>
      </c>
      <c r="C108" s="346" t="s">
        <v>116</v>
      </c>
      <c r="D108" s="346" t="s">
        <v>139</v>
      </c>
      <c r="E108" s="341" t="s">
        <v>419</v>
      </c>
      <c r="F108" s="346" t="s">
        <v>126</v>
      </c>
      <c r="G108" s="300">
        <v>0.5</v>
      </c>
      <c r="H108" s="532"/>
      <c r="I108" s="532"/>
      <c r="J108" s="302"/>
    </row>
    <row r="109" spans="1:11" ht="47.25" x14ac:dyDescent="0.25">
      <c r="A109" s="298" t="s">
        <v>117</v>
      </c>
      <c r="B109" s="296">
        <v>902</v>
      </c>
      <c r="C109" s="299" t="s">
        <v>116</v>
      </c>
      <c r="D109" s="299" t="s">
        <v>118</v>
      </c>
      <c r="E109" s="299"/>
      <c r="F109" s="346"/>
      <c r="G109" s="297">
        <f>G110</f>
        <v>1771</v>
      </c>
      <c r="H109" s="532"/>
      <c r="I109" s="532"/>
      <c r="J109" s="302"/>
      <c r="K109" s="129"/>
    </row>
    <row r="110" spans="1:11" ht="39.200000000000003" customHeight="1" x14ac:dyDescent="0.25">
      <c r="A110" s="298" t="s">
        <v>486</v>
      </c>
      <c r="B110" s="296">
        <v>902</v>
      </c>
      <c r="C110" s="299" t="s">
        <v>116</v>
      </c>
      <c r="D110" s="299" t="s">
        <v>118</v>
      </c>
      <c r="E110" s="299" t="s">
        <v>432</v>
      </c>
      <c r="F110" s="299"/>
      <c r="G110" s="297">
        <f>G111</f>
        <v>1771</v>
      </c>
      <c r="H110" s="532"/>
      <c r="I110" s="532"/>
      <c r="J110" s="302"/>
      <c r="K110" s="129"/>
    </row>
    <row r="111" spans="1:11" ht="15.75" x14ac:dyDescent="0.25">
      <c r="A111" s="298" t="s">
        <v>487</v>
      </c>
      <c r="B111" s="296">
        <v>902</v>
      </c>
      <c r="C111" s="299" t="s">
        <v>116</v>
      </c>
      <c r="D111" s="299" t="s">
        <v>118</v>
      </c>
      <c r="E111" s="299" t="s">
        <v>433</v>
      </c>
      <c r="F111" s="299"/>
      <c r="G111" s="297">
        <f>G112+G115</f>
        <v>1771</v>
      </c>
      <c r="H111" s="532"/>
      <c r="I111" s="532"/>
      <c r="J111" s="302"/>
      <c r="K111" s="129"/>
    </row>
    <row r="112" spans="1:11" ht="31.5" x14ac:dyDescent="0.25">
      <c r="A112" s="345" t="s">
        <v>466</v>
      </c>
      <c r="B112" s="591">
        <v>902</v>
      </c>
      <c r="C112" s="346" t="s">
        <v>116</v>
      </c>
      <c r="D112" s="346" t="s">
        <v>118</v>
      </c>
      <c r="E112" s="346" t="s">
        <v>434</v>
      </c>
      <c r="F112" s="346"/>
      <c r="G112" s="300">
        <f>G113</f>
        <v>1771</v>
      </c>
      <c r="H112" s="532"/>
      <c r="I112" s="532"/>
      <c r="J112" s="302"/>
      <c r="K112" s="129"/>
    </row>
    <row r="113" spans="1:11" ht="63" x14ac:dyDescent="0.25">
      <c r="A113" s="345" t="s">
        <v>119</v>
      </c>
      <c r="B113" s="591">
        <v>902</v>
      </c>
      <c r="C113" s="346" t="s">
        <v>116</v>
      </c>
      <c r="D113" s="346" t="s">
        <v>118</v>
      </c>
      <c r="E113" s="346" t="s">
        <v>434</v>
      </c>
      <c r="F113" s="346" t="s">
        <v>120</v>
      </c>
      <c r="G113" s="300">
        <f>G114</f>
        <v>1771</v>
      </c>
      <c r="H113" s="532"/>
      <c r="I113" s="532"/>
      <c r="J113" s="302"/>
      <c r="K113" s="129"/>
    </row>
    <row r="114" spans="1:11" ht="31.5" x14ac:dyDescent="0.25">
      <c r="A114" s="345" t="s">
        <v>121</v>
      </c>
      <c r="B114" s="591">
        <v>902</v>
      </c>
      <c r="C114" s="346" t="s">
        <v>116</v>
      </c>
      <c r="D114" s="346" t="s">
        <v>118</v>
      </c>
      <c r="E114" s="346" t="s">
        <v>434</v>
      </c>
      <c r="F114" s="346" t="s">
        <v>122</v>
      </c>
      <c r="G114" s="18">
        <f>1352+419</f>
        <v>1771</v>
      </c>
      <c r="H114" s="532"/>
      <c r="I114" s="532"/>
      <c r="J114" s="302"/>
      <c r="K114" s="129"/>
    </row>
    <row r="115" spans="1:11" ht="31.7" hidden="1" customHeight="1" x14ac:dyDescent="0.25">
      <c r="A115" s="345" t="s">
        <v>414</v>
      </c>
      <c r="B115" s="591">
        <v>902</v>
      </c>
      <c r="C115" s="346" t="s">
        <v>116</v>
      </c>
      <c r="D115" s="346" t="s">
        <v>118</v>
      </c>
      <c r="E115" s="346" t="s">
        <v>436</v>
      </c>
      <c r="F115" s="346"/>
      <c r="G115" s="300">
        <f>G116</f>
        <v>0</v>
      </c>
      <c r="H115" s="532"/>
      <c r="I115" s="532"/>
      <c r="J115" s="302"/>
      <c r="K115" s="129"/>
    </row>
    <row r="116" spans="1:11" s="129" customFormat="1" ht="31.7" hidden="1" customHeight="1" x14ac:dyDescent="0.25">
      <c r="A116" s="345" t="s">
        <v>119</v>
      </c>
      <c r="B116" s="591">
        <v>902</v>
      </c>
      <c r="C116" s="346" t="s">
        <v>116</v>
      </c>
      <c r="D116" s="346" t="s">
        <v>118</v>
      </c>
      <c r="E116" s="346" t="s">
        <v>436</v>
      </c>
      <c r="F116" s="346" t="s">
        <v>120</v>
      </c>
      <c r="G116" s="300">
        <f>G117</f>
        <v>0</v>
      </c>
      <c r="H116" s="532"/>
      <c r="I116" s="532"/>
      <c r="J116" s="302"/>
    </row>
    <row r="117" spans="1:11" ht="34.5" hidden="1" customHeight="1" x14ac:dyDescent="0.25">
      <c r="A117" s="345" t="s">
        <v>121</v>
      </c>
      <c r="B117" s="591">
        <v>902</v>
      </c>
      <c r="C117" s="346" t="s">
        <v>116</v>
      </c>
      <c r="D117" s="346" t="s">
        <v>118</v>
      </c>
      <c r="E117" s="346" t="s">
        <v>436</v>
      </c>
      <c r="F117" s="346" t="s">
        <v>122</v>
      </c>
      <c r="G117" s="300"/>
      <c r="H117" s="532"/>
      <c r="I117" s="532"/>
      <c r="J117" s="302"/>
      <c r="K117" s="129"/>
    </row>
    <row r="118" spans="1:11" s="129" customFormat="1" ht="17.45" hidden="1" customHeight="1" x14ac:dyDescent="0.25">
      <c r="A118" s="298" t="s">
        <v>696</v>
      </c>
      <c r="B118" s="296">
        <v>902</v>
      </c>
      <c r="C118" s="299" t="s">
        <v>116</v>
      </c>
      <c r="D118" s="299" t="s">
        <v>187</v>
      </c>
      <c r="E118" s="299"/>
      <c r="F118" s="346"/>
      <c r="G118" s="297">
        <f t="shared" ref="G118:G120" si="3">G119</f>
        <v>0</v>
      </c>
      <c r="H118" s="532"/>
      <c r="I118" s="532"/>
      <c r="J118" s="302"/>
    </row>
    <row r="119" spans="1:11" s="129" customFormat="1" ht="21.75" hidden="1" customHeight="1" x14ac:dyDescent="0.25">
      <c r="A119" s="298" t="s">
        <v>133</v>
      </c>
      <c r="B119" s="296">
        <v>902</v>
      </c>
      <c r="C119" s="299" t="s">
        <v>116</v>
      </c>
      <c r="D119" s="299" t="s">
        <v>187</v>
      </c>
      <c r="E119" s="299" t="s">
        <v>440</v>
      </c>
      <c r="F119" s="346"/>
      <c r="G119" s="297">
        <f t="shared" si="3"/>
        <v>0</v>
      </c>
      <c r="H119" s="532"/>
      <c r="I119" s="532"/>
      <c r="J119" s="302"/>
    </row>
    <row r="120" spans="1:11" s="129" customFormat="1" ht="34.5" hidden="1" customHeight="1" x14ac:dyDescent="0.25">
      <c r="A120" s="298" t="s">
        <v>444</v>
      </c>
      <c r="B120" s="296">
        <v>902</v>
      </c>
      <c r="C120" s="299" t="s">
        <v>116</v>
      </c>
      <c r="D120" s="299" t="s">
        <v>187</v>
      </c>
      <c r="E120" s="299" t="s">
        <v>439</v>
      </c>
      <c r="F120" s="346"/>
      <c r="G120" s="297">
        <f t="shared" si="3"/>
        <v>0</v>
      </c>
      <c r="H120" s="532"/>
      <c r="I120" s="532"/>
      <c r="J120" s="302"/>
    </row>
    <row r="121" spans="1:11" s="129" customFormat="1" ht="18" hidden="1" customHeight="1" x14ac:dyDescent="0.25">
      <c r="A121" s="29" t="s">
        <v>154</v>
      </c>
      <c r="B121" s="591">
        <v>902</v>
      </c>
      <c r="C121" s="346" t="s">
        <v>116</v>
      </c>
      <c r="D121" s="346" t="s">
        <v>187</v>
      </c>
      <c r="E121" s="346" t="s">
        <v>695</v>
      </c>
      <c r="F121" s="346"/>
      <c r="G121" s="300">
        <f>G122+G124</f>
        <v>0</v>
      </c>
      <c r="H121" s="532"/>
      <c r="I121" s="532"/>
      <c r="J121" s="302"/>
    </row>
    <row r="122" spans="1:11" s="129" customFormat="1" ht="69.75" hidden="1" customHeight="1" x14ac:dyDescent="0.25">
      <c r="A122" s="345" t="s">
        <v>119</v>
      </c>
      <c r="B122" s="591">
        <v>902</v>
      </c>
      <c r="C122" s="346" t="s">
        <v>116</v>
      </c>
      <c r="D122" s="346" t="s">
        <v>187</v>
      </c>
      <c r="E122" s="346" t="s">
        <v>695</v>
      </c>
      <c r="F122" s="346" t="s">
        <v>120</v>
      </c>
      <c r="G122" s="300">
        <f>G123</f>
        <v>0</v>
      </c>
      <c r="H122" s="532"/>
      <c r="I122" s="532"/>
      <c r="J122" s="302"/>
    </row>
    <row r="123" spans="1:11" s="129" customFormat="1" ht="34.5" hidden="1" customHeight="1" x14ac:dyDescent="0.25">
      <c r="A123" s="345" t="s">
        <v>121</v>
      </c>
      <c r="B123" s="591">
        <v>902</v>
      </c>
      <c r="C123" s="346" t="s">
        <v>116</v>
      </c>
      <c r="D123" s="346" t="s">
        <v>187</v>
      </c>
      <c r="E123" s="346" t="s">
        <v>695</v>
      </c>
      <c r="F123" s="346" t="s">
        <v>122</v>
      </c>
      <c r="G123" s="300">
        <v>0</v>
      </c>
      <c r="H123" s="532"/>
      <c r="I123" s="532"/>
      <c r="J123" s="302"/>
    </row>
    <row r="124" spans="1:11" s="129" customFormat="1" ht="34.5" hidden="1" customHeight="1" x14ac:dyDescent="0.25">
      <c r="A124" s="345" t="s">
        <v>153</v>
      </c>
      <c r="B124" s="591">
        <v>902</v>
      </c>
      <c r="C124" s="346" t="s">
        <v>116</v>
      </c>
      <c r="D124" s="346" t="s">
        <v>187</v>
      </c>
      <c r="E124" s="346" t="s">
        <v>695</v>
      </c>
      <c r="F124" s="346" t="s">
        <v>124</v>
      </c>
      <c r="G124" s="300">
        <f>G125</f>
        <v>0</v>
      </c>
      <c r="H124" s="532"/>
      <c r="I124" s="532"/>
      <c r="J124" s="302"/>
    </row>
    <row r="125" spans="1:11" s="129" customFormat="1" ht="34.5" hidden="1" customHeight="1" x14ac:dyDescent="0.25">
      <c r="A125" s="345" t="s">
        <v>125</v>
      </c>
      <c r="B125" s="591">
        <v>902</v>
      </c>
      <c r="C125" s="346" t="s">
        <v>116</v>
      </c>
      <c r="D125" s="346" t="s">
        <v>187</v>
      </c>
      <c r="E125" s="346" t="s">
        <v>695</v>
      </c>
      <c r="F125" s="346" t="s">
        <v>126</v>
      </c>
      <c r="G125" s="300">
        <v>0</v>
      </c>
      <c r="H125" s="532"/>
      <c r="I125" s="532"/>
      <c r="J125" s="302"/>
    </row>
    <row r="126" spans="1:11" ht="15.75" x14ac:dyDescent="0.25">
      <c r="A126" s="298" t="s">
        <v>131</v>
      </c>
      <c r="B126" s="296">
        <v>902</v>
      </c>
      <c r="C126" s="299" t="s">
        <v>116</v>
      </c>
      <c r="D126" s="299" t="s">
        <v>132</v>
      </c>
      <c r="E126" s="299"/>
      <c r="F126" s="299"/>
      <c r="G126" s="297">
        <f>G148+G157+G127+G167+G144+G162</f>
        <v>18616.516599999999</v>
      </c>
      <c r="H126" s="533"/>
      <c r="I126" s="533"/>
      <c r="J126" s="302"/>
      <c r="K126" s="129"/>
    </row>
    <row r="127" spans="1:11" s="129" customFormat="1" ht="19.5" customHeight="1" x14ac:dyDescent="0.25">
      <c r="A127" s="298" t="s">
        <v>133</v>
      </c>
      <c r="B127" s="296">
        <v>902</v>
      </c>
      <c r="C127" s="299" t="s">
        <v>116</v>
      </c>
      <c r="D127" s="299" t="s">
        <v>132</v>
      </c>
      <c r="E127" s="299" t="s">
        <v>440</v>
      </c>
      <c r="F127" s="299"/>
      <c r="G127" s="297">
        <f>G135+G128</f>
        <v>18433.316599999998</v>
      </c>
      <c r="H127" s="532"/>
      <c r="I127" s="532"/>
      <c r="J127" s="302"/>
    </row>
    <row r="128" spans="1:11" s="129" customFormat="1" ht="30.6" customHeight="1" x14ac:dyDescent="0.25">
      <c r="A128" s="298" t="s">
        <v>444</v>
      </c>
      <c r="B128" s="296">
        <v>902</v>
      </c>
      <c r="C128" s="299" t="s">
        <v>116</v>
      </c>
      <c r="D128" s="299" t="s">
        <v>132</v>
      </c>
      <c r="E128" s="299" t="s">
        <v>439</v>
      </c>
      <c r="F128" s="299"/>
      <c r="G128" s="297">
        <f t="shared" ref="G128:G130" si="4">G129</f>
        <v>11523.8166</v>
      </c>
      <c r="H128" s="532"/>
      <c r="I128" s="532"/>
      <c r="J128" s="302"/>
    </row>
    <row r="129" spans="1:15" s="129" customFormat="1" ht="19.5" customHeight="1" x14ac:dyDescent="0.25">
      <c r="A129" s="345" t="s">
        <v>154</v>
      </c>
      <c r="B129" s="591">
        <v>902</v>
      </c>
      <c r="C129" s="346" t="s">
        <v>116</v>
      </c>
      <c r="D129" s="346" t="s">
        <v>132</v>
      </c>
      <c r="E129" s="346" t="s">
        <v>695</v>
      </c>
      <c r="F129" s="346"/>
      <c r="G129" s="300">
        <f>G130+G132</f>
        <v>11523.8166</v>
      </c>
      <c r="H129" s="532"/>
      <c r="I129" s="532"/>
      <c r="J129" s="302"/>
    </row>
    <row r="130" spans="1:15" s="129" customFormat="1" ht="31.15" customHeight="1" x14ac:dyDescent="0.25">
      <c r="A130" s="345" t="s">
        <v>153</v>
      </c>
      <c r="B130" s="591">
        <v>902</v>
      </c>
      <c r="C130" s="346" t="s">
        <v>116</v>
      </c>
      <c r="D130" s="346" t="s">
        <v>132</v>
      </c>
      <c r="E130" s="346" t="s">
        <v>695</v>
      </c>
      <c r="F130" s="346" t="s">
        <v>124</v>
      </c>
      <c r="G130" s="300">
        <f t="shared" si="4"/>
        <v>133.9</v>
      </c>
      <c r="H130" s="532"/>
      <c r="I130" s="532"/>
      <c r="J130" s="302"/>
    </row>
    <row r="131" spans="1:15" s="129" customFormat="1" ht="30.6" customHeight="1" x14ac:dyDescent="0.25">
      <c r="A131" s="345" t="s">
        <v>125</v>
      </c>
      <c r="B131" s="591">
        <v>902</v>
      </c>
      <c r="C131" s="346" t="s">
        <v>116</v>
      </c>
      <c r="D131" s="346" t="s">
        <v>132</v>
      </c>
      <c r="E131" s="346" t="s">
        <v>695</v>
      </c>
      <c r="F131" s="346" t="s">
        <v>126</v>
      </c>
      <c r="G131" s="300">
        <v>133.9</v>
      </c>
      <c r="H131" s="532"/>
      <c r="I131" s="532"/>
      <c r="J131" s="302"/>
    </row>
    <row r="132" spans="1:15" s="344" customFormat="1" ht="15.75" x14ac:dyDescent="0.25">
      <c r="A132" s="20" t="s">
        <v>127</v>
      </c>
      <c r="B132" s="591">
        <v>902</v>
      </c>
      <c r="C132" s="346" t="s">
        <v>116</v>
      </c>
      <c r="D132" s="346" t="s">
        <v>132</v>
      </c>
      <c r="E132" s="346" t="s">
        <v>695</v>
      </c>
      <c r="F132" s="346" t="s">
        <v>134</v>
      </c>
      <c r="G132" s="300">
        <f>G133+G134</f>
        <v>11389.9166</v>
      </c>
      <c r="H132" s="532"/>
      <c r="I132" s="532"/>
      <c r="J132" s="302"/>
    </row>
    <row r="133" spans="1:15" s="344" customFormat="1" ht="15.75" x14ac:dyDescent="0.25">
      <c r="A133" s="345" t="s">
        <v>1321</v>
      </c>
      <c r="B133" s="591">
        <v>902</v>
      </c>
      <c r="C133" s="346" t="s">
        <v>116</v>
      </c>
      <c r="D133" s="346" t="s">
        <v>132</v>
      </c>
      <c r="E133" s="346" t="s">
        <v>695</v>
      </c>
      <c r="F133" s="346" t="s">
        <v>136</v>
      </c>
      <c r="G133" s="300">
        <f>4969+6+6408.9166+6</f>
        <v>11389.9166</v>
      </c>
      <c r="H133" s="532"/>
      <c r="I133" s="532"/>
      <c r="J133" s="302"/>
    </row>
    <row r="134" spans="1:15" s="344" customFormat="1" ht="15.75" hidden="1" x14ac:dyDescent="0.25">
      <c r="A134" s="345" t="s">
        <v>280</v>
      </c>
      <c r="B134" s="591">
        <v>902</v>
      </c>
      <c r="C134" s="346" t="s">
        <v>116</v>
      </c>
      <c r="D134" s="346" t="s">
        <v>132</v>
      </c>
      <c r="E134" s="346" t="s">
        <v>695</v>
      </c>
      <c r="F134" s="346" t="s">
        <v>130</v>
      </c>
      <c r="G134" s="300">
        <f>6-6</f>
        <v>0</v>
      </c>
      <c r="H134" s="532"/>
      <c r="I134" s="532"/>
      <c r="J134" s="302"/>
    </row>
    <row r="135" spans="1:15" s="129" customFormat="1" ht="34.5" customHeight="1" x14ac:dyDescent="0.25">
      <c r="A135" s="298" t="s">
        <v>491</v>
      </c>
      <c r="B135" s="296">
        <v>902</v>
      </c>
      <c r="C135" s="299" t="s">
        <v>116</v>
      </c>
      <c r="D135" s="299" t="s">
        <v>132</v>
      </c>
      <c r="E135" s="299" t="s">
        <v>441</v>
      </c>
      <c r="F135" s="299"/>
      <c r="G135" s="297">
        <f>G136+G141</f>
        <v>6909.5</v>
      </c>
      <c r="H135" s="532"/>
      <c r="I135" s="532"/>
      <c r="J135" s="302"/>
    </row>
    <row r="136" spans="1:15" s="129" customFormat="1" ht="21.75" customHeight="1" x14ac:dyDescent="0.25">
      <c r="A136" s="345" t="s">
        <v>497</v>
      </c>
      <c r="B136" s="591">
        <v>902</v>
      </c>
      <c r="C136" s="346" t="s">
        <v>116</v>
      </c>
      <c r="D136" s="346" t="s">
        <v>132</v>
      </c>
      <c r="E136" s="346" t="s">
        <v>442</v>
      </c>
      <c r="F136" s="346"/>
      <c r="G136" s="300">
        <f>G137+G139</f>
        <v>6893</v>
      </c>
      <c r="H136" s="532"/>
      <c r="I136" s="532"/>
      <c r="J136" s="302"/>
    </row>
    <row r="137" spans="1:15" s="129" customFormat="1" ht="66.75" customHeight="1" x14ac:dyDescent="0.25">
      <c r="A137" s="345" t="s">
        <v>119</v>
      </c>
      <c r="B137" s="591">
        <v>902</v>
      </c>
      <c r="C137" s="346" t="s">
        <v>116</v>
      </c>
      <c r="D137" s="346" t="s">
        <v>132</v>
      </c>
      <c r="E137" s="346" t="s">
        <v>442</v>
      </c>
      <c r="F137" s="346" t="s">
        <v>120</v>
      </c>
      <c r="G137" s="300">
        <f>G138</f>
        <v>5483.7</v>
      </c>
      <c r="H137" s="532"/>
      <c r="I137" s="532"/>
      <c r="J137" s="302"/>
    </row>
    <row r="138" spans="1:15" s="129" customFormat="1" ht="30.75" customHeight="1" x14ac:dyDescent="0.25">
      <c r="A138" s="345" t="s">
        <v>121</v>
      </c>
      <c r="B138" s="591">
        <v>902</v>
      </c>
      <c r="C138" s="346" t="s">
        <v>116</v>
      </c>
      <c r="D138" s="346" t="s">
        <v>132</v>
      </c>
      <c r="E138" s="346" t="s">
        <v>442</v>
      </c>
      <c r="F138" s="346" t="s">
        <v>122</v>
      </c>
      <c r="G138" s="18">
        <f>4548.4+935.3</f>
        <v>5483.7</v>
      </c>
      <c r="H138" s="532"/>
      <c r="I138" s="532"/>
      <c r="J138" s="302"/>
    </row>
    <row r="139" spans="1:15" s="129" customFormat="1" ht="39.200000000000003" customHeight="1" x14ac:dyDescent="0.25">
      <c r="A139" s="345" t="s">
        <v>153</v>
      </c>
      <c r="B139" s="591">
        <v>902</v>
      </c>
      <c r="C139" s="346" t="s">
        <v>116</v>
      </c>
      <c r="D139" s="346" t="s">
        <v>132</v>
      </c>
      <c r="E139" s="346" t="s">
        <v>442</v>
      </c>
      <c r="F139" s="346" t="s">
        <v>124</v>
      </c>
      <c r="G139" s="300">
        <f>G140</f>
        <v>1409.3</v>
      </c>
      <c r="H139" s="532"/>
      <c r="I139" s="532"/>
      <c r="J139" s="302"/>
    </row>
    <row r="140" spans="1:15" s="129" customFormat="1" ht="39.200000000000003" customHeight="1" x14ac:dyDescent="0.25">
      <c r="A140" s="345" t="s">
        <v>125</v>
      </c>
      <c r="B140" s="591">
        <v>902</v>
      </c>
      <c r="C140" s="346" t="s">
        <v>116</v>
      </c>
      <c r="D140" s="346" t="s">
        <v>132</v>
      </c>
      <c r="E140" s="346" t="s">
        <v>442</v>
      </c>
      <c r="F140" s="346" t="s">
        <v>126</v>
      </c>
      <c r="G140" s="18">
        <f>1349.3+60</f>
        <v>1409.3</v>
      </c>
      <c r="H140" s="532"/>
      <c r="I140" s="532"/>
      <c r="J140" s="302"/>
    </row>
    <row r="141" spans="1:15" s="129" customFormat="1" ht="28.5" customHeight="1" x14ac:dyDescent="0.25">
      <c r="A141" s="345" t="s">
        <v>414</v>
      </c>
      <c r="B141" s="591">
        <v>902</v>
      </c>
      <c r="C141" s="346" t="s">
        <v>116</v>
      </c>
      <c r="D141" s="346" t="s">
        <v>132</v>
      </c>
      <c r="E141" s="346" t="s">
        <v>443</v>
      </c>
      <c r="F141" s="346"/>
      <c r="G141" s="300">
        <f>G142</f>
        <v>16.5</v>
      </c>
      <c r="H141" s="532"/>
      <c r="I141" s="532"/>
      <c r="J141" s="302"/>
    </row>
    <row r="142" spans="1:15" s="129" customFormat="1" ht="63" customHeight="1" x14ac:dyDescent="0.25">
      <c r="A142" s="345" t="s">
        <v>119</v>
      </c>
      <c r="B142" s="591">
        <v>902</v>
      </c>
      <c r="C142" s="346" t="s">
        <v>116</v>
      </c>
      <c r="D142" s="346" t="s">
        <v>132</v>
      </c>
      <c r="E142" s="346" t="s">
        <v>443</v>
      </c>
      <c r="F142" s="346" t="s">
        <v>120</v>
      </c>
      <c r="G142" s="300">
        <f>G143</f>
        <v>16.5</v>
      </c>
      <c r="H142" s="532"/>
      <c r="I142" s="532"/>
      <c r="J142" s="302"/>
    </row>
    <row r="143" spans="1:15" s="129" customFormat="1" ht="38.25" customHeight="1" x14ac:dyDescent="0.25">
      <c r="A143" s="345" t="s">
        <v>121</v>
      </c>
      <c r="B143" s="591">
        <v>902</v>
      </c>
      <c r="C143" s="346" t="s">
        <v>116</v>
      </c>
      <c r="D143" s="346" t="s">
        <v>132</v>
      </c>
      <c r="E143" s="346" t="s">
        <v>443</v>
      </c>
      <c r="F143" s="346" t="s">
        <v>122</v>
      </c>
      <c r="G143" s="300">
        <f>129-112.5</f>
        <v>16.5</v>
      </c>
      <c r="H143" s="532"/>
      <c r="I143" s="532"/>
      <c r="J143" s="302"/>
      <c r="K143" s="320"/>
      <c r="M143" s="320"/>
      <c r="O143" s="320"/>
    </row>
    <row r="144" spans="1:15" s="129" customFormat="1" ht="45" customHeight="1" x14ac:dyDescent="0.25">
      <c r="A144" s="298" t="s">
        <v>860</v>
      </c>
      <c r="B144" s="296">
        <v>902</v>
      </c>
      <c r="C144" s="299" t="s">
        <v>116</v>
      </c>
      <c r="D144" s="299" t="s">
        <v>132</v>
      </c>
      <c r="E144" s="299" t="s">
        <v>206</v>
      </c>
      <c r="F144" s="299"/>
      <c r="G144" s="297">
        <f>G145</f>
        <v>12</v>
      </c>
      <c r="H144" s="532"/>
      <c r="I144" s="532"/>
      <c r="J144" s="302"/>
      <c r="K144" s="320"/>
      <c r="M144" s="320"/>
      <c r="O144" s="320"/>
    </row>
    <row r="145" spans="1:15" s="129" customFormat="1" ht="51" customHeight="1" x14ac:dyDescent="0.25">
      <c r="A145" s="345" t="s">
        <v>632</v>
      </c>
      <c r="B145" s="591">
        <v>902</v>
      </c>
      <c r="C145" s="346" t="s">
        <v>116</v>
      </c>
      <c r="D145" s="346" t="s">
        <v>132</v>
      </c>
      <c r="E145" s="346" t="s">
        <v>587</v>
      </c>
      <c r="F145" s="346"/>
      <c r="G145" s="300">
        <f>G146</f>
        <v>12</v>
      </c>
      <c r="H145" s="532"/>
      <c r="I145" s="532"/>
      <c r="J145" s="302"/>
      <c r="K145" s="320"/>
      <c r="M145" s="320"/>
      <c r="O145" s="320"/>
    </row>
    <row r="146" spans="1:15" s="129" customFormat="1" ht="32.450000000000003" customHeight="1" x14ac:dyDescent="0.25">
      <c r="A146" s="345" t="s">
        <v>153</v>
      </c>
      <c r="B146" s="591">
        <v>902</v>
      </c>
      <c r="C146" s="346" t="s">
        <v>116</v>
      </c>
      <c r="D146" s="346" t="s">
        <v>132</v>
      </c>
      <c r="E146" s="346" t="s">
        <v>587</v>
      </c>
      <c r="F146" s="346" t="s">
        <v>124</v>
      </c>
      <c r="G146" s="300">
        <f>G147</f>
        <v>12</v>
      </c>
      <c r="H146" s="532"/>
      <c r="I146" s="532"/>
      <c r="J146" s="302"/>
      <c r="K146" s="320"/>
      <c r="M146" s="320"/>
      <c r="O146" s="320"/>
    </row>
    <row r="147" spans="1:15" s="129" customFormat="1" ht="33.6" customHeight="1" x14ac:dyDescent="0.25">
      <c r="A147" s="345" t="s">
        <v>125</v>
      </c>
      <c r="B147" s="591">
        <v>902</v>
      </c>
      <c r="C147" s="346" t="s">
        <v>116</v>
      </c>
      <c r="D147" s="346" t="s">
        <v>132</v>
      </c>
      <c r="E147" s="346" t="s">
        <v>587</v>
      </c>
      <c r="F147" s="346" t="s">
        <v>126</v>
      </c>
      <c r="G147" s="300">
        <v>12</v>
      </c>
      <c r="H147" s="532"/>
      <c r="I147" s="532"/>
      <c r="J147" s="302"/>
      <c r="K147" s="320"/>
      <c r="M147" s="320"/>
      <c r="O147" s="320"/>
    </row>
    <row r="148" spans="1:15" ht="47.25" x14ac:dyDescent="0.25">
      <c r="A148" s="340" t="s">
        <v>845</v>
      </c>
      <c r="B148" s="296">
        <v>902</v>
      </c>
      <c r="C148" s="299" t="s">
        <v>116</v>
      </c>
      <c r="D148" s="299" t="s">
        <v>132</v>
      </c>
      <c r="E148" s="299" t="s">
        <v>339</v>
      </c>
      <c r="F148" s="304"/>
      <c r="G148" s="297">
        <f>G149+G153</f>
        <v>41</v>
      </c>
      <c r="H148" s="532"/>
      <c r="I148" s="532"/>
      <c r="J148" s="302"/>
      <c r="K148" s="129"/>
    </row>
    <row r="149" spans="1:15" s="129" customFormat="1" ht="47.25" customHeight="1" x14ac:dyDescent="0.25">
      <c r="A149" s="339" t="s">
        <v>420</v>
      </c>
      <c r="B149" s="296">
        <v>902</v>
      </c>
      <c r="C149" s="299" t="s">
        <v>116</v>
      </c>
      <c r="D149" s="299" t="s">
        <v>132</v>
      </c>
      <c r="E149" s="299" t="s">
        <v>426</v>
      </c>
      <c r="F149" s="304"/>
      <c r="G149" s="297">
        <f t="shared" ref="G149:G151" si="5">G150</f>
        <v>26</v>
      </c>
      <c r="H149" s="532"/>
      <c r="I149" s="532"/>
      <c r="J149" s="302"/>
    </row>
    <row r="150" spans="1:15" ht="36.75" customHeight="1" x14ac:dyDescent="0.25">
      <c r="A150" s="67" t="s">
        <v>353</v>
      </c>
      <c r="B150" s="591">
        <v>902</v>
      </c>
      <c r="C150" s="346" t="s">
        <v>116</v>
      </c>
      <c r="D150" s="346" t="s">
        <v>132</v>
      </c>
      <c r="E150" s="346" t="s">
        <v>421</v>
      </c>
      <c r="F150" s="301"/>
      <c r="G150" s="300">
        <f t="shared" si="5"/>
        <v>26</v>
      </c>
      <c r="H150" s="532"/>
      <c r="I150" s="532"/>
      <c r="J150" s="302"/>
      <c r="K150" s="129"/>
    </row>
    <row r="151" spans="1:15" ht="31.5" x14ac:dyDescent="0.25">
      <c r="A151" s="345" t="s">
        <v>123</v>
      </c>
      <c r="B151" s="591">
        <v>902</v>
      </c>
      <c r="C151" s="346" t="s">
        <v>116</v>
      </c>
      <c r="D151" s="346" t="s">
        <v>132</v>
      </c>
      <c r="E151" s="346" t="s">
        <v>421</v>
      </c>
      <c r="F151" s="301" t="s">
        <v>124</v>
      </c>
      <c r="G151" s="300">
        <f t="shared" si="5"/>
        <v>26</v>
      </c>
      <c r="H151" s="532"/>
      <c r="I151" s="532"/>
      <c r="J151" s="302"/>
      <c r="K151" s="129"/>
    </row>
    <row r="152" spans="1:15" ht="31.5" x14ac:dyDescent="0.25">
      <c r="A152" s="345" t="s">
        <v>125</v>
      </c>
      <c r="B152" s="591">
        <v>902</v>
      </c>
      <c r="C152" s="346" t="s">
        <v>116</v>
      </c>
      <c r="D152" s="346" t="s">
        <v>132</v>
      </c>
      <c r="E152" s="346" t="s">
        <v>421</v>
      </c>
      <c r="F152" s="301" t="s">
        <v>126</v>
      </c>
      <c r="G152" s="300">
        <f>37-11</f>
        <v>26</v>
      </c>
      <c r="H152" s="532"/>
      <c r="I152" s="532"/>
      <c r="J152" s="302"/>
      <c r="K152" s="129"/>
    </row>
    <row r="153" spans="1:15" s="129" customFormat="1" ht="34.5" customHeight="1" x14ac:dyDescent="0.25">
      <c r="A153" s="303" t="s">
        <v>584</v>
      </c>
      <c r="B153" s="296">
        <v>902</v>
      </c>
      <c r="C153" s="299" t="s">
        <v>116</v>
      </c>
      <c r="D153" s="299" t="s">
        <v>132</v>
      </c>
      <c r="E153" s="299" t="s">
        <v>427</v>
      </c>
      <c r="F153" s="304"/>
      <c r="G153" s="297">
        <f t="shared" ref="G153:G155" si="6">G154</f>
        <v>15</v>
      </c>
      <c r="H153" s="532"/>
      <c r="I153" s="532"/>
      <c r="J153" s="302"/>
    </row>
    <row r="154" spans="1:15" ht="39.200000000000003" customHeight="1" x14ac:dyDescent="0.25">
      <c r="A154" s="67" t="s">
        <v>354</v>
      </c>
      <c r="B154" s="591">
        <v>902</v>
      </c>
      <c r="C154" s="346" t="s">
        <v>116</v>
      </c>
      <c r="D154" s="346" t="s">
        <v>132</v>
      </c>
      <c r="E154" s="346" t="s">
        <v>422</v>
      </c>
      <c r="F154" s="301"/>
      <c r="G154" s="300">
        <f t="shared" si="6"/>
        <v>15</v>
      </c>
      <c r="H154" s="532"/>
      <c r="I154" s="532"/>
      <c r="J154" s="302"/>
      <c r="K154" s="129"/>
    </row>
    <row r="155" spans="1:15" ht="31.7" customHeight="1" x14ac:dyDescent="0.25">
      <c r="A155" s="345" t="s">
        <v>123</v>
      </c>
      <c r="B155" s="591">
        <v>902</v>
      </c>
      <c r="C155" s="346" t="s">
        <v>116</v>
      </c>
      <c r="D155" s="346" t="s">
        <v>132</v>
      </c>
      <c r="E155" s="346" t="s">
        <v>422</v>
      </c>
      <c r="F155" s="301" t="s">
        <v>124</v>
      </c>
      <c r="G155" s="300">
        <f t="shared" si="6"/>
        <v>15</v>
      </c>
      <c r="H155" s="532"/>
      <c r="I155" s="532"/>
      <c r="J155" s="302"/>
      <c r="K155" s="129"/>
    </row>
    <row r="156" spans="1:15" ht="32.25" customHeight="1" x14ac:dyDescent="0.25">
      <c r="A156" s="345" t="s">
        <v>125</v>
      </c>
      <c r="B156" s="591">
        <v>902</v>
      </c>
      <c r="C156" s="346" t="s">
        <v>116</v>
      </c>
      <c r="D156" s="346" t="s">
        <v>132</v>
      </c>
      <c r="E156" s="346" t="s">
        <v>422</v>
      </c>
      <c r="F156" s="301" t="s">
        <v>126</v>
      </c>
      <c r="G156" s="300">
        <v>15</v>
      </c>
      <c r="H156" s="532"/>
      <c r="I156" s="532"/>
      <c r="J156" s="302"/>
      <c r="K156" s="129"/>
    </row>
    <row r="157" spans="1:15" ht="68.25" customHeight="1" x14ac:dyDescent="0.25">
      <c r="A157" s="340" t="s">
        <v>846</v>
      </c>
      <c r="B157" s="296">
        <v>902</v>
      </c>
      <c r="C157" s="7" t="s">
        <v>116</v>
      </c>
      <c r="D157" s="7" t="s">
        <v>132</v>
      </c>
      <c r="E157" s="119" t="s">
        <v>393</v>
      </c>
      <c r="F157" s="7"/>
      <c r="G157" s="297">
        <f>G159</f>
        <v>20.2</v>
      </c>
      <c r="H157" s="532"/>
      <c r="I157" s="532"/>
      <c r="J157" s="302"/>
      <c r="K157" s="129"/>
    </row>
    <row r="158" spans="1:15" s="129" customFormat="1" ht="35.450000000000003" customHeight="1" x14ac:dyDescent="0.25">
      <c r="A158" s="134" t="s">
        <v>428</v>
      </c>
      <c r="B158" s="296">
        <v>902</v>
      </c>
      <c r="C158" s="7" t="s">
        <v>116</v>
      </c>
      <c r="D158" s="7" t="s">
        <v>132</v>
      </c>
      <c r="E158" s="119" t="s">
        <v>628</v>
      </c>
      <c r="F158" s="7"/>
      <c r="G158" s="297">
        <f t="shared" ref="G158:G160" si="7">G159</f>
        <v>20.2</v>
      </c>
      <c r="H158" s="532"/>
      <c r="I158" s="532"/>
      <c r="J158" s="302"/>
    </row>
    <row r="159" spans="1:15" ht="31.7" customHeight="1" x14ac:dyDescent="0.25">
      <c r="A159" s="66" t="s">
        <v>145</v>
      </c>
      <c r="B159" s="591">
        <v>902</v>
      </c>
      <c r="C159" s="8" t="s">
        <v>116</v>
      </c>
      <c r="D159" s="8" t="s">
        <v>132</v>
      </c>
      <c r="E159" s="4" t="s">
        <v>429</v>
      </c>
      <c r="F159" s="8"/>
      <c r="G159" s="300">
        <f t="shared" si="7"/>
        <v>20.2</v>
      </c>
      <c r="H159" s="532"/>
      <c r="I159" s="532"/>
      <c r="J159" s="302"/>
      <c r="K159" s="129"/>
    </row>
    <row r="160" spans="1:15" ht="35.450000000000003" customHeight="1" x14ac:dyDescent="0.25">
      <c r="A160" s="345" t="s">
        <v>123</v>
      </c>
      <c r="B160" s="591">
        <v>902</v>
      </c>
      <c r="C160" s="8" t="s">
        <v>116</v>
      </c>
      <c r="D160" s="8" t="s">
        <v>132</v>
      </c>
      <c r="E160" s="4" t="s">
        <v>429</v>
      </c>
      <c r="F160" s="8" t="s">
        <v>124</v>
      </c>
      <c r="G160" s="300">
        <f t="shared" si="7"/>
        <v>20.2</v>
      </c>
      <c r="H160" s="532"/>
      <c r="I160" s="532"/>
      <c r="J160" s="302"/>
      <c r="K160" s="129"/>
    </row>
    <row r="161" spans="1:11" ht="33" customHeight="1" x14ac:dyDescent="0.25">
      <c r="A161" s="345" t="s">
        <v>125</v>
      </c>
      <c r="B161" s="591">
        <v>902</v>
      </c>
      <c r="C161" s="8" t="s">
        <v>116</v>
      </c>
      <c r="D161" s="8" t="s">
        <v>132</v>
      </c>
      <c r="E161" s="4" t="s">
        <v>429</v>
      </c>
      <c r="F161" s="8" t="s">
        <v>126</v>
      </c>
      <c r="G161" s="300">
        <f>45-24.8</f>
        <v>20.2</v>
      </c>
      <c r="H161" s="532"/>
      <c r="I161" s="532"/>
      <c r="J161" s="302"/>
      <c r="K161" s="129"/>
    </row>
    <row r="162" spans="1:11" s="344" customFormat="1" ht="63" x14ac:dyDescent="0.25">
      <c r="A162" s="340" t="s">
        <v>1257</v>
      </c>
      <c r="B162" s="296">
        <v>902</v>
      </c>
      <c r="C162" s="7" t="s">
        <v>116</v>
      </c>
      <c r="D162" s="7" t="s">
        <v>132</v>
      </c>
      <c r="E162" s="119" t="s">
        <v>1249</v>
      </c>
      <c r="F162" s="7"/>
      <c r="G162" s="297">
        <f>G163</f>
        <v>30</v>
      </c>
      <c r="H162" s="532"/>
      <c r="I162" s="532"/>
      <c r="J162" s="302"/>
    </row>
    <row r="163" spans="1:11" s="344" customFormat="1" ht="33" customHeight="1" x14ac:dyDescent="0.25">
      <c r="A163" s="340" t="s">
        <v>1258</v>
      </c>
      <c r="B163" s="296">
        <v>902</v>
      </c>
      <c r="C163" s="7" t="s">
        <v>116</v>
      </c>
      <c r="D163" s="7" t="s">
        <v>132</v>
      </c>
      <c r="E163" s="119" t="s">
        <v>1250</v>
      </c>
      <c r="F163" s="7"/>
      <c r="G163" s="297">
        <f>G164</f>
        <v>30</v>
      </c>
      <c r="H163" s="532"/>
      <c r="I163" s="532"/>
      <c r="J163" s="302"/>
    </row>
    <row r="164" spans="1:11" s="344" customFormat="1" ht="15.75" x14ac:dyDescent="0.25">
      <c r="A164" s="345" t="s">
        <v>1259</v>
      </c>
      <c r="B164" s="591">
        <v>902</v>
      </c>
      <c r="C164" s="8" t="s">
        <v>116</v>
      </c>
      <c r="D164" s="8" t="s">
        <v>132</v>
      </c>
      <c r="E164" s="4" t="s">
        <v>1251</v>
      </c>
      <c r="F164" s="8"/>
      <c r="G164" s="300">
        <f>G165</f>
        <v>30</v>
      </c>
      <c r="H164" s="532"/>
      <c r="I164" s="532"/>
      <c r="J164" s="302"/>
    </row>
    <row r="165" spans="1:11" s="344" customFormat="1" ht="15.75" x14ac:dyDescent="0.25">
      <c r="A165" s="583" t="s">
        <v>177</v>
      </c>
      <c r="B165" s="591">
        <v>902</v>
      </c>
      <c r="C165" s="8" t="s">
        <v>116</v>
      </c>
      <c r="D165" s="8" t="s">
        <v>132</v>
      </c>
      <c r="E165" s="4" t="s">
        <v>1251</v>
      </c>
      <c r="F165" s="8" t="s">
        <v>178</v>
      </c>
      <c r="G165" s="300">
        <f>G166</f>
        <v>30</v>
      </c>
      <c r="H165" s="532"/>
      <c r="I165" s="532"/>
      <c r="J165" s="302"/>
    </row>
    <row r="166" spans="1:11" s="344" customFormat="1" ht="15.75" x14ac:dyDescent="0.25">
      <c r="A166" s="345" t="s">
        <v>1260</v>
      </c>
      <c r="B166" s="591">
        <v>902</v>
      </c>
      <c r="C166" s="8" t="s">
        <v>116</v>
      </c>
      <c r="D166" s="8" t="s">
        <v>132</v>
      </c>
      <c r="E166" s="4" t="s">
        <v>1251</v>
      </c>
      <c r="F166" s="8" t="s">
        <v>1252</v>
      </c>
      <c r="G166" s="300">
        <v>30</v>
      </c>
      <c r="H166" s="532"/>
      <c r="I166" s="532"/>
      <c r="J166" s="302"/>
    </row>
    <row r="167" spans="1:11" s="129" customFormat="1" ht="63" x14ac:dyDescent="0.25">
      <c r="A167" s="340" t="s">
        <v>847</v>
      </c>
      <c r="B167" s="296">
        <v>902</v>
      </c>
      <c r="C167" s="7" t="s">
        <v>116</v>
      </c>
      <c r="D167" s="7" t="s">
        <v>132</v>
      </c>
      <c r="E167" s="119" t="s">
        <v>394</v>
      </c>
      <c r="F167" s="7"/>
      <c r="G167" s="297">
        <f>G169</f>
        <v>80</v>
      </c>
      <c r="H167" s="532"/>
      <c r="I167" s="532"/>
      <c r="J167" s="302"/>
    </row>
    <row r="168" spans="1:11" s="129" customFormat="1" ht="31.5" x14ac:dyDescent="0.25">
      <c r="A168" s="34" t="s">
        <v>430</v>
      </c>
      <c r="B168" s="296">
        <v>902</v>
      </c>
      <c r="C168" s="7" t="s">
        <v>116</v>
      </c>
      <c r="D168" s="7" t="s">
        <v>132</v>
      </c>
      <c r="E168" s="119" t="s">
        <v>438</v>
      </c>
      <c r="F168" s="7"/>
      <c r="G168" s="297">
        <f t="shared" ref="G168:G170" si="8">G169</f>
        <v>80</v>
      </c>
      <c r="H168" s="532"/>
      <c r="I168" s="532"/>
      <c r="J168" s="302"/>
    </row>
    <row r="169" spans="1:11" s="129" customFormat="1" ht="15.75" x14ac:dyDescent="0.25">
      <c r="A169" s="29" t="s">
        <v>398</v>
      </c>
      <c r="B169" s="591">
        <v>902</v>
      </c>
      <c r="C169" s="8" t="s">
        <v>116</v>
      </c>
      <c r="D169" s="8" t="s">
        <v>132</v>
      </c>
      <c r="E169" s="4" t="s">
        <v>431</v>
      </c>
      <c r="F169" s="8"/>
      <c r="G169" s="300">
        <f t="shared" si="8"/>
        <v>80</v>
      </c>
      <c r="H169" s="532"/>
      <c r="I169" s="532"/>
      <c r="J169" s="302"/>
    </row>
    <row r="170" spans="1:11" s="129" customFormat="1" ht="31.5" x14ac:dyDescent="0.25">
      <c r="A170" s="345" t="s">
        <v>123</v>
      </c>
      <c r="B170" s="591">
        <v>902</v>
      </c>
      <c r="C170" s="8" t="s">
        <v>116</v>
      </c>
      <c r="D170" s="8" t="s">
        <v>132</v>
      </c>
      <c r="E170" s="4" t="s">
        <v>431</v>
      </c>
      <c r="F170" s="8" t="s">
        <v>124</v>
      </c>
      <c r="G170" s="300">
        <f t="shared" si="8"/>
        <v>80</v>
      </c>
      <c r="H170" s="532"/>
      <c r="I170" s="532"/>
      <c r="J170" s="302"/>
    </row>
    <row r="171" spans="1:11" s="129" customFormat="1" ht="31.5" x14ac:dyDescent="0.25">
      <c r="A171" s="345" t="s">
        <v>125</v>
      </c>
      <c r="B171" s="591">
        <v>902</v>
      </c>
      <c r="C171" s="8" t="s">
        <v>116</v>
      </c>
      <c r="D171" s="8" t="s">
        <v>132</v>
      </c>
      <c r="E171" s="4" t="s">
        <v>431</v>
      </c>
      <c r="F171" s="8" t="s">
        <v>126</v>
      </c>
      <c r="G171" s="300">
        <v>80</v>
      </c>
      <c r="H171" s="532"/>
      <c r="I171" s="532"/>
      <c r="J171" s="302"/>
    </row>
    <row r="172" spans="1:11" ht="15.75" hidden="1" customHeight="1" x14ac:dyDescent="0.25">
      <c r="A172" s="298" t="s">
        <v>157</v>
      </c>
      <c r="B172" s="296">
        <v>902</v>
      </c>
      <c r="C172" s="299" t="s">
        <v>158</v>
      </c>
      <c r="D172" s="299"/>
      <c r="E172" s="299"/>
      <c r="F172" s="299"/>
      <c r="G172" s="297">
        <f t="shared" ref="G172:G177" si="9">G173</f>
        <v>0</v>
      </c>
      <c r="H172" s="532"/>
      <c r="I172" s="532"/>
      <c r="J172" s="302"/>
      <c r="K172" s="129"/>
    </row>
    <row r="173" spans="1:11" ht="20.25" hidden="1" customHeight="1" x14ac:dyDescent="0.25">
      <c r="A173" s="298" t="s">
        <v>160</v>
      </c>
      <c r="B173" s="296">
        <v>902</v>
      </c>
      <c r="C173" s="299" t="s">
        <v>158</v>
      </c>
      <c r="D173" s="299" t="s">
        <v>161</v>
      </c>
      <c r="E173" s="299"/>
      <c r="F173" s="299"/>
      <c r="G173" s="297">
        <f t="shared" si="9"/>
        <v>0</v>
      </c>
      <c r="H173" s="532"/>
      <c r="I173" s="532"/>
      <c r="J173" s="302"/>
      <c r="K173" s="129"/>
    </row>
    <row r="174" spans="1:11" ht="15.75" hidden="1" customHeight="1" x14ac:dyDescent="0.25">
      <c r="A174" s="298" t="s">
        <v>133</v>
      </c>
      <c r="B174" s="296">
        <v>902</v>
      </c>
      <c r="C174" s="299" t="s">
        <v>158</v>
      </c>
      <c r="D174" s="299" t="s">
        <v>161</v>
      </c>
      <c r="E174" s="299" t="s">
        <v>440</v>
      </c>
      <c r="F174" s="299"/>
      <c r="G174" s="297">
        <f t="shared" si="9"/>
        <v>0</v>
      </c>
      <c r="H174" s="532"/>
      <c r="I174" s="532"/>
      <c r="J174" s="302"/>
      <c r="K174" s="129"/>
    </row>
    <row r="175" spans="1:11" ht="33.75" hidden="1" customHeight="1" x14ac:dyDescent="0.25">
      <c r="A175" s="298" t="s">
        <v>444</v>
      </c>
      <c r="B175" s="296">
        <v>902</v>
      </c>
      <c r="C175" s="299" t="s">
        <v>158</v>
      </c>
      <c r="D175" s="299" t="s">
        <v>161</v>
      </c>
      <c r="E175" s="299" t="s">
        <v>439</v>
      </c>
      <c r="F175" s="299"/>
      <c r="G175" s="297">
        <f t="shared" si="9"/>
        <v>0</v>
      </c>
      <c r="H175" s="532"/>
      <c r="I175" s="532"/>
      <c r="J175" s="302"/>
      <c r="K175" s="129"/>
    </row>
    <row r="176" spans="1:11" ht="15.75" hidden="1" customHeight="1" x14ac:dyDescent="0.25">
      <c r="A176" s="345" t="s">
        <v>162</v>
      </c>
      <c r="B176" s="591">
        <v>902</v>
      </c>
      <c r="C176" s="346" t="s">
        <v>158</v>
      </c>
      <c r="D176" s="346" t="s">
        <v>161</v>
      </c>
      <c r="E176" s="346" t="s">
        <v>445</v>
      </c>
      <c r="F176" s="346"/>
      <c r="G176" s="300">
        <f t="shared" si="9"/>
        <v>0</v>
      </c>
      <c r="H176" s="532"/>
      <c r="I176" s="532"/>
      <c r="J176" s="302"/>
      <c r="K176" s="129"/>
    </row>
    <row r="177" spans="1:11" ht="33.75" hidden="1" customHeight="1" x14ac:dyDescent="0.25">
      <c r="A177" s="345" t="s">
        <v>153</v>
      </c>
      <c r="B177" s="591">
        <v>902</v>
      </c>
      <c r="C177" s="346" t="s">
        <v>158</v>
      </c>
      <c r="D177" s="346" t="s">
        <v>161</v>
      </c>
      <c r="E177" s="346" t="s">
        <v>445</v>
      </c>
      <c r="F177" s="346" t="s">
        <v>124</v>
      </c>
      <c r="G177" s="300">
        <f t="shared" si="9"/>
        <v>0</v>
      </c>
      <c r="H177" s="532"/>
      <c r="I177" s="532"/>
      <c r="J177" s="302"/>
      <c r="K177" s="129"/>
    </row>
    <row r="178" spans="1:11" ht="40.700000000000003" hidden="1" customHeight="1" x14ac:dyDescent="0.25">
      <c r="A178" s="345" t="s">
        <v>125</v>
      </c>
      <c r="B178" s="591">
        <v>902</v>
      </c>
      <c r="C178" s="346" t="s">
        <v>158</v>
      </c>
      <c r="D178" s="346" t="s">
        <v>161</v>
      </c>
      <c r="E178" s="346" t="s">
        <v>445</v>
      </c>
      <c r="F178" s="346" t="s">
        <v>126</v>
      </c>
      <c r="G178" s="18">
        <v>0</v>
      </c>
      <c r="H178" s="532"/>
      <c r="I178" s="532"/>
      <c r="J178" s="302"/>
      <c r="K178" s="129"/>
    </row>
    <row r="179" spans="1:11" ht="31.5" x14ac:dyDescent="0.25">
      <c r="A179" s="298" t="s">
        <v>163</v>
      </c>
      <c r="B179" s="296">
        <v>902</v>
      </c>
      <c r="C179" s="299" t="s">
        <v>159</v>
      </c>
      <c r="D179" s="299"/>
      <c r="E179" s="299"/>
      <c r="F179" s="299"/>
      <c r="G179" s="297">
        <f>G180</f>
        <v>10343.025</v>
      </c>
      <c r="H179" s="533"/>
      <c r="I179" s="533"/>
      <c r="J179" s="302"/>
      <c r="K179" s="129"/>
    </row>
    <row r="180" spans="1:11" ht="47.25" customHeight="1" x14ac:dyDescent="0.25">
      <c r="A180" s="298" t="s">
        <v>849</v>
      </c>
      <c r="B180" s="296">
        <v>902</v>
      </c>
      <c r="C180" s="299" t="s">
        <v>159</v>
      </c>
      <c r="D180" s="299" t="s">
        <v>174</v>
      </c>
      <c r="E180" s="346"/>
      <c r="F180" s="346"/>
      <c r="G180" s="297">
        <f>G181+G211</f>
        <v>10343.025</v>
      </c>
      <c r="H180" s="532"/>
      <c r="I180" s="532"/>
      <c r="J180" s="302"/>
      <c r="K180" s="129"/>
    </row>
    <row r="181" spans="1:11" ht="15.75" x14ac:dyDescent="0.25">
      <c r="A181" s="298" t="s">
        <v>133</v>
      </c>
      <c r="B181" s="296">
        <v>902</v>
      </c>
      <c r="C181" s="299" t="s">
        <v>159</v>
      </c>
      <c r="D181" s="299" t="s">
        <v>174</v>
      </c>
      <c r="E181" s="299" t="s">
        <v>440</v>
      </c>
      <c r="F181" s="299"/>
      <c r="G181" s="297">
        <f>G193+G200+G182</f>
        <v>10343.025</v>
      </c>
      <c r="H181" s="532"/>
      <c r="I181" s="532"/>
      <c r="J181" s="302"/>
      <c r="K181" s="129"/>
    </row>
    <row r="182" spans="1:11" s="344" customFormat="1" ht="15.75" x14ac:dyDescent="0.25">
      <c r="A182" s="298" t="s">
        <v>1115</v>
      </c>
      <c r="B182" s="296">
        <v>902</v>
      </c>
      <c r="C182" s="299" t="s">
        <v>159</v>
      </c>
      <c r="D182" s="299" t="s">
        <v>174</v>
      </c>
      <c r="E182" s="299" t="s">
        <v>516</v>
      </c>
      <c r="F182" s="299"/>
      <c r="G182" s="297">
        <f>G183+G186</f>
        <v>6949.4306400000005</v>
      </c>
      <c r="H182" s="532"/>
      <c r="I182" s="532"/>
      <c r="J182" s="302"/>
    </row>
    <row r="183" spans="1:11" s="344" customFormat="1" ht="31.5" x14ac:dyDescent="0.25">
      <c r="A183" s="345" t="s">
        <v>414</v>
      </c>
      <c r="B183" s="591">
        <v>902</v>
      </c>
      <c r="C183" s="346" t="s">
        <v>159</v>
      </c>
      <c r="D183" s="346" t="s">
        <v>174</v>
      </c>
      <c r="E183" s="346" t="s">
        <v>519</v>
      </c>
      <c r="F183" s="346"/>
      <c r="G183" s="300">
        <f>G184</f>
        <v>212.4</v>
      </c>
      <c r="H183" s="532"/>
      <c r="I183" s="532"/>
      <c r="J183" s="302"/>
    </row>
    <row r="184" spans="1:11" s="344" customFormat="1" ht="63" x14ac:dyDescent="0.25">
      <c r="A184" s="345" t="s">
        <v>119</v>
      </c>
      <c r="B184" s="591">
        <v>902</v>
      </c>
      <c r="C184" s="346" t="s">
        <v>159</v>
      </c>
      <c r="D184" s="346" t="s">
        <v>174</v>
      </c>
      <c r="E184" s="346" t="s">
        <v>519</v>
      </c>
      <c r="F184" s="346" t="s">
        <v>120</v>
      </c>
      <c r="G184" s="300">
        <f>G185</f>
        <v>212.4</v>
      </c>
      <c r="H184" s="532"/>
      <c r="I184" s="532"/>
      <c r="J184" s="302"/>
    </row>
    <row r="185" spans="1:11" s="344" customFormat="1" ht="15.75" x14ac:dyDescent="0.25">
      <c r="A185" s="345" t="s">
        <v>212</v>
      </c>
      <c r="B185" s="591">
        <v>902</v>
      </c>
      <c r="C185" s="346" t="s">
        <v>159</v>
      </c>
      <c r="D185" s="346" t="s">
        <v>174</v>
      </c>
      <c r="E185" s="346" t="s">
        <v>519</v>
      </c>
      <c r="F185" s="346" t="s">
        <v>156</v>
      </c>
      <c r="G185" s="300">
        <f>258-45.6</f>
        <v>212.4</v>
      </c>
      <c r="H185" s="532"/>
      <c r="I185" s="532"/>
      <c r="J185" s="302"/>
    </row>
    <row r="186" spans="1:11" s="344" customFormat="1" ht="15.75" x14ac:dyDescent="0.25">
      <c r="A186" s="345" t="s">
        <v>377</v>
      </c>
      <c r="B186" s="591">
        <v>902</v>
      </c>
      <c r="C186" s="346" t="s">
        <v>159</v>
      </c>
      <c r="D186" s="346" t="s">
        <v>174</v>
      </c>
      <c r="E186" s="346" t="s">
        <v>518</v>
      </c>
      <c r="F186" s="346"/>
      <c r="G186" s="300">
        <f>G187+G189+G191</f>
        <v>6737.0306400000009</v>
      </c>
      <c r="H186" s="532"/>
      <c r="I186" s="532"/>
      <c r="J186" s="302"/>
    </row>
    <row r="187" spans="1:11" s="344" customFormat="1" ht="63" x14ac:dyDescent="0.25">
      <c r="A187" s="345" t="s">
        <v>119</v>
      </c>
      <c r="B187" s="591">
        <v>902</v>
      </c>
      <c r="C187" s="346" t="s">
        <v>159</v>
      </c>
      <c r="D187" s="346" t="s">
        <v>174</v>
      </c>
      <c r="E187" s="346" t="s">
        <v>518</v>
      </c>
      <c r="F187" s="346" t="s">
        <v>120</v>
      </c>
      <c r="G187" s="300">
        <f>G188</f>
        <v>5847.3006400000004</v>
      </c>
      <c r="H187" s="532"/>
      <c r="I187" s="532"/>
      <c r="J187" s="302"/>
    </row>
    <row r="188" spans="1:11" s="344" customFormat="1" ht="15.75" x14ac:dyDescent="0.25">
      <c r="A188" s="345" t="s">
        <v>212</v>
      </c>
      <c r="B188" s="591">
        <v>902</v>
      </c>
      <c r="C188" s="346" t="s">
        <v>159</v>
      </c>
      <c r="D188" s="346" t="s">
        <v>174</v>
      </c>
      <c r="E188" s="346" t="s">
        <v>518</v>
      </c>
      <c r="F188" s="346" t="s">
        <v>156</v>
      </c>
      <c r="G188" s="300">
        <f>2763+10.9+854+2153.7+8.20064+57.5</f>
        <v>5847.3006400000004</v>
      </c>
      <c r="H188" s="532"/>
      <c r="I188" s="532"/>
      <c r="J188" s="302"/>
    </row>
    <row r="189" spans="1:11" s="344" customFormat="1" ht="31.5" x14ac:dyDescent="0.25">
      <c r="A189" s="345" t="s">
        <v>123</v>
      </c>
      <c r="B189" s="591">
        <v>902</v>
      </c>
      <c r="C189" s="346" t="s">
        <v>159</v>
      </c>
      <c r="D189" s="346" t="s">
        <v>174</v>
      </c>
      <c r="E189" s="346" t="s">
        <v>518</v>
      </c>
      <c r="F189" s="346" t="s">
        <v>124</v>
      </c>
      <c r="G189" s="300">
        <f>G190</f>
        <v>889.73</v>
      </c>
      <c r="H189" s="532"/>
      <c r="I189" s="532"/>
      <c r="J189" s="302"/>
    </row>
    <row r="190" spans="1:11" s="344" customFormat="1" ht="31.5" x14ac:dyDescent="0.25">
      <c r="A190" s="345" t="s">
        <v>125</v>
      </c>
      <c r="B190" s="591">
        <v>902</v>
      </c>
      <c r="C190" s="346" t="s">
        <v>159</v>
      </c>
      <c r="D190" s="346" t="s">
        <v>174</v>
      </c>
      <c r="E190" s="346" t="s">
        <v>518</v>
      </c>
      <c r="F190" s="346" t="s">
        <v>126</v>
      </c>
      <c r="G190" s="300">
        <f>45.6+300+200+344.13-9.98+9.98</f>
        <v>889.73</v>
      </c>
      <c r="H190" s="532"/>
      <c r="I190" s="532"/>
      <c r="J190" s="302"/>
    </row>
    <row r="191" spans="1:11" s="344" customFormat="1" ht="15.75" hidden="1" x14ac:dyDescent="0.25">
      <c r="A191" s="345" t="s">
        <v>127</v>
      </c>
      <c r="B191" s="591">
        <v>902</v>
      </c>
      <c r="C191" s="346" t="s">
        <v>159</v>
      </c>
      <c r="D191" s="346" t="s">
        <v>174</v>
      </c>
      <c r="E191" s="346" t="s">
        <v>518</v>
      </c>
      <c r="F191" s="346" t="s">
        <v>134</v>
      </c>
      <c r="G191" s="300">
        <f>G192</f>
        <v>0</v>
      </c>
      <c r="H191" s="532"/>
      <c r="I191" s="532"/>
      <c r="J191" s="302"/>
    </row>
    <row r="192" spans="1:11" s="344" customFormat="1" ht="15.75" hidden="1" x14ac:dyDescent="0.25">
      <c r="A192" s="345" t="s">
        <v>280</v>
      </c>
      <c r="B192" s="591">
        <v>902</v>
      </c>
      <c r="C192" s="346" t="s">
        <v>159</v>
      </c>
      <c r="D192" s="346" t="s">
        <v>174</v>
      </c>
      <c r="E192" s="346" t="s">
        <v>518</v>
      </c>
      <c r="F192" s="346" t="s">
        <v>130</v>
      </c>
      <c r="G192" s="300"/>
      <c r="H192" s="532"/>
      <c r="I192" s="532"/>
      <c r="J192" s="302"/>
    </row>
    <row r="193" spans="1:10" s="129" customFormat="1" ht="31.5" x14ac:dyDescent="0.25">
      <c r="A193" s="298" t="s">
        <v>444</v>
      </c>
      <c r="B193" s="296">
        <v>902</v>
      </c>
      <c r="C193" s="299" t="s">
        <v>159</v>
      </c>
      <c r="D193" s="299" t="s">
        <v>174</v>
      </c>
      <c r="E193" s="299" t="s">
        <v>439</v>
      </c>
      <c r="F193" s="299"/>
      <c r="G193" s="297">
        <f>G194+G197</f>
        <v>469.89999999999986</v>
      </c>
      <c r="H193" s="532"/>
      <c r="I193" s="532"/>
      <c r="J193" s="302"/>
    </row>
    <row r="194" spans="1:10" s="129" customFormat="1" ht="31.5" x14ac:dyDescent="0.25">
      <c r="A194" s="345" t="s">
        <v>164</v>
      </c>
      <c r="B194" s="591">
        <v>902</v>
      </c>
      <c r="C194" s="346" t="s">
        <v>159</v>
      </c>
      <c r="D194" s="346" t="s">
        <v>174</v>
      </c>
      <c r="E194" s="346" t="s">
        <v>449</v>
      </c>
      <c r="F194" s="346"/>
      <c r="G194" s="300">
        <f>G195</f>
        <v>272.89999999999986</v>
      </c>
      <c r="H194" s="532"/>
      <c r="I194" s="532"/>
      <c r="J194" s="302"/>
    </row>
    <row r="195" spans="1:10" s="129" customFormat="1" ht="31.5" x14ac:dyDescent="0.25">
      <c r="A195" s="345" t="s">
        <v>153</v>
      </c>
      <c r="B195" s="591">
        <v>902</v>
      </c>
      <c r="C195" s="346" t="s">
        <v>159</v>
      </c>
      <c r="D195" s="346" t="s">
        <v>174</v>
      </c>
      <c r="E195" s="346" t="s">
        <v>449</v>
      </c>
      <c r="F195" s="346" t="s">
        <v>124</v>
      </c>
      <c r="G195" s="300">
        <f>G196</f>
        <v>272.89999999999986</v>
      </c>
      <c r="H195" s="532"/>
      <c r="I195" s="532"/>
      <c r="J195" s="302"/>
    </row>
    <row r="196" spans="1:10" s="129" customFormat="1" ht="31.5" x14ac:dyDescent="0.25">
      <c r="A196" s="345" t="s">
        <v>125</v>
      </c>
      <c r="B196" s="591">
        <v>902</v>
      </c>
      <c r="C196" s="346" t="s">
        <v>159</v>
      </c>
      <c r="D196" s="346" t="s">
        <v>174</v>
      </c>
      <c r="E196" s="346" t="s">
        <v>449</v>
      </c>
      <c r="F196" s="346" t="s">
        <v>126</v>
      </c>
      <c r="G196" s="651">
        <f>1285-1000+500-0.2+300+72.1-500-384</f>
        <v>272.89999999999986</v>
      </c>
      <c r="H196" s="532"/>
      <c r="I196" s="532"/>
      <c r="J196" s="302"/>
    </row>
    <row r="197" spans="1:10" s="129" customFormat="1" ht="15.75" x14ac:dyDescent="0.25">
      <c r="A197" s="345" t="s">
        <v>165</v>
      </c>
      <c r="B197" s="591">
        <v>902</v>
      </c>
      <c r="C197" s="346" t="s">
        <v>159</v>
      </c>
      <c r="D197" s="346" t="s">
        <v>174</v>
      </c>
      <c r="E197" s="346" t="s">
        <v>450</v>
      </c>
      <c r="F197" s="346"/>
      <c r="G197" s="18">
        <f>G198</f>
        <v>197</v>
      </c>
      <c r="H197" s="532"/>
      <c r="I197" s="532"/>
      <c r="J197" s="302"/>
    </row>
    <row r="198" spans="1:10" s="129" customFormat="1" ht="31.5" x14ac:dyDescent="0.25">
      <c r="A198" s="345" t="s">
        <v>153</v>
      </c>
      <c r="B198" s="591">
        <v>902</v>
      </c>
      <c r="C198" s="346" t="s">
        <v>159</v>
      </c>
      <c r="D198" s="346" t="s">
        <v>174</v>
      </c>
      <c r="E198" s="346" t="s">
        <v>450</v>
      </c>
      <c r="F198" s="346" t="s">
        <v>124</v>
      </c>
      <c r="G198" s="18">
        <f>G199</f>
        <v>197</v>
      </c>
      <c r="H198" s="532"/>
      <c r="I198" s="532"/>
      <c r="J198" s="302"/>
    </row>
    <row r="199" spans="1:10" s="129" customFormat="1" ht="31.5" x14ac:dyDescent="0.25">
      <c r="A199" s="345" t="s">
        <v>125</v>
      </c>
      <c r="B199" s="591">
        <v>902</v>
      </c>
      <c r="C199" s="346" t="s">
        <v>159</v>
      </c>
      <c r="D199" s="346" t="s">
        <v>174</v>
      </c>
      <c r="E199" s="346" t="s">
        <v>450</v>
      </c>
      <c r="F199" s="346" t="s">
        <v>126</v>
      </c>
      <c r="G199" s="18">
        <v>197</v>
      </c>
      <c r="H199" s="532"/>
      <c r="I199" s="532"/>
      <c r="J199" s="302"/>
    </row>
    <row r="200" spans="1:10" s="129" customFormat="1" ht="34.5" customHeight="1" x14ac:dyDescent="0.25">
      <c r="A200" s="298" t="s">
        <v>492</v>
      </c>
      <c r="B200" s="296">
        <v>902</v>
      </c>
      <c r="C200" s="299" t="s">
        <v>159</v>
      </c>
      <c r="D200" s="299" t="s">
        <v>174</v>
      </c>
      <c r="E200" s="299" t="s">
        <v>446</v>
      </c>
      <c r="F200" s="299"/>
      <c r="G200" s="297">
        <f>G201+G208</f>
        <v>2923.6943599999995</v>
      </c>
      <c r="H200" s="532"/>
      <c r="I200" s="532"/>
      <c r="J200" s="302"/>
    </row>
    <row r="201" spans="1:10" s="129" customFormat="1" ht="31.5" x14ac:dyDescent="0.25">
      <c r="A201" s="345" t="s">
        <v>496</v>
      </c>
      <c r="B201" s="591">
        <v>902</v>
      </c>
      <c r="C201" s="346" t="s">
        <v>159</v>
      </c>
      <c r="D201" s="346" t="s">
        <v>174</v>
      </c>
      <c r="E201" s="346" t="s">
        <v>447</v>
      </c>
      <c r="F201" s="346"/>
      <c r="G201" s="300">
        <f>G202+G204+G206</f>
        <v>2923.6943599999995</v>
      </c>
      <c r="H201" s="532"/>
      <c r="I201" s="532"/>
      <c r="J201" s="302"/>
    </row>
    <row r="202" spans="1:10" s="129" customFormat="1" ht="63" x14ac:dyDescent="0.25">
      <c r="A202" s="345" t="s">
        <v>119</v>
      </c>
      <c r="B202" s="591">
        <v>902</v>
      </c>
      <c r="C202" s="346" t="s">
        <v>159</v>
      </c>
      <c r="D202" s="346" t="s">
        <v>174</v>
      </c>
      <c r="E202" s="346" t="s">
        <v>447</v>
      </c>
      <c r="F202" s="346" t="s">
        <v>120</v>
      </c>
      <c r="G202" s="300">
        <f>G203</f>
        <v>2258.7993599999995</v>
      </c>
      <c r="H202" s="532"/>
      <c r="I202" s="532"/>
      <c r="J202" s="302"/>
    </row>
    <row r="203" spans="1:10" s="129" customFormat="1" ht="15.75" x14ac:dyDescent="0.25">
      <c r="A203" s="345" t="s">
        <v>155</v>
      </c>
      <c r="B203" s="591">
        <v>902</v>
      </c>
      <c r="C203" s="346" t="s">
        <v>159</v>
      </c>
      <c r="D203" s="346" t="s">
        <v>174</v>
      </c>
      <c r="E203" s="346" t="s">
        <v>447</v>
      </c>
      <c r="F203" s="346" t="s">
        <v>156</v>
      </c>
      <c r="G203" s="18">
        <f>5884+10.9-3627.9-8.20064</f>
        <v>2258.7993599999995</v>
      </c>
      <c r="H203" s="532"/>
      <c r="I203" s="532"/>
      <c r="J203" s="302"/>
    </row>
    <row r="204" spans="1:10" s="129" customFormat="1" ht="31.5" x14ac:dyDescent="0.25">
      <c r="A204" s="345" t="s">
        <v>153</v>
      </c>
      <c r="B204" s="591">
        <v>902</v>
      </c>
      <c r="C204" s="346" t="s">
        <v>159</v>
      </c>
      <c r="D204" s="346" t="s">
        <v>174</v>
      </c>
      <c r="E204" s="346" t="s">
        <v>447</v>
      </c>
      <c r="F204" s="346" t="s">
        <v>124</v>
      </c>
      <c r="G204" s="300">
        <f>G205</f>
        <v>163</v>
      </c>
      <c r="H204" s="532"/>
      <c r="I204" s="532"/>
      <c r="J204" s="302"/>
    </row>
    <row r="205" spans="1:10" s="129" customFormat="1" ht="31.5" x14ac:dyDescent="0.25">
      <c r="A205" s="345" t="s">
        <v>125</v>
      </c>
      <c r="B205" s="591">
        <v>902</v>
      </c>
      <c r="C205" s="346" t="s">
        <v>159</v>
      </c>
      <c r="D205" s="346" t="s">
        <v>174</v>
      </c>
      <c r="E205" s="346" t="s">
        <v>447</v>
      </c>
      <c r="F205" s="346" t="s">
        <v>126</v>
      </c>
      <c r="G205" s="18">
        <f>163</f>
        <v>163</v>
      </c>
      <c r="H205" s="532"/>
      <c r="I205" s="532"/>
      <c r="J205" s="302"/>
    </row>
    <row r="206" spans="1:10" s="344" customFormat="1" ht="15.75" x14ac:dyDescent="0.25">
      <c r="A206" s="345" t="s">
        <v>177</v>
      </c>
      <c r="B206" s="591">
        <v>902</v>
      </c>
      <c r="C206" s="346" t="s">
        <v>159</v>
      </c>
      <c r="D206" s="346" t="s">
        <v>174</v>
      </c>
      <c r="E206" s="346" t="s">
        <v>447</v>
      </c>
      <c r="F206" s="346" t="s">
        <v>178</v>
      </c>
      <c r="G206" s="18">
        <f>G207</f>
        <v>501.89499999999998</v>
      </c>
      <c r="H206" s="532"/>
      <c r="I206" s="532"/>
      <c r="J206" s="302"/>
    </row>
    <row r="207" spans="1:10" s="344" customFormat="1" ht="31.5" x14ac:dyDescent="0.25">
      <c r="A207" s="345" t="s">
        <v>179</v>
      </c>
      <c r="B207" s="591">
        <v>902</v>
      </c>
      <c r="C207" s="346" t="s">
        <v>159</v>
      </c>
      <c r="D207" s="346" t="s">
        <v>174</v>
      </c>
      <c r="E207" s="346" t="s">
        <v>447</v>
      </c>
      <c r="F207" s="346" t="s">
        <v>180</v>
      </c>
      <c r="G207" s="18">
        <f>200.76+95.82+205.315</f>
        <v>501.89499999999998</v>
      </c>
      <c r="H207" s="532"/>
      <c r="I207" s="532"/>
      <c r="J207" s="302"/>
    </row>
    <row r="208" spans="1:10" s="129" customFormat="1" ht="31.5" hidden="1" x14ac:dyDescent="0.25">
      <c r="A208" s="345" t="s">
        <v>414</v>
      </c>
      <c r="B208" s="591">
        <v>902</v>
      </c>
      <c r="C208" s="346" t="s">
        <v>159</v>
      </c>
      <c r="D208" s="346" t="s">
        <v>174</v>
      </c>
      <c r="E208" s="346" t="s">
        <v>448</v>
      </c>
      <c r="F208" s="346"/>
      <c r="G208" s="300">
        <f>G209</f>
        <v>0</v>
      </c>
      <c r="H208" s="532"/>
      <c r="I208" s="532"/>
      <c r="J208" s="302"/>
    </row>
    <row r="209" spans="1:11" s="129" customFormat="1" ht="63" hidden="1" x14ac:dyDescent="0.25">
      <c r="A209" s="345" t="s">
        <v>119</v>
      </c>
      <c r="B209" s="591">
        <v>902</v>
      </c>
      <c r="C209" s="346" t="s">
        <v>159</v>
      </c>
      <c r="D209" s="346" t="s">
        <v>174</v>
      </c>
      <c r="E209" s="346" t="s">
        <v>448</v>
      </c>
      <c r="F209" s="346" t="s">
        <v>120</v>
      </c>
      <c r="G209" s="300">
        <f>G210</f>
        <v>0</v>
      </c>
      <c r="H209" s="532"/>
      <c r="I209" s="532"/>
      <c r="J209" s="302"/>
    </row>
    <row r="210" spans="1:11" s="129" customFormat="1" ht="15.75" hidden="1" x14ac:dyDescent="0.25">
      <c r="A210" s="345" t="s">
        <v>155</v>
      </c>
      <c r="B210" s="591">
        <v>902</v>
      </c>
      <c r="C210" s="346" t="s">
        <v>159</v>
      </c>
      <c r="D210" s="346" t="s">
        <v>174</v>
      </c>
      <c r="E210" s="346" t="s">
        <v>448</v>
      </c>
      <c r="F210" s="346" t="s">
        <v>156</v>
      </c>
      <c r="G210" s="300">
        <f>258-258</f>
        <v>0</v>
      </c>
      <c r="H210" s="532"/>
      <c r="I210" s="532"/>
      <c r="J210" s="302"/>
    </row>
    <row r="211" spans="1:11" s="129" customFormat="1" ht="47.25" hidden="1" x14ac:dyDescent="0.25">
      <c r="A211" s="340" t="s">
        <v>845</v>
      </c>
      <c r="B211" s="296">
        <v>902</v>
      </c>
      <c r="C211" s="299" t="s">
        <v>159</v>
      </c>
      <c r="D211" s="299" t="s">
        <v>174</v>
      </c>
      <c r="E211" s="299" t="s">
        <v>339</v>
      </c>
      <c r="F211" s="346"/>
      <c r="G211" s="297">
        <f>G212</f>
        <v>0</v>
      </c>
      <c r="H211" s="532"/>
      <c r="I211" s="532"/>
      <c r="J211" s="302"/>
    </row>
    <row r="212" spans="1:11" s="129" customFormat="1" ht="31.5" hidden="1" x14ac:dyDescent="0.25">
      <c r="A212" s="303" t="s">
        <v>1027</v>
      </c>
      <c r="B212" s="296">
        <v>902</v>
      </c>
      <c r="C212" s="299" t="s">
        <v>159</v>
      </c>
      <c r="D212" s="299" t="s">
        <v>174</v>
      </c>
      <c r="E212" s="299" t="s">
        <v>1028</v>
      </c>
      <c r="F212" s="304"/>
      <c r="G212" s="297">
        <f>G213+G216+G219</f>
        <v>0</v>
      </c>
      <c r="H212" s="532"/>
      <c r="I212" s="532"/>
      <c r="J212" s="302"/>
    </row>
    <row r="213" spans="1:11" s="129" customFormat="1" ht="15.75" hidden="1" x14ac:dyDescent="0.25">
      <c r="A213" s="345" t="s">
        <v>165</v>
      </c>
      <c r="B213" s="591">
        <v>902</v>
      </c>
      <c r="C213" s="346" t="s">
        <v>159</v>
      </c>
      <c r="D213" s="346" t="s">
        <v>174</v>
      </c>
      <c r="E213" s="346" t="s">
        <v>1029</v>
      </c>
      <c r="F213" s="301"/>
      <c r="G213" s="300">
        <f>G214</f>
        <v>0</v>
      </c>
      <c r="H213" s="532"/>
      <c r="I213" s="532"/>
      <c r="J213" s="302"/>
    </row>
    <row r="214" spans="1:11" s="129" customFormat="1" ht="31.5" hidden="1" x14ac:dyDescent="0.25">
      <c r="A214" s="345" t="s">
        <v>123</v>
      </c>
      <c r="B214" s="591">
        <v>902</v>
      </c>
      <c r="C214" s="346" t="s">
        <v>159</v>
      </c>
      <c r="D214" s="346" t="s">
        <v>174</v>
      </c>
      <c r="E214" s="346" t="s">
        <v>1029</v>
      </c>
      <c r="F214" s="301" t="s">
        <v>124</v>
      </c>
      <c r="G214" s="300">
        <f>G215</f>
        <v>0</v>
      </c>
      <c r="H214" s="532"/>
      <c r="I214" s="532"/>
      <c r="J214" s="302"/>
    </row>
    <row r="215" spans="1:11" s="129" customFormat="1" ht="31.5" hidden="1" x14ac:dyDescent="0.25">
      <c r="A215" s="345" t="s">
        <v>125</v>
      </c>
      <c r="B215" s="591">
        <v>902</v>
      </c>
      <c r="C215" s="346" t="s">
        <v>159</v>
      </c>
      <c r="D215" s="346" t="s">
        <v>174</v>
      </c>
      <c r="E215" s="346" t="s">
        <v>1029</v>
      </c>
      <c r="F215" s="301" t="s">
        <v>126</v>
      </c>
      <c r="G215" s="300">
        <f>100-100</f>
        <v>0</v>
      </c>
      <c r="H215" s="532"/>
      <c r="I215" s="532"/>
      <c r="J215" s="302"/>
    </row>
    <row r="216" spans="1:11" s="129" customFormat="1" ht="31.5" hidden="1" x14ac:dyDescent="0.25">
      <c r="A216" s="345" t="s">
        <v>1062</v>
      </c>
      <c r="B216" s="591">
        <v>902</v>
      </c>
      <c r="C216" s="346" t="s">
        <v>159</v>
      </c>
      <c r="D216" s="346" t="s">
        <v>174</v>
      </c>
      <c r="E216" s="346" t="s">
        <v>1063</v>
      </c>
      <c r="F216" s="301"/>
      <c r="G216" s="300">
        <f>G217+G220</f>
        <v>0</v>
      </c>
      <c r="H216" s="532"/>
      <c r="I216" s="532"/>
      <c r="J216" s="302"/>
    </row>
    <row r="217" spans="1:11" s="129" customFormat="1" ht="31.5" hidden="1" x14ac:dyDescent="0.25">
      <c r="A217" s="345" t="s">
        <v>123</v>
      </c>
      <c r="B217" s="591">
        <v>902</v>
      </c>
      <c r="C217" s="346" t="s">
        <v>159</v>
      </c>
      <c r="D217" s="346" t="s">
        <v>174</v>
      </c>
      <c r="E217" s="346" t="s">
        <v>1063</v>
      </c>
      <c r="F217" s="301" t="s">
        <v>124</v>
      </c>
      <c r="G217" s="300">
        <f>G218</f>
        <v>0</v>
      </c>
      <c r="H217" s="532"/>
      <c r="I217" s="532"/>
      <c r="J217" s="302"/>
    </row>
    <row r="218" spans="1:11" s="129" customFormat="1" ht="31.5" hidden="1" x14ac:dyDescent="0.25">
      <c r="A218" s="345" t="s">
        <v>125</v>
      </c>
      <c r="B218" s="591">
        <v>902</v>
      </c>
      <c r="C218" s="346" t="s">
        <v>159</v>
      </c>
      <c r="D218" s="346" t="s">
        <v>174</v>
      </c>
      <c r="E218" s="346" t="s">
        <v>1063</v>
      </c>
      <c r="F218" s="301" t="s">
        <v>126</v>
      </c>
      <c r="G218" s="300">
        <f>11+21.8-32.8</f>
        <v>0</v>
      </c>
      <c r="H218" s="532"/>
      <c r="I218" s="532"/>
      <c r="J218" s="302"/>
    </row>
    <row r="219" spans="1:11" s="129" customFormat="1" ht="31.5" hidden="1" x14ac:dyDescent="0.25">
      <c r="A219" s="345" t="s">
        <v>1062</v>
      </c>
      <c r="B219" s="591">
        <v>902</v>
      </c>
      <c r="C219" s="346" t="s">
        <v>159</v>
      </c>
      <c r="D219" s="346" t="s">
        <v>174</v>
      </c>
      <c r="E219" s="346" t="s">
        <v>1063</v>
      </c>
      <c r="F219" s="301"/>
      <c r="G219" s="300"/>
      <c r="H219" s="532"/>
      <c r="I219" s="532"/>
      <c r="J219" s="302"/>
    </row>
    <row r="220" spans="1:11" s="129" customFormat="1" ht="15.75" hidden="1" x14ac:dyDescent="0.25">
      <c r="A220" s="345" t="s">
        <v>177</v>
      </c>
      <c r="B220" s="591">
        <v>902</v>
      </c>
      <c r="C220" s="346" t="s">
        <v>159</v>
      </c>
      <c r="D220" s="346" t="s">
        <v>174</v>
      </c>
      <c r="E220" s="346" t="s">
        <v>1063</v>
      </c>
      <c r="F220" s="301" t="s">
        <v>178</v>
      </c>
      <c r="G220" s="300">
        <f>G221</f>
        <v>0</v>
      </c>
      <c r="H220" s="532"/>
      <c r="I220" s="532"/>
      <c r="J220" s="302"/>
    </row>
    <row r="221" spans="1:11" s="129" customFormat="1" ht="30" hidden="1" customHeight="1" x14ac:dyDescent="0.25">
      <c r="A221" s="345" t="s">
        <v>179</v>
      </c>
      <c r="B221" s="591">
        <v>902</v>
      </c>
      <c r="C221" s="346" t="s">
        <v>159</v>
      </c>
      <c r="D221" s="346" t="s">
        <v>174</v>
      </c>
      <c r="E221" s="346" t="s">
        <v>1063</v>
      </c>
      <c r="F221" s="301" t="s">
        <v>180</v>
      </c>
      <c r="G221" s="300"/>
      <c r="H221" s="532"/>
      <c r="I221" s="532"/>
      <c r="J221" s="302"/>
    </row>
    <row r="222" spans="1:11" ht="15.75" x14ac:dyDescent="0.25">
      <c r="A222" s="298" t="s">
        <v>166</v>
      </c>
      <c r="B222" s="296">
        <v>902</v>
      </c>
      <c r="C222" s="299" t="s">
        <v>139</v>
      </c>
      <c r="D222" s="299"/>
      <c r="E222" s="299"/>
      <c r="F222" s="346"/>
      <c r="G222" s="297">
        <f>G233+G223</f>
        <v>705</v>
      </c>
      <c r="H222" s="533"/>
      <c r="I222" s="533"/>
      <c r="J222" s="302"/>
      <c r="K222" s="129"/>
    </row>
    <row r="223" spans="1:11" ht="15.75" x14ac:dyDescent="0.25">
      <c r="A223" s="298" t="s">
        <v>167</v>
      </c>
      <c r="B223" s="296">
        <v>902</v>
      </c>
      <c r="C223" s="299" t="s">
        <v>139</v>
      </c>
      <c r="D223" s="299" t="s">
        <v>168</v>
      </c>
      <c r="E223" s="299"/>
      <c r="F223" s="346"/>
      <c r="G223" s="297">
        <f>G224</f>
        <v>19.199999999999989</v>
      </c>
      <c r="H223" s="532"/>
      <c r="I223" s="532"/>
      <c r="J223" s="302"/>
      <c r="K223" s="129"/>
    </row>
    <row r="224" spans="1:11" ht="42.4" customHeight="1" x14ac:dyDescent="0.25">
      <c r="A224" s="24" t="s">
        <v>848</v>
      </c>
      <c r="B224" s="296">
        <v>902</v>
      </c>
      <c r="C224" s="299" t="s">
        <v>139</v>
      </c>
      <c r="D224" s="299" t="s">
        <v>168</v>
      </c>
      <c r="E224" s="119" t="s">
        <v>147</v>
      </c>
      <c r="F224" s="304"/>
      <c r="G224" s="297">
        <f>G225+G229</f>
        <v>19.199999999999989</v>
      </c>
      <c r="H224" s="532"/>
      <c r="I224" s="532"/>
      <c r="J224" s="302"/>
      <c r="K224" s="129"/>
    </row>
    <row r="225" spans="1:11" s="129" customFormat="1" ht="35.450000000000003" customHeight="1" x14ac:dyDescent="0.25">
      <c r="A225" s="24" t="s">
        <v>567</v>
      </c>
      <c r="B225" s="296">
        <v>902</v>
      </c>
      <c r="C225" s="299" t="s">
        <v>139</v>
      </c>
      <c r="D225" s="299" t="s">
        <v>168</v>
      </c>
      <c r="E225" s="165" t="s">
        <v>451</v>
      </c>
      <c r="F225" s="304"/>
      <c r="G225" s="297">
        <f t="shared" ref="G225:G227" si="10">G226</f>
        <v>19.199999999999989</v>
      </c>
      <c r="H225" s="532"/>
      <c r="I225" s="532"/>
      <c r="J225" s="302"/>
    </row>
    <row r="226" spans="1:11" ht="31.5" x14ac:dyDescent="0.25">
      <c r="A226" s="345" t="s">
        <v>169</v>
      </c>
      <c r="B226" s="591">
        <v>902</v>
      </c>
      <c r="C226" s="346" t="s">
        <v>139</v>
      </c>
      <c r="D226" s="346" t="s">
        <v>168</v>
      </c>
      <c r="E226" s="346" t="s">
        <v>467</v>
      </c>
      <c r="F226" s="301"/>
      <c r="G226" s="300">
        <f t="shared" si="10"/>
        <v>19.199999999999989</v>
      </c>
      <c r="H226" s="532"/>
      <c r="I226" s="532"/>
      <c r="J226" s="302"/>
      <c r="K226" s="129"/>
    </row>
    <row r="227" spans="1:11" ht="15.75" x14ac:dyDescent="0.25">
      <c r="A227" s="20" t="s">
        <v>127</v>
      </c>
      <c r="B227" s="591">
        <v>902</v>
      </c>
      <c r="C227" s="346" t="s">
        <v>139</v>
      </c>
      <c r="D227" s="346" t="s">
        <v>168</v>
      </c>
      <c r="E227" s="346" t="s">
        <v>467</v>
      </c>
      <c r="F227" s="301" t="s">
        <v>134</v>
      </c>
      <c r="G227" s="300">
        <f t="shared" si="10"/>
        <v>19.199999999999989</v>
      </c>
      <c r="H227" s="532"/>
      <c r="I227" s="532"/>
      <c r="J227" s="302"/>
      <c r="K227" s="129"/>
    </row>
    <row r="228" spans="1:11" ht="47.25" x14ac:dyDescent="0.25">
      <c r="A228" s="20" t="s">
        <v>148</v>
      </c>
      <c r="B228" s="591">
        <v>902</v>
      </c>
      <c r="C228" s="346" t="s">
        <v>139</v>
      </c>
      <c r="D228" s="346" t="s">
        <v>168</v>
      </c>
      <c r="E228" s="346" t="s">
        <v>467</v>
      </c>
      <c r="F228" s="301" t="s">
        <v>142</v>
      </c>
      <c r="G228" s="300">
        <f>19.2+255-255</f>
        <v>19.199999999999989</v>
      </c>
      <c r="H228" s="532"/>
      <c r="I228" s="532"/>
      <c r="J228" s="302"/>
      <c r="K228" s="129"/>
    </row>
    <row r="229" spans="1:11" s="129" customFormat="1" ht="31.5" hidden="1" x14ac:dyDescent="0.25">
      <c r="A229" s="518" t="s">
        <v>568</v>
      </c>
      <c r="B229" s="296">
        <v>902</v>
      </c>
      <c r="C229" s="299" t="s">
        <v>139</v>
      </c>
      <c r="D229" s="299" t="s">
        <v>168</v>
      </c>
      <c r="E229" s="119" t="s">
        <v>453</v>
      </c>
      <c r="F229" s="304"/>
      <c r="G229" s="297">
        <f t="shared" ref="G229:G231" si="11">G230</f>
        <v>0</v>
      </c>
      <c r="H229" s="532"/>
      <c r="I229" s="532"/>
      <c r="J229" s="302"/>
    </row>
    <row r="230" spans="1:11" s="129" customFormat="1" ht="15.75" hidden="1" x14ac:dyDescent="0.25">
      <c r="A230" s="345" t="s">
        <v>452</v>
      </c>
      <c r="B230" s="591">
        <v>902</v>
      </c>
      <c r="C230" s="346" t="s">
        <v>139</v>
      </c>
      <c r="D230" s="346" t="s">
        <v>168</v>
      </c>
      <c r="E230" s="4" t="s">
        <v>468</v>
      </c>
      <c r="F230" s="301"/>
      <c r="G230" s="300">
        <f t="shared" si="11"/>
        <v>0</v>
      </c>
      <c r="H230" s="532"/>
      <c r="I230" s="532"/>
      <c r="J230" s="302"/>
    </row>
    <row r="231" spans="1:11" s="129" customFormat="1" ht="15.75" hidden="1" x14ac:dyDescent="0.25">
      <c r="A231" s="20" t="s">
        <v>127</v>
      </c>
      <c r="B231" s="591">
        <v>902</v>
      </c>
      <c r="C231" s="346" t="s">
        <v>139</v>
      </c>
      <c r="D231" s="346" t="s">
        <v>168</v>
      </c>
      <c r="E231" s="4" t="s">
        <v>468</v>
      </c>
      <c r="F231" s="301" t="s">
        <v>134</v>
      </c>
      <c r="G231" s="300">
        <f t="shared" si="11"/>
        <v>0</v>
      </c>
      <c r="H231" s="532"/>
      <c r="I231" s="532"/>
      <c r="J231" s="302"/>
    </row>
    <row r="232" spans="1:11" s="129" customFormat="1" ht="47.25" hidden="1" x14ac:dyDescent="0.25">
      <c r="A232" s="20" t="s">
        <v>148</v>
      </c>
      <c r="B232" s="591">
        <v>902</v>
      </c>
      <c r="C232" s="346" t="s">
        <v>139</v>
      </c>
      <c r="D232" s="346" t="s">
        <v>168</v>
      </c>
      <c r="E232" s="4" t="s">
        <v>468</v>
      </c>
      <c r="F232" s="301" t="s">
        <v>142</v>
      </c>
      <c r="G232" s="300">
        <v>0</v>
      </c>
      <c r="H232" s="532"/>
      <c r="I232" s="532"/>
      <c r="J232" s="302"/>
    </row>
    <row r="233" spans="1:11" ht="15.75" x14ac:dyDescent="0.25">
      <c r="A233" s="298" t="s">
        <v>170</v>
      </c>
      <c r="B233" s="296">
        <v>902</v>
      </c>
      <c r="C233" s="299" t="s">
        <v>139</v>
      </c>
      <c r="D233" s="299" t="s">
        <v>171</v>
      </c>
      <c r="E233" s="299"/>
      <c r="F233" s="299"/>
      <c r="G233" s="297">
        <f>G234+G241</f>
        <v>685.8</v>
      </c>
      <c r="H233" s="532"/>
      <c r="I233" s="532"/>
      <c r="J233" s="302"/>
      <c r="K233" s="129"/>
    </row>
    <row r="234" spans="1:11" ht="31.5" x14ac:dyDescent="0.25">
      <c r="A234" s="298" t="s">
        <v>486</v>
      </c>
      <c r="B234" s="296">
        <v>902</v>
      </c>
      <c r="C234" s="299" t="s">
        <v>139</v>
      </c>
      <c r="D234" s="299" t="s">
        <v>171</v>
      </c>
      <c r="E234" s="299" t="s">
        <v>432</v>
      </c>
      <c r="F234" s="299"/>
      <c r="G234" s="297">
        <f>G235</f>
        <v>315.8</v>
      </c>
      <c r="H234" s="532"/>
      <c r="I234" s="532"/>
      <c r="J234" s="302"/>
      <c r="K234" s="129"/>
    </row>
    <row r="235" spans="1:11" ht="31.5" x14ac:dyDescent="0.25">
      <c r="A235" s="298" t="s">
        <v>458</v>
      </c>
      <c r="B235" s="296">
        <v>902</v>
      </c>
      <c r="C235" s="299" t="s">
        <v>139</v>
      </c>
      <c r="D235" s="299" t="s">
        <v>171</v>
      </c>
      <c r="E235" s="299" t="s">
        <v>437</v>
      </c>
      <c r="F235" s="299"/>
      <c r="G235" s="297">
        <f>G236</f>
        <v>315.8</v>
      </c>
      <c r="H235" s="532"/>
      <c r="I235" s="532"/>
      <c r="J235" s="302"/>
      <c r="K235" s="129"/>
    </row>
    <row r="236" spans="1:11" ht="69.75" customHeight="1" x14ac:dyDescent="0.25">
      <c r="A236" s="22" t="s">
        <v>172</v>
      </c>
      <c r="B236" s="591">
        <v>902</v>
      </c>
      <c r="C236" s="346" t="s">
        <v>139</v>
      </c>
      <c r="D236" s="346" t="s">
        <v>171</v>
      </c>
      <c r="E236" s="346" t="s">
        <v>493</v>
      </c>
      <c r="F236" s="346"/>
      <c r="G236" s="300">
        <f>G237+G239</f>
        <v>315.8</v>
      </c>
      <c r="H236" s="532"/>
      <c r="I236" s="532"/>
      <c r="J236" s="302"/>
      <c r="K236" s="129"/>
    </row>
    <row r="237" spans="1:11" ht="63" x14ac:dyDescent="0.25">
      <c r="A237" s="345" t="s">
        <v>119</v>
      </c>
      <c r="B237" s="591">
        <v>902</v>
      </c>
      <c r="C237" s="346" t="s">
        <v>139</v>
      </c>
      <c r="D237" s="346" t="s">
        <v>171</v>
      </c>
      <c r="E237" s="346" t="s">
        <v>493</v>
      </c>
      <c r="F237" s="346" t="s">
        <v>120</v>
      </c>
      <c r="G237" s="300">
        <f>G238</f>
        <v>287.10000000000002</v>
      </c>
      <c r="H237" s="532"/>
      <c r="I237" s="532"/>
      <c r="J237" s="302"/>
      <c r="K237" s="129"/>
    </row>
    <row r="238" spans="1:11" ht="31.5" x14ac:dyDescent="0.25">
      <c r="A238" s="345" t="s">
        <v>121</v>
      </c>
      <c r="B238" s="591">
        <v>902</v>
      </c>
      <c r="C238" s="346" t="s">
        <v>139</v>
      </c>
      <c r="D238" s="346" t="s">
        <v>171</v>
      </c>
      <c r="E238" s="346" t="s">
        <v>493</v>
      </c>
      <c r="F238" s="346" t="s">
        <v>122</v>
      </c>
      <c r="G238" s="300">
        <v>287.10000000000002</v>
      </c>
      <c r="H238" s="532"/>
      <c r="I238" s="532"/>
      <c r="J238" s="302"/>
      <c r="K238" s="129"/>
    </row>
    <row r="239" spans="1:11" ht="31.5" x14ac:dyDescent="0.25">
      <c r="A239" s="345" t="s">
        <v>123</v>
      </c>
      <c r="B239" s="591">
        <v>902</v>
      </c>
      <c r="C239" s="346" t="s">
        <v>139</v>
      </c>
      <c r="D239" s="346" t="s">
        <v>171</v>
      </c>
      <c r="E239" s="346" t="s">
        <v>493</v>
      </c>
      <c r="F239" s="346" t="s">
        <v>124</v>
      </c>
      <c r="G239" s="300">
        <f>G240</f>
        <v>28.7</v>
      </c>
      <c r="H239" s="532"/>
      <c r="I239" s="532"/>
      <c r="J239" s="302"/>
      <c r="K239" s="129"/>
    </row>
    <row r="240" spans="1:11" ht="31.5" x14ac:dyDescent="0.25">
      <c r="A240" s="345" t="s">
        <v>125</v>
      </c>
      <c r="B240" s="591">
        <v>902</v>
      </c>
      <c r="C240" s="346" t="s">
        <v>139</v>
      </c>
      <c r="D240" s="346" t="s">
        <v>171</v>
      </c>
      <c r="E240" s="346" t="s">
        <v>493</v>
      </c>
      <c r="F240" s="346" t="s">
        <v>126</v>
      </c>
      <c r="G240" s="300">
        <v>28.7</v>
      </c>
      <c r="H240" s="532"/>
      <c r="I240" s="532"/>
      <c r="J240" s="302"/>
      <c r="K240" s="129"/>
    </row>
    <row r="241" spans="1:11" s="129" customFormat="1" ht="33.4" customHeight="1" x14ac:dyDescent="0.25">
      <c r="A241" s="298" t="s">
        <v>840</v>
      </c>
      <c r="B241" s="296">
        <v>902</v>
      </c>
      <c r="C241" s="299" t="s">
        <v>139</v>
      </c>
      <c r="D241" s="299" t="s">
        <v>171</v>
      </c>
      <c r="E241" s="299" t="s">
        <v>141</v>
      </c>
      <c r="F241" s="299"/>
      <c r="G241" s="297">
        <f t="shared" ref="G241:G244" si="12">G242</f>
        <v>370</v>
      </c>
      <c r="H241" s="532"/>
      <c r="I241" s="532"/>
      <c r="J241" s="302"/>
    </row>
    <row r="242" spans="1:11" s="129" customFormat="1" ht="31.5" x14ac:dyDescent="0.25">
      <c r="A242" s="298" t="s">
        <v>619</v>
      </c>
      <c r="B242" s="296">
        <v>902</v>
      </c>
      <c r="C242" s="299" t="s">
        <v>139</v>
      </c>
      <c r="D242" s="299" t="s">
        <v>171</v>
      </c>
      <c r="E242" s="299" t="s">
        <v>617</v>
      </c>
      <c r="F242" s="299"/>
      <c r="G242" s="297">
        <f t="shared" si="12"/>
        <v>370</v>
      </c>
      <c r="H242" s="532"/>
      <c r="I242" s="532"/>
      <c r="J242" s="302"/>
    </row>
    <row r="243" spans="1:11" s="129" customFormat="1" ht="31.5" x14ac:dyDescent="0.25">
      <c r="A243" s="345" t="s">
        <v>620</v>
      </c>
      <c r="B243" s="591">
        <v>902</v>
      </c>
      <c r="C243" s="346" t="s">
        <v>139</v>
      </c>
      <c r="D243" s="346" t="s">
        <v>171</v>
      </c>
      <c r="E243" s="346" t="s">
        <v>618</v>
      </c>
      <c r="F243" s="346"/>
      <c r="G243" s="300">
        <f t="shared" si="12"/>
        <v>370</v>
      </c>
      <c r="H243" s="532"/>
      <c r="I243" s="532"/>
      <c r="J243" s="302"/>
    </row>
    <row r="244" spans="1:11" s="129" customFormat="1" ht="15.75" x14ac:dyDescent="0.25">
      <c r="A244" s="345" t="s">
        <v>127</v>
      </c>
      <c r="B244" s="591">
        <v>902</v>
      </c>
      <c r="C244" s="346" t="s">
        <v>139</v>
      </c>
      <c r="D244" s="346" t="s">
        <v>171</v>
      </c>
      <c r="E244" s="346" t="s">
        <v>618</v>
      </c>
      <c r="F244" s="346" t="s">
        <v>134</v>
      </c>
      <c r="G244" s="300">
        <f t="shared" si="12"/>
        <v>370</v>
      </c>
      <c r="H244" s="532"/>
      <c r="I244" s="532"/>
      <c r="J244" s="302"/>
    </row>
    <row r="245" spans="1:11" s="129" customFormat="1" ht="47.25" x14ac:dyDescent="0.25">
      <c r="A245" s="345" t="s">
        <v>148</v>
      </c>
      <c r="B245" s="591">
        <v>902</v>
      </c>
      <c r="C245" s="346" t="s">
        <v>139</v>
      </c>
      <c r="D245" s="346" t="s">
        <v>171</v>
      </c>
      <c r="E245" s="346" t="s">
        <v>618</v>
      </c>
      <c r="F245" s="346" t="s">
        <v>142</v>
      </c>
      <c r="G245" s="300">
        <f>150+360-140</f>
        <v>370</v>
      </c>
      <c r="H245" s="532"/>
      <c r="I245" s="532"/>
      <c r="J245" s="302"/>
    </row>
    <row r="246" spans="1:11" ht="16.5" customHeight="1" x14ac:dyDescent="0.25">
      <c r="A246" s="298" t="s">
        <v>173</v>
      </c>
      <c r="B246" s="296">
        <v>902</v>
      </c>
      <c r="C246" s="299" t="s">
        <v>174</v>
      </c>
      <c r="D246" s="299"/>
      <c r="E246" s="299"/>
      <c r="F246" s="299"/>
      <c r="G246" s="297">
        <f>G247+G253+G259</f>
        <v>16762.422399999999</v>
      </c>
      <c r="H246" s="533"/>
      <c r="I246" s="533"/>
      <c r="J246" s="302"/>
      <c r="K246" s="129"/>
    </row>
    <row r="247" spans="1:11" ht="15.75" x14ac:dyDescent="0.25">
      <c r="A247" s="298" t="s">
        <v>175</v>
      </c>
      <c r="B247" s="296">
        <v>902</v>
      </c>
      <c r="C247" s="299" t="s">
        <v>174</v>
      </c>
      <c r="D247" s="299" t="s">
        <v>116</v>
      </c>
      <c r="E247" s="299"/>
      <c r="F247" s="299"/>
      <c r="G247" s="297">
        <f t="shared" ref="G247:G251" si="13">G248</f>
        <v>12745.0224</v>
      </c>
      <c r="H247" s="532"/>
      <c r="I247" s="532"/>
      <c r="J247" s="302"/>
      <c r="K247" s="129"/>
    </row>
    <row r="248" spans="1:11" ht="15.75" x14ac:dyDescent="0.25">
      <c r="A248" s="298" t="s">
        <v>133</v>
      </c>
      <c r="B248" s="296">
        <v>902</v>
      </c>
      <c r="C248" s="299" t="s">
        <v>174</v>
      </c>
      <c r="D248" s="299" t="s">
        <v>116</v>
      </c>
      <c r="E248" s="299" t="s">
        <v>440</v>
      </c>
      <c r="F248" s="299"/>
      <c r="G248" s="297">
        <f t="shared" si="13"/>
        <v>12745.0224</v>
      </c>
      <c r="H248" s="532"/>
      <c r="I248" s="532"/>
      <c r="J248" s="302"/>
      <c r="K248" s="129"/>
    </row>
    <row r="249" spans="1:11" ht="31.5" x14ac:dyDescent="0.25">
      <c r="A249" s="298" t="s">
        <v>444</v>
      </c>
      <c r="B249" s="296">
        <v>902</v>
      </c>
      <c r="C249" s="299" t="s">
        <v>174</v>
      </c>
      <c r="D249" s="299" t="s">
        <v>116</v>
      </c>
      <c r="E249" s="299" t="s">
        <v>439</v>
      </c>
      <c r="F249" s="299"/>
      <c r="G249" s="297">
        <f t="shared" si="13"/>
        <v>12745.0224</v>
      </c>
      <c r="H249" s="532"/>
      <c r="I249" s="532"/>
      <c r="J249" s="302"/>
      <c r="K249" s="129"/>
    </row>
    <row r="250" spans="1:11" ht="15.75" x14ac:dyDescent="0.25">
      <c r="A250" s="345" t="s">
        <v>176</v>
      </c>
      <c r="B250" s="591">
        <v>902</v>
      </c>
      <c r="C250" s="346" t="s">
        <v>174</v>
      </c>
      <c r="D250" s="346" t="s">
        <v>116</v>
      </c>
      <c r="E250" s="346" t="s">
        <v>454</v>
      </c>
      <c r="F250" s="346"/>
      <c r="G250" s="300">
        <f t="shared" si="13"/>
        <v>12745.0224</v>
      </c>
      <c r="H250" s="532"/>
      <c r="I250" s="532"/>
      <c r="J250" s="302"/>
      <c r="K250" s="129"/>
    </row>
    <row r="251" spans="1:11" ht="15.75" x14ac:dyDescent="0.25">
      <c r="A251" s="345" t="s">
        <v>177</v>
      </c>
      <c r="B251" s="591">
        <v>902</v>
      </c>
      <c r="C251" s="346" t="s">
        <v>174</v>
      </c>
      <c r="D251" s="346" t="s">
        <v>116</v>
      </c>
      <c r="E251" s="346" t="s">
        <v>454</v>
      </c>
      <c r="F251" s="346" t="s">
        <v>178</v>
      </c>
      <c r="G251" s="300">
        <f t="shared" si="13"/>
        <v>12745.0224</v>
      </c>
      <c r="H251" s="532"/>
      <c r="I251" s="532"/>
      <c r="J251" s="302"/>
      <c r="K251" s="129"/>
    </row>
    <row r="252" spans="1:11" ht="15.75" x14ac:dyDescent="0.25">
      <c r="A252" s="345" t="s">
        <v>216</v>
      </c>
      <c r="B252" s="591">
        <v>902</v>
      </c>
      <c r="C252" s="346" t="s">
        <v>174</v>
      </c>
      <c r="D252" s="346" t="s">
        <v>116</v>
      </c>
      <c r="E252" s="346" t="s">
        <v>454</v>
      </c>
      <c r="F252" s="346" t="s">
        <v>217</v>
      </c>
      <c r="G252" s="18">
        <f>9913.5+1140+1691.5224</f>
        <v>12745.0224</v>
      </c>
      <c r="H252" s="532"/>
      <c r="I252" s="532"/>
      <c r="J252" s="302"/>
      <c r="K252" s="129"/>
    </row>
    <row r="253" spans="1:11" ht="15.75" x14ac:dyDescent="0.25">
      <c r="A253" s="298" t="s">
        <v>181</v>
      </c>
      <c r="B253" s="296">
        <v>902</v>
      </c>
      <c r="C253" s="299" t="s">
        <v>174</v>
      </c>
      <c r="D253" s="299" t="s">
        <v>159</v>
      </c>
      <c r="E253" s="346"/>
      <c r="F253" s="346"/>
      <c r="G253" s="297">
        <f t="shared" ref="G253:G257" si="14">G254</f>
        <v>10</v>
      </c>
      <c r="H253" s="532"/>
      <c r="I253" s="532"/>
      <c r="J253" s="302"/>
      <c r="K253" s="129"/>
    </row>
    <row r="254" spans="1:11" ht="47.25" x14ac:dyDescent="0.25">
      <c r="A254" s="298" t="s">
        <v>850</v>
      </c>
      <c r="B254" s="296">
        <v>902</v>
      </c>
      <c r="C254" s="299" t="s">
        <v>174</v>
      </c>
      <c r="D254" s="299" t="s">
        <v>159</v>
      </c>
      <c r="E254" s="299" t="s">
        <v>182</v>
      </c>
      <c r="F254" s="299"/>
      <c r="G254" s="297">
        <f t="shared" si="14"/>
        <v>10</v>
      </c>
      <c r="H254" s="532"/>
      <c r="I254" s="532"/>
      <c r="J254" s="302"/>
      <c r="K254" s="129"/>
    </row>
    <row r="255" spans="1:11" s="129" customFormat="1" ht="31.5" x14ac:dyDescent="0.25">
      <c r="A255" s="24" t="s">
        <v>457</v>
      </c>
      <c r="B255" s="296">
        <v>902</v>
      </c>
      <c r="C255" s="299" t="s">
        <v>174</v>
      </c>
      <c r="D255" s="299" t="s">
        <v>159</v>
      </c>
      <c r="E255" s="299" t="s">
        <v>455</v>
      </c>
      <c r="F255" s="299"/>
      <c r="G255" s="297">
        <f t="shared" si="14"/>
        <v>10</v>
      </c>
      <c r="H255" s="532"/>
      <c r="I255" s="532"/>
      <c r="J255" s="302"/>
    </row>
    <row r="256" spans="1:11" ht="28.5" customHeight="1" x14ac:dyDescent="0.25">
      <c r="A256" s="345" t="s">
        <v>728</v>
      </c>
      <c r="B256" s="591">
        <v>902</v>
      </c>
      <c r="C256" s="346" t="s">
        <v>174</v>
      </c>
      <c r="D256" s="346" t="s">
        <v>159</v>
      </c>
      <c r="E256" s="346" t="s">
        <v>726</v>
      </c>
      <c r="F256" s="346"/>
      <c r="G256" s="300">
        <f t="shared" si="14"/>
        <v>10</v>
      </c>
      <c r="H256" s="532"/>
      <c r="I256" s="532"/>
      <c r="J256" s="302"/>
      <c r="K256" s="129"/>
    </row>
    <row r="257" spans="1:11" ht="19.5" customHeight="1" x14ac:dyDescent="0.25">
      <c r="A257" s="345" t="s">
        <v>177</v>
      </c>
      <c r="B257" s="591">
        <v>902</v>
      </c>
      <c r="C257" s="346" t="s">
        <v>174</v>
      </c>
      <c r="D257" s="346" t="s">
        <v>159</v>
      </c>
      <c r="E257" s="346" t="s">
        <v>726</v>
      </c>
      <c r="F257" s="346" t="s">
        <v>178</v>
      </c>
      <c r="G257" s="300">
        <f t="shared" si="14"/>
        <v>10</v>
      </c>
      <c r="H257" s="532"/>
      <c r="I257" s="532"/>
      <c r="J257" s="302"/>
      <c r="K257" s="129"/>
    </row>
    <row r="258" spans="1:11" ht="15.75" x14ac:dyDescent="0.25">
      <c r="A258" s="345" t="s">
        <v>216</v>
      </c>
      <c r="B258" s="591">
        <v>902</v>
      </c>
      <c r="C258" s="346" t="s">
        <v>174</v>
      </c>
      <c r="D258" s="346" t="s">
        <v>159</v>
      </c>
      <c r="E258" s="346" t="s">
        <v>726</v>
      </c>
      <c r="F258" s="346" t="s">
        <v>217</v>
      </c>
      <c r="G258" s="300">
        <v>10</v>
      </c>
      <c r="H258" s="532"/>
      <c r="I258" s="532"/>
      <c r="J258" s="302"/>
      <c r="K258" s="129"/>
    </row>
    <row r="259" spans="1:11" ht="15.75" x14ac:dyDescent="0.25">
      <c r="A259" s="298" t="s">
        <v>183</v>
      </c>
      <c r="B259" s="296">
        <v>902</v>
      </c>
      <c r="C259" s="299" t="s">
        <v>174</v>
      </c>
      <c r="D259" s="299" t="s">
        <v>118</v>
      </c>
      <c r="E259" s="299"/>
      <c r="F259" s="299"/>
      <c r="G259" s="297">
        <f>G260+G267</f>
        <v>4007.4</v>
      </c>
      <c r="H259" s="532"/>
      <c r="I259" s="532"/>
      <c r="J259" s="302"/>
      <c r="K259" s="129"/>
    </row>
    <row r="260" spans="1:11" ht="31.5" x14ac:dyDescent="0.25">
      <c r="A260" s="298" t="s">
        <v>486</v>
      </c>
      <c r="B260" s="296">
        <v>902</v>
      </c>
      <c r="C260" s="299" t="s">
        <v>174</v>
      </c>
      <c r="D260" s="299" t="s">
        <v>118</v>
      </c>
      <c r="E260" s="299" t="s">
        <v>432</v>
      </c>
      <c r="F260" s="299"/>
      <c r="G260" s="297">
        <f t="shared" ref="G260:G261" si="15">G261</f>
        <v>3551.5</v>
      </c>
      <c r="H260" s="532"/>
      <c r="I260" s="532"/>
      <c r="J260" s="302"/>
      <c r="K260" s="129"/>
    </row>
    <row r="261" spans="1:11" ht="31.5" x14ac:dyDescent="0.25">
      <c r="A261" s="298" t="s">
        <v>458</v>
      </c>
      <c r="B261" s="296">
        <v>902</v>
      </c>
      <c r="C261" s="299" t="s">
        <v>174</v>
      </c>
      <c r="D261" s="299" t="s">
        <v>118</v>
      </c>
      <c r="E261" s="299" t="s">
        <v>437</v>
      </c>
      <c r="F261" s="299"/>
      <c r="G261" s="297">
        <f t="shared" si="15"/>
        <v>3551.5</v>
      </c>
      <c r="H261" s="532"/>
      <c r="I261" s="532"/>
      <c r="J261" s="302"/>
      <c r="K261" s="129"/>
    </row>
    <row r="262" spans="1:11" ht="47.25" customHeight="1" x14ac:dyDescent="0.25">
      <c r="A262" s="22" t="s">
        <v>184</v>
      </c>
      <c r="B262" s="591">
        <v>902</v>
      </c>
      <c r="C262" s="346" t="s">
        <v>174</v>
      </c>
      <c r="D262" s="346" t="s">
        <v>118</v>
      </c>
      <c r="E262" s="346" t="s">
        <v>494</v>
      </c>
      <c r="F262" s="346"/>
      <c r="G262" s="300">
        <f>G263+G265</f>
        <v>3551.5</v>
      </c>
      <c r="H262" s="532"/>
      <c r="I262" s="532"/>
      <c r="J262" s="302"/>
      <c r="K262" s="129"/>
    </row>
    <row r="263" spans="1:11" ht="63" x14ac:dyDescent="0.25">
      <c r="A263" s="345" t="s">
        <v>119</v>
      </c>
      <c r="B263" s="591">
        <v>902</v>
      </c>
      <c r="C263" s="346" t="s">
        <v>174</v>
      </c>
      <c r="D263" s="346" t="s">
        <v>118</v>
      </c>
      <c r="E263" s="346" t="s">
        <v>494</v>
      </c>
      <c r="F263" s="346" t="s">
        <v>120</v>
      </c>
      <c r="G263" s="300">
        <f>G264</f>
        <v>3426.1</v>
      </c>
      <c r="H263" s="532"/>
      <c r="I263" s="532"/>
      <c r="J263" s="302"/>
      <c r="K263" s="129"/>
    </row>
    <row r="264" spans="1:11" ht="31.5" x14ac:dyDescent="0.25">
      <c r="A264" s="345" t="s">
        <v>121</v>
      </c>
      <c r="B264" s="591">
        <v>902</v>
      </c>
      <c r="C264" s="346" t="s">
        <v>174</v>
      </c>
      <c r="D264" s="346" t="s">
        <v>118</v>
      </c>
      <c r="E264" s="346" t="s">
        <v>494</v>
      </c>
      <c r="F264" s="346" t="s">
        <v>122</v>
      </c>
      <c r="G264" s="18">
        <v>3426.1</v>
      </c>
      <c r="H264" s="532"/>
      <c r="I264" s="532"/>
      <c r="J264" s="302"/>
      <c r="K264" s="129"/>
    </row>
    <row r="265" spans="1:11" ht="31.5" x14ac:dyDescent="0.25">
      <c r="A265" s="345" t="s">
        <v>123</v>
      </c>
      <c r="B265" s="591">
        <v>902</v>
      </c>
      <c r="C265" s="346" t="s">
        <v>174</v>
      </c>
      <c r="D265" s="346" t="s">
        <v>118</v>
      </c>
      <c r="E265" s="346" t="s">
        <v>494</v>
      </c>
      <c r="F265" s="346" t="s">
        <v>124</v>
      </c>
      <c r="G265" s="300">
        <f>G266</f>
        <v>125.4</v>
      </c>
      <c r="H265" s="532"/>
      <c r="I265" s="532"/>
      <c r="J265" s="302"/>
      <c r="K265" s="129"/>
    </row>
    <row r="266" spans="1:11" ht="31.5" x14ac:dyDescent="0.25">
      <c r="A266" s="345" t="s">
        <v>125</v>
      </c>
      <c r="B266" s="591">
        <v>902</v>
      </c>
      <c r="C266" s="346" t="s">
        <v>174</v>
      </c>
      <c r="D266" s="346" t="s">
        <v>118</v>
      </c>
      <c r="E266" s="346" t="s">
        <v>494</v>
      </c>
      <c r="F266" s="346" t="s">
        <v>126</v>
      </c>
      <c r="G266" s="18">
        <v>125.4</v>
      </c>
      <c r="H266" s="532"/>
      <c r="I266" s="532"/>
      <c r="J266" s="302"/>
      <c r="K266" s="129"/>
    </row>
    <row r="267" spans="1:11" s="344" customFormat="1" ht="47.25" x14ac:dyDescent="0.25">
      <c r="A267" s="340" t="s">
        <v>845</v>
      </c>
      <c r="B267" s="296">
        <v>902</v>
      </c>
      <c r="C267" s="299" t="s">
        <v>174</v>
      </c>
      <c r="D267" s="299" t="s">
        <v>118</v>
      </c>
      <c r="E267" s="299" t="s">
        <v>339</v>
      </c>
      <c r="F267" s="346"/>
      <c r="G267" s="28">
        <f>G268</f>
        <v>455.90000000000003</v>
      </c>
      <c r="H267" s="532"/>
      <c r="I267" s="532"/>
      <c r="J267" s="302"/>
    </row>
    <row r="268" spans="1:11" s="344" customFormat="1" ht="31.5" x14ac:dyDescent="0.25">
      <c r="A268" s="303" t="s">
        <v>1027</v>
      </c>
      <c r="B268" s="296">
        <v>902</v>
      </c>
      <c r="C268" s="299" t="s">
        <v>174</v>
      </c>
      <c r="D268" s="299" t="s">
        <v>118</v>
      </c>
      <c r="E268" s="299" t="s">
        <v>1028</v>
      </c>
      <c r="F268" s="304"/>
      <c r="G268" s="28">
        <f>G272</f>
        <v>455.90000000000003</v>
      </c>
      <c r="H268" s="532"/>
      <c r="I268" s="532"/>
      <c r="J268" s="302"/>
    </row>
    <row r="269" spans="1:11" s="344" customFormat="1" ht="15.75" hidden="1" x14ac:dyDescent="0.25">
      <c r="A269" s="345" t="s">
        <v>165</v>
      </c>
      <c r="B269" s="591">
        <v>902</v>
      </c>
      <c r="C269" s="346" t="s">
        <v>174</v>
      </c>
      <c r="D269" s="346" t="s">
        <v>118</v>
      </c>
      <c r="E269" s="346" t="s">
        <v>1029</v>
      </c>
      <c r="F269" s="301"/>
      <c r="G269" s="18"/>
      <c r="H269" s="532"/>
      <c r="I269" s="532"/>
      <c r="J269" s="302"/>
    </row>
    <row r="270" spans="1:11" s="344" customFormat="1" ht="31.5" hidden="1" x14ac:dyDescent="0.25">
      <c r="A270" s="345" t="s">
        <v>123</v>
      </c>
      <c r="B270" s="591">
        <v>902</v>
      </c>
      <c r="C270" s="346" t="s">
        <v>174</v>
      </c>
      <c r="D270" s="346" t="s">
        <v>118</v>
      </c>
      <c r="E270" s="346" t="s">
        <v>1029</v>
      </c>
      <c r="F270" s="301" t="s">
        <v>124</v>
      </c>
      <c r="G270" s="18"/>
      <c r="H270" s="532"/>
      <c r="I270" s="532"/>
      <c r="J270" s="302"/>
    </row>
    <row r="271" spans="1:11" s="344" customFormat="1" ht="31.5" hidden="1" x14ac:dyDescent="0.25">
      <c r="A271" s="345" t="s">
        <v>125</v>
      </c>
      <c r="B271" s="591">
        <v>902</v>
      </c>
      <c r="C271" s="346" t="s">
        <v>174</v>
      </c>
      <c r="D271" s="346" t="s">
        <v>118</v>
      </c>
      <c r="E271" s="346" t="s">
        <v>1029</v>
      </c>
      <c r="F271" s="301" t="s">
        <v>126</v>
      </c>
      <c r="G271" s="18"/>
      <c r="H271" s="532"/>
      <c r="I271" s="532"/>
      <c r="J271" s="302"/>
    </row>
    <row r="272" spans="1:11" s="344" customFormat="1" ht="47.25" x14ac:dyDescent="0.25">
      <c r="A272" s="345" t="s">
        <v>1338</v>
      </c>
      <c r="B272" s="591">
        <v>902</v>
      </c>
      <c r="C272" s="346" t="s">
        <v>174</v>
      </c>
      <c r="D272" s="346" t="s">
        <v>118</v>
      </c>
      <c r="E272" s="346" t="s">
        <v>1063</v>
      </c>
      <c r="F272" s="301"/>
      <c r="G272" s="18">
        <f>G273</f>
        <v>455.90000000000003</v>
      </c>
      <c r="H272" s="532"/>
      <c r="I272" s="532"/>
      <c r="J272" s="302"/>
    </row>
    <row r="273" spans="1:11" s="344" customFormat="1" ht="15.75" x14ac:dyDescent="0.25">
      <c r="A273" s="345" t="s">
        <v>177</v>
      </c>
      <c r="B273" s="591">
        <v>902</v>
      </c>
      <c r="C273" s="346" t="s">
        <v>174</v>
      </c>
      <c r="D273" s="346" t="s">
        <v>118</v>
      </c>
      <c r="E273" s="346" t="s">
        <v>1063</v>
      </c>
      <c r="F273" s="301" t="s">
        <v>178</v>
      </c>
      <c r="G273" s="18">
        <f>G274</f>
        <v>455.90000000000003</v>
      </c>
      <c r="H273" s="532"/>
      <c r="I273" s="532"/>
      <c r="J273" s="302"/>
    </row>
    <row r="274" spans="1:11" s="344" customFormat="1" ht="31.5" x14ac:dyDescent="0.25">
      <c r="A274" s="345" t="s">
        <v>179</v>
      </c>
      <c r="B274" s="591">
        <v>902</v>
      </c>
      <c r="C274" s="346" t="s">
        <v>174</v>
      </c>
      <c r="D274" s="346" t="s">
        <v>118</v>
      </c>
      <c r="E274" s="346" t="s">
        <v>1063</v>
      </c>
      <c r="F274" s="301" t="s">
        <v>180</v>
      </c>
      <c r="G274" s="18">
        <f>422.6+32.8+0.5</f>
        <v>455.90000000000003</v>
      </c>
      <c r="H274" s="532"/>
      <c r="I274" s="532"/>
      <c r="J274" s="302"/>
    </row>
    <row r="275" spans="1:11" ht="48.75" customHeight="1" x14ac:dyDescent="0.25">
      <c r="A275" s="296" t="s">
        <v>185</v>
      </c>
      <c r="B275" s="296">
        <v>903</v>
      </c>
      <c r="C275" s="346"/>
      <c r="D275" s="346"/>
      <c r="E275" s="346"/>
      <c r="F275" s="346"/>
      <c r="G275" s="297">
        <f>G332+G408+G552+G276+G312+G577</f>
        <v>126449.54088999999</v>
      </c>
      <c r="H275" s="533"/>
      <c r="I275" s="533"/>
      <c r="J275" s="302"/>
      <c r="K275" s="129"/>
    </row>
    <row r="276" spans="1:11" ht="15.75" x14ac:dyDescent="0.25">
      <c r="A276" s="298" t="s">
        <v>115</v>
      </c>
      <c r="B276" s="296">
        <v>903</v>
      </c>
      <c r="C276" s="299" t="s">
        <v>116</v>
      </c>
      <c r="D276" s="346"/>
      <c r="E276" s="346"/>
      <c r="F276" s="346"/>
      <c r="G276" s="297">
        <f>G277</f>
        <v>724.69299999999987</v>
      </c>
      <c r="H276" s="532"/>
      <c r="I276" s="532"/>
      <c r="J276" s="302"/>
      <c r="K276" s="129"/>
    </row>
    <row r="277" spans="1:11" ht="15.75" x14ac:dyDescent="0.25">
      <c r="A277" s="298" t="s">
        <v>131</v>
      </c>
      <c r="B277" s="296">
        <v>903</v>
      </c>
      <c r="C277" s="299" t="s">
        <v>116</v>
      </c>
      <c r="D277" s="299" t="s">
        <v>132</v>
      </c>
      <c r="E277" s="346"/>
      <c r="F277" s="346"/>
      <c r="G277" s="297">
        <f>G278+G290+G307</f>
        <v>724.69299999999987</v>
      </c>
      <c r="H277" s="532"/>
      <c r="I277" s="532"/>
      <c r="J277" s="302"/>
      <c r="K277" s="129"/>
    </row>
    <row r="278" spans="1:11" ht="47.25" x14ac:dyDescent="0.25">
      <c r="A278" s="298" t="s">
        <v>851</v>
      </c>
      <c r="B278" s="296">
        <v>903</v>
      </c>
      <c r="C278" s="7" t="s">
        <v>116</v>
      </c>
      <c r="D278" s="7" t="s">
        <v>132</v>
      </c>
      <c r="E278" s="119" t="s">
        <v>213</v>
      </c>
      <c r="F278" s="7"/>
      <c r="G278" s="297">
        <f>G279</f>
        <v>698.69299999999987</v>
      </c>
      <c r="H278" s="532"/>
      <c r="I278" s="532"/>
      <c r="J278" s="302"/>
      <c r="K278" s="129"/>
    </row>
    <row r="279" spans="1:11" ht="73.5" customHeight="1" x14ac:dyDescent="0.25">
      <c r="A279" s="340" t="s">
        <v>852</v>
      </c>
      <c r="B279" s="296">
        <v>903</v>
      </c>
      <c r="C279" s="6" t="s">
        <v>116</v>
      </c>
      <c r="D279" s="6" t="s">
        <v>132</v>
      </c>
      <c r="E279" s="6" t="s">
        <v>222</v>
      </c>
      <c r="F279" s="6"/>
      <c r="G279" s="297">
        <f>G280</f>
        <v>698.69299999999987</v>
      </c>
      <c r="H279" s="532"/>
      <c r="I279" s="532"/>
      <c r="J279" s="302"/>
      <c r="K279" s="129"/>
    </row>
    <row r="280" spans="1:11" s="129" customFormat="1" ht="47.25" x14ac:dyDescent="0.25">
      <c r="A280" s="164" t="s">
        <v>604</v>
      </c>
      <c r="B280" s="296">
        <v>903</v>
      </c>
      <c r="C280" s="6" t="s">
        <v>116</v>
      </c>
      <c r="D280" s="6" t="s">
        <v>132</v>
      </c>
      <c r="E280" s="6" t="s">
        <v>478</v>
      </c>
      <c r="F280" s="6"/>
      <c r="G280" s="297">
        <f>G281+G284+G287</f>
        <v>698.69299999999987</v>
      </c>
      <c r="H280" s="532"/>
      <c r="I280" s="532"/>
      <c r="J280" s="302"/>
    </row>
    <row r="281" spans="1:11" ht="31.5" x14ac:dyDescent="0.25">
      <c r="A281" s="67" t="s">
        <v>647</v>
      </c>
      <c r="B281" s="591">
        <v>903</v>
      </c>
      <c r="C281" s="341" t="s">
        <v>116</v>
      </c>
      <c r="D281" s="341" t="s">
        <v>132</v>
      </c>
      <c r="E281" s="341" t="s">
        <v>736</v>
      </c>
      <c r="F281" s="341"/>
      <c r="G281" s="300">
        <f>G282</f>
        <v>507.99999999999994</v>
      </c>
      <c r="H281" s="532"/>
      <c r="I281" s="532"/>
      <c r="J281" s="302"/>
      <c r="K281" s="129"/>
    </row>
    <row r="282" spans="1:11" ht="31.5" x14ac:dyDescent="0.25">
      <c r="A282" s="20" t="s">
        <v>123</v>
      </c>
      <c r="B282" s="591">
        <v>903</v>
      </c>
      <c r="C282" s="341" t="s">
        <v>116</v>
      </c>
      <c r="D282" s="341" t="s">
        <v>132</v>
      </c>
      <c r="E282" s="341" t="s">
        <v>736</v>
      </c>
      <c r="F282" s="341" t="s">
        <v>124</v>
      </c>
      <c r="G282" s="300">
        <f>G283</f>
        <v>507.99999999999994</v>
      </c>
      <c r="H282" s="532"/>
      <c r="I282" s="532"/>
      <c r="J282" s="302"/>
      <c r="K282" s="129"/>
    </row>
    <row r="283" spans="1:11" ht="31.5" x14ac:dyDescent="0.25">
      <c r="A283" s="20" t="s">
        <v>125</v>
      </c>
      <c r="B283" s="591">
        <v>903</v>
      </c>
      <c r="C283" s="341" t="s">
        <v>116</v>
      </c>
      <c r="D283" s="341" t="s">
        <v>132</v>
      </c>
      <c r="E283" s="341" t="s">
        <v>736</v>
      </c>
      <c r="F283" s="341" t="s">
        <v>126</v>
      </c>
      <c r="G283" s="300">
        <f>247.3+200-6.5+286.7-247.3-2.1+29.9</f>
        <v>507.99999999999994</v>
      </c>
      <c r="H283" s="532"/>
      <c r="I283" s="532"/>
      <c r="J283" s="302"/>
      <c r="K283" s="129"/>
    </row>
    <row r="284" spans="1:11" s="129" customFormat="1" ht="31.5" x14ac:dyDescent="0.25">
      <c r="A284" s="29" t="s">
        <v>1025</v>
      </c>
      <c r="B284" s="591">
        <v>903</v>
      </c>
      <c r="C284" s="341" t="s">
        <v>116</v>
      </c>
      <c r="D284" s="341" t="s">
        <v>132</v>
      </c>
      <c r="E284" s="341" t="s">
        <v>1059</v>
      </c>
      <c r="F284" s="341"/>
      <c r="G284" s="300">
        <f>G285</f>
        <v>153.1</v>
      </c>
      <c r="H284" s="532"/>
      <c r="I284" s="532"/>
      <c r="J284" s="302"/>
    </row>
    <row r="285" spans="1:11" s="129" customFormat="1" ht="31.5" x14ac:dyDescent="0.25">
      <c r="A285" s="20" t="s">
        <v>123</v>
      </c>
      <c r="B285" s="591">
        <v>903</v>
      </c>
      <c r="C285" s="341" t="s">
        <v>116</v>
      </c>
      <c r="D285" s="341" t="s">
        <v>132</v>
      </c>
      <c r="E285" s="341" t="s">
        <v>1059</v>
      </c>
      <c r="F285" s="341" t="s">
        <v>124</v>
      </c>
      <c r="G285" s="300">
        <f>G286</f>
        <v>153.1</v>
      </c>
      <c r="H285" s="532"/>
      <c r="I285" s="532"/>
      <c r="J285" s="302"/>
    </row>
    <row r="286" spans="1:11" s="129" customFormat="1" ht="31.5" x14ac:dyDescent="0.25">
      <c r="A286" s="20" t="s">
        <v>125</v>
      </c>
      <c r="B286" s="591">
        <v>903</v>
      </c>
      <c r="C286" s="341" t="s">
        <v>116</v>
      </c>
      <c r="D286" s="341" t="s">
        <v>132</v>
      </c>
      <c r="E286" s="341" t="s">
        <v>1059</v>
      </c>
      <c r="F286" s="341" t="s">
        <v>126</v>
      </c>
      <c r="G286" s="300">
        <f>200+15.1-62</f>
        <v>153.1</v>
      </c>
      <c r="H286" s="534"/>
      <c r="I286" s="534"/>
      <c r="J286" s="302"/>
    </row>
    <row r="287" spans="1:11" s="338" customFormat="1" ht="30.6" customHeight="1" x14ac:dyDescent="0.25">
      <c r="A287" s="20" t="s">
        <v>1149</v>
      </c>
      <c r="B287" s="591">
        <v>903</v>
      </c>
      <c r="C287" s="341" t="s">
        <v>116</v>
      </c>
      <c r="D287" s="341" t="s">
        <v>132</v>
      </c>
      <c r="E287" s="8" t="s">
        <v>1150</v>
      </c>
      <c r="F287" s="341"/>
      <c r="G287" s="300">
        <f>G289</f>
        <v>37.593000000000004</v>
      </c>
      <c r="H287" s="534"/>
      <c r="I287" s="534"/>
      <c r="J287" s="302"/>
    </row>
    <row r="288" spans="1:11" s="338" customFormat="1" ht="31.5" x14ac:dyDescent="0.25">
      <c r="A288" s="20" t="s">
        <v>123</v>
      </c>
      <c r="B288" s="591">
        <v>903</v>
      </c>
      <c r="C288" s="341" t="s">
        <v>116</v>
      </c>
      <c r="D288" s="341" t="s">
        <v>132</v>
      </c>
      <c r="E288" s="8" t="s">
        <v>1150</v>
      </c>
      <c r="F288" s="341" t="s">
        <v>124</v>
      </c>
      <c r="G288" s="300">
        <f>G289</f>
        <v>37.593000000000004</v>
      </c>
      <c r="H288" s="534"/>
      <c r="I288" s="534"/>
      <c r="J288" s="302"/>
    </row>
    <row r="289" spans="1:11" s="338" customFormat="1" ht="31.5" x14ac:dyDescent="0.25">
      <c r="A289" s="20" t="s">
        <v>125</v>
      </c>
      <c r="B289" s="591">
        <v>903</v>
      </c>
      <c r="C289" s="341" t="s">
        <v>116</v>
      </c>
      <c r="D289" s="341" t="s">
        <v>132</v>
      </c>
      <c r="E289" s="8" t="s">
        <v>1150</v>
      </c>
      <c r="F289" s="341" t="s">
        <v>126</v>
      </c>
      <c r="G289" s="300">
        <f>98.967+7.453-63.667-0.007-5.153</f>
        <v>37.593000000000004</v>
      </c>
      <c r="H289" s="534"/>
      <c r="I289" s="534"/>
      <c r="J289" s="302"/>
    </row>
    <row r="290" spans="1:11" ht="31.5" x14ac:dyDescent="0.25">
      <c r="A290" s="298" t="s">
        <v>853</v>
      </c>
      <c r="B290" s="296">
        <v>903</v>
      </c>
      <c r="C290" s="299" t="s">
        <v>116</v>
      </c>
      <c r="D290" s="299" t="s">
        <v>132</v>
      </c>
      <c r="E290" s="299" t="s">
        <v>209</v>
      </c>
      <c r="F290" s="299"/>
      <c r="G290" s="297">
        <f>G291</f>
        <v>20</v>
      </c>
      <c r="H290" s="534"/>
      <c r="I290" s="534"/>
      <c r="J290" s="302"/>
      <c r="K290" s="129"/>
    </row>
    <row r="291" spans="1:11" s="129" customFormat="1" ht="31.5" x14ac:dyDescent="0.25">
      <c r="A291" s="298" t="s">
        <v>608</v>
      </c>
      <c r="B291" s="296">
        <v>903</v>
      </c>
      <c r="C291" s="299" t="s">
        <v>116</v>
      </c>
      <c r="D291" s="299" t="s">
        <v>132</v>
      </c>
      <c r="E291" s="299" t="s">
        <v>609</v>
      </c>
      <c r="F291" s="299"/>
      <c r="G291" s="297">
        <f>G292+G295+G298+G301+G304</f>
        <v>20</v>
      </c>
      <c r="H291" s="532"/>
      <c r="I291" s="532"/>
      <c r="J291" s="302"/>
    </row>
    <row r="292" spans="1:11" ht="31.5" hidden="1" x14ac:dyDescent="0.25">
      <c r="A292" s="66" t="s">
        <v>210</v>
      </c>
      <c r="B292" s="591">
        <v>903</v>
      </c>
      <c r="C292" s="346" t="s">
        <v>116</v>
      </c>
      <c r="D292" s="346" t="s">
        <v>132</v>
      </c>
      <c r="E292" s="346" t="s">
        <v>610</v>
      </c>
      <c r="F292" s="346"/>
      <c r="G292" s="300">
        <f>G293</f>
        <v>0</v>
      </c>
      <c r="H292" s="532"/>
      <c r="I292" s="532"/>
      <c r="J292" s="302"/>
      <c r="K292" s="129"/>
    </row>
    <row r="293" spans="1:11" ht="31.5" hidden="1" x14ac:dyDescent="0.25">
      <c r="A293" s="345" t="s">
        <v>123</v>
      </c>
      <c r="B293" s="591">
        <v>903</v>
      </c>
      <c r="C293" s="346" t="s">
        <v>116</v>
      </c>
      <c r="D293" s="346" t="s">
        <v>132</v>
      </c>
      <c r="E293" s="346" t="s">
        <v>610</v>
      </c>
      <c r="F293" s="346" t="s">
        <v>124</v>
      </c>
      <c r="G293" s="300">
        <f>G294</f>
        <v>0</v>
      </c>
      <c r="H293" s="532"/>
      <c r="I293" s="532"/>
      <c r="J293" s="302"/>
      <c r="K293" s="129"/>
    </row>
    <row r="294" spans="1:11" ht="31.5" hidden="1" x14ac:dyDescent="0.25">
      <c r="A294" s="345" t="s">
        <v>125</v>
      </c>
      <c r="B294" s="591">
        <v>903</v>
      </c>
      <c r="C294" s="346" t="s">
        <v>116</v>
      </c>
      <c r="D294" s="346" t="s">
        <v>132</v>
      </c>
      <c r="E294" s="346" t="s">
        <v>610</v>
      </c>
      <c r="F294" s="346" t="s">
        <v>126</v>
      </c>
      <c r="G294" s="300">
        <v>0</v>
      </c>
      <c r="H294" s="532"/>
      <c r="I294" s="532"/>
      <c r="J294" s="302"/>
      <c r="K294" s="129"/>
    </row>
    <row r="295" spans="1:11" ht="15.75" x14ac:dyDescent="0.25">
      <c r="A295" s="345" t="s">
        <v>211</v>
      </c>
      <c r="B295" s="591">
        <v>903</v>
      </c>
      <c r="C295" s="346" t="s">
        <v>116</v>
      </c>
      <c r="D295" s="346" t="s">
        <v>132</v>
      </c>
      <c r="E295" s="346" t="s">
        <v>611</v>
      </c>
      <c r="F295" s="346"/>
      <c r="G295" s="300">
        <f>G296</f>
        <v>20</v>
      </c>
      <c r="H295" s="532"/>
      <c r="I295" s="532"/>
      <c r="J295" s="302"/>
      <c r="K295" s="129"/>
    </row>
    <row r="296" spans="1:11" ht="31.5" x14ac:dyDescent="0.25">
      <c r="A296" s="345" t="s">
        <v>123</v>
      </c>
      <c r="B296" s="591">
        <v>903</v>
      </c>
      <c r="C296" s="346" t="s">
        <v>116</v>
      </c>
      <c r="D296" s="346" t="s">
        <v>132</v>
      </c>
      <c r="E296" s="346" t="s">
        <v>611</v>
      </c>
      <c r="F296" s="346" t="s">
        <v>124</v>
      </c>
      <c r="G296" s="300">
        <f>G297</f>
        <v>20</v>
      </c>
      <c r="H296" s="532"/>
      <c r="I296" s="532"/>
      <c r="J296" s="302"/>
      <c r="K296" s="129"/>
    </row>
    <row r="297" spans="1:11" ht="31.5" x14ac:dyDescent="0.25">
      <c r="A297" s="345" t="s">
        <v>125</v>
      </c>
      <c r="B297" s="591">
        <v>903</v>
      </c>
      <c r="C297" s="346" t="s">
        <v>116</v>
      </c>
      <c r="D297" s="346" t="s">
        <v>132</v>
      </c>
      <c r="E297" s="346" t="s">
        <v>611</v>
      </c>
      <c r="F297" s="346" t="s">
        <v>126</v>
      </c>
      <c r="G297" s="300">
        <v>20</v>
      </c>
      <c r="H297" s="532"/>
      <c r="I297" s="532"/>
      <c r="J297" s="302"/>
      <c r="K297" s="129"/>
    </row>
    <row r="298" spans="1:11" ht="36.75" hidden="1" customHeight="1" x14ac:dyDescent="0.25">
      <c r="A298" s="22" t="s">
        <v>349</v>
      </c>
      <c r="B298" s="591">
        <v>903</v>
      </c>
      <c r="C298" s="346" t="s">
        <v>116</v>
      </c>
      <c r="D298" s="346" t="s">
        <v>132</v>
      </c>
      <c r="E298" s="346" t="s">
        <v>612</v>
      </c>
      <c r="F298" s="346"/>
      <c r="G298" s="300">
        <f>G299</f>
        <v>0</v>
      </c>
      <c r="H298" s="532"/>
      <c r="I298" s="532"/>
      <c r="J298" s="302"/>
      <c r="K298" s="129"/>
    </row>
    <row r="299" spans="1:11" ht="31.15" hidden="1" customHeight="1" x14ac:dyDescent="0.25">
      <c r="A299" s="345" t="s">
        <v>123</v>
      </c>
      <c r="B299" s="591">
        <v>903</v>
      </c>
      <c r="C299" s="346" t="s">
        <v>116</v>
      </c>
      <c r="D299" s="346" t="s">
        <v>132</v>
      </c>
      <c r="E299" s="346" t="s">
        <v>612</v>
      </c>
      <c r="F299" s="346" t="s">
        <v>124</v>
      </c>
      <c r="G299" s="300">
        <f>G300</f>
        <v>0</v>
      </c>
      <c r="H299" s="532"/>
      <c r="I299" s="532"/>
      <c r="J299" s="302"/>
      <c r="K299" s="129"/>
    </row>
    <row r="300" spans="1:11" ht="31.15" hidden="1" customHeight="1" x14ac:dyDescent="0.25">
      <c r="A300" s="345" t="s">
        <v>125</v>
      </c>
      <c r="B300" s="591">
        <v>903</v>
      </c>
      <c r="C300" s="346" t="s">
        <v>116</v>
      </c>
      <c r="D300" s="346" t="s">
        <v>132</v>
      </c>
      <c r="E300" s="346" t="s">
        <v>612</v>
      </c>
      <c r="F300" s="346" t="s">
        <v>126</v>
      </c>
      <c r="G300" s="300">
        <v>0</v>
      </c>
      <c r="H300" s="532"/>
      <c r="I300" s="532"/>
      <c r="J300" s="302"/>
      <c r="K300" s="129"/>
    </row>
    <row r="301" spans="1:11" ht="15.6" hidden="1" customHeight="1" x14ac:dyDescent="0.25">
      <c r="A301" s="345" t="s">
        <v>555</v>
      </c>
      <c r="B301" s="591">
        <v>903</v>
      </c>
      <c r="C301" s="346" t="s">
        <v>116</v>
      </c>
      <c r="D301" s="346" t="s">
        <v>132</v>
      </c>
      <c r="E301" s="346" t="s">
        <v>613</v>
      </c>
      <c r="F301" s="346"/>
      <c r="G301" s="300">
        <f>G302</f>
        <v>0</v>
      </c>
      <c r="H301" s="532"/>
      <c r="I301" s="532"/>
      <c r="J301" s="302"/>
      <c r="K301" s="129"/>
    </row>
    <row r="302" spans="1:11" ht="31.15" hidden="1" customHeight="1" x14ac:dyDescent="0.25">
      <c r="A302" s="345" t="s">
        <v>123</v>
      </c>
      <c r="B302" s="591">
        <v>903</v>
      </c>
      <c r="C302" s="346" t="s">
        <v>116</v>
      </c>
      <c r="D302" s="346" t="s">
        <v>132</v>
      </c>
      <c r="E302" s="346" t="s">
        <v>613</v>
      </c>
      <c r="F302" s="346" t="s">
        <v>124</v>
      </c>
      <c r="G302" s="300">
        <f>G303</f>
        <v>0</v>
      </c>
      <c r="H302" s="532"/>
      <c r="I302" s="532"/>
      <c r="J302" s="302"/>
      <c r="K302" s="129"/>
    </row>
    <row r="303" spans="1:11" ht="31.15" hidden="1" customHeight="1" x14ac:dyDescent="0.25">
      <c r="A303" s="345" t="s">
        <v>125</v>
      </c>
      <c r="B303" s="591">
        <v>903</v>
      </c>
      <c r="C303" s="346" t="s">
        <v>116</v>
      </c>
      <c r="D303" s="346" t="s">
        <v>132</v>
      </c>
      <c r="E303" s="346" t="s">
        <v>613</v>
      </c>
      <c r="F303" s="346" t="s">
        <v>126</v>
      </c>
      <c r="G303" s="300">
        <v>0</v>
      </c>
      <c r="H303" s="532"/>
      <c r="I303" s="532"/>
      <c r="J303" s="302"/>
      <c r="K303" s="129"/>
    </row>
    <row r="304" spans="1:11" ht="40.700000000000003" hidden="1" customHeight="1" x14ac:dyDescent="0.25">
      <c r="A304" s="22" t="s">
        <v>350</v>
      </c>
      <c r="B304" s="591">
        <v>903</v>
      </c>
      <c r="C304" s="346" t="s">
        <v>116</v>
      </c>
      <c r="D304" s="346" t="s">
        <v>132</v>
      </c>
      <c r="E304" s="346" t="s">
        <v>614</v>
      </c>
      <c r="F304" s="346"/>
      <c r="G304" s="300">
        <f>G305</f>
        <v>0</v>
      </c>
      <c r="H304" s="532"/>
      <c r="I304" s="532"/>
      <c r="J304" s="302"/>
      <c r="K304" s="129"/>
    </row>
    <row r="305" spans="1:11" ht="31.15" hidden="1" customHeight="1" x14ac:dyDescent="0.25">
      <c r="A305" s="345" t="s">
        <v>123</v>
      </c>
      <c r="B305" s="591">
        <v>903</v>
      </c>
      <c r="C305" s="346" t="s">
        <v>116</v>
      </c>
      <c r="D305" s="346" t="s">
        <v>132</v>
      </c>
      <c r="E305" s="346" t="s">
        <v>614</v>
      </c>
      <c r="F305" s="346" t="s">
        <v>124</v>
      </c>
      <c r="G305" s="300">
        <f>G306</f>
        <v>0</v>
      </c>
      <c r="H305" s="532"/>
      <c r="I305" s="532"/>
      <c r="J305" s="302"/>
      <c r="K305" s="129"/>
    </row>
    <row r="306" spans="1:11" ht="31.15" hidden="1" customHeight="1" x14ac:dyDescent="0.25">
      <c r="A306" s="345" t="s">
        <v>125</v>
      </c>
      <c r="B306" s="591">
        <v>903</v>
      </c>
      <c r="C306" s="346" t="s">
        <v>116</v>
      </c>
      <c r="D306" s="346" t="s">
        <v>132</v>
      </c>
      <c r="E306" s="346" t="s">
        <v>614</v>
      </c>
      <c r="F306" s="346" t="s">
        <v>126</v>
      </c>
      <c r="G306" s="300">
        <v>0</v>
      </c>
      <c r="H306" s="532"/>
      <c r="I306" s="532"/>
      <c r="J306" s="302"/>
      <c r="K306" s="129"/>
    </row>
    <row r="307" spans="1:11" ht="47.25" x14ac:dyDescent="0.25">
      <c r="A307" s="340" t="s">
        <v>854</v>
      </c>
      <c r="B307" s="296">
        <v>903</v>
      </c>
      <c r="C307" s="299" t="s">
        <v>116</v>
      </c>
      <c r="D307" s="299" t="s">
        <v>132</v>
      </c>
      <c r="E307" s="299" t="s">
        <v>339</v>
      </c>
      <c r="F307" s="299"/>
      <c r="G307" s="297">
        <f>G309</f>
        <v>6</v>
      </c>
      <c r="H307" s="532"/>
      <c r="I307" s="532"/>
      <c r="J307" s="302"/>
      <c r="K307" s="129"/>
    </row>
    <row r="308" spans="1:11" s="129" customFormat="1" ht="44.45" customHeight="1" x14ac:dyDescent="0.25">
      <c r="A308" s="339" t="s">
        <v>420</v>
      </c>
      <c r="B308" s="296">
        <v>903</v>
      </c>
      <c r="C308" s="299" t="s">
        <v>116</v>
      </c>
      <c r="D308" s="299" t="s">
        <v>132</v>
      </c>
      <c r="E308" s="299" t="s">
        <v>426</v>
      </c>
      <c r="F308" s="299"/>
      <c r="G308" s="297">
        <f t="shared" ref="G308:G310" si="16">G309</f>
        <v>6</v>
      </c>
      <c r="H308" s="532"/>
      <c r="I308" s="532"/>
      <c r="J308" s="302"/>
    </row>
    <row r="309" spans="1:11" ht="31.5" x14ac:dyDescent="0.25">
      <c r="A309" s="67" t="s">
        <v>353</v>
      </c>
      <c r="B309" s="591">
        <v>903</v>
      </c>
      <c r="C309" s="346" t="s">
        <v>116</v>
      </c>
      <c r="D309" s="346" t="s">
        <v>132</v>
      </c>
      <c r="E309" s="346" t="s">
        <v>421</v>
      </c>
      <c r="F309" s="346"/>
      <c r="G309" s="300">
        <f t="shared" si="16"/>
        <v>6</v>
      </c>
      <c r="H309" s="532"/>
      <c r="I309" s="532"/>
      <c r="J309" s="302"/>
      <c r="K309" s="129"/>
    </row>
    <row r="310" spans="1:11" ht="31.5" x14ac:dyDescent="0.25">
      <c r="A310" s="345" t="s">
        <v>123</v>
      </c>
      <c r="B310" s="591">
        <v>903</v>
      </c>
      <c r="C310" s="346" t="s">
        <v>116</v>
      </c>
      <c r="D310" s="346" t="s">
        <v>132</v>
      </c>
      <c r="E310" s="346" t="s">
        <v>421</v>
      </c>
      <c r="F310" s="346" t="s">
        <v>124</v>
      </c>
      <c r="G310" s="300">
        <f t="shared" si="16"/>
        <v>6</v>
      </c>
      <c r="H310" s="532"/>
      <c r="I310" s="532"/>
      <c r="J310" s="302"/>
      <c r="K310" s="129"/>
    </row>
    <row r="311" spans="1:11" ht="31.5" x14ac:dyDescent="0.25">
      <c r="A311" s="345" t="s">
        <v>125</v>
      </c>
      <c r="B311" s="591">
        <v>903</v>
      </c>
      <c r="C311" s="346" t="s">
        <v>116</v>
      </c>
      <c r="D311" s="346" t="s">
        <v>132</v>
      </c>
      <c r="E311" s="346" t="s">
        <v>421</v>
      </c>
      <c r="F311" s="346" t="s">
        <v>126</v>
      </c>
      <c r="G311" s="300">
        <v>6</v>
      </c>
      <c r="H311" s="532"/>
      <c r="I311" s="532"/>
      <c r="J311" s="302"/>
      <c r="K311" s="129"/>
    </row>
    <row r="312" spans="1:11" ht="21.2" customHeight="1" x14ac:dyDescent="0.25">
      <c r="A312" s="138" t="s">
        <v>166</v>
      </c>
      <c r="B312" s="296">
        <v>903</v>
      </c>
      <c r="C312" s="299" t="s">
        <v>139</v>
      </c>
      <c r="D312" s="346"/>
      <c r="E312" s="346"/>
      <c r="F312" s="301"/>
      <c r="G312" s="297">
        <f t="shared" ref="G312:G314" si="17">G313</f>
        <v>60</v>
      </c>
      <c r="H312" s="532"/>
      <c r="I312" s="532"/>
      <c r="J312" s="302"/>
      <c r="K312" s="129"/>
    </row>
    <row r="313" spans="1:11" ht="21.2" customHeight="1" x14ac:dyDescent="0.25">
      <c r="A313" s="298" t="s">
        <v>170</v>
      </c>
      <c r="B313" s="296">
        <v>903</v>
      </c>
      <c r="C313" s="299" t="s">
        <v>139</v>
      </c>
      <c r="D313" s="299" t="s">
        <v>171</v>
      </c>
      <c r="E313" s="346"/>
      <c r="F313" s="301"/>
      <c r="G313" s="297">
        <f t="shared" si="17"/>
        <v>60</v>
      </c>
      <c r="H313" s="532"/>
      <c r="I313" s="532"/>
      <c r="J313" s="302"/>
      <c r="K313" s="129"/>
    </row>
    <row r="314" spans="1:11" ht="54" customHeight="1" x14ac:dyDescent="0.25">
      <c r="A314" s="298" t="s">
        <v>851</v>
      </c>
      <c r="B314" s="296">
        <v>903</v>
      </c>
      <c r="C314" s="299" t="s">
        <v>139</v>
      </c>
      <c r="D314" s="299" t="s">
        <v>171</v>
      </c>
      <c r="E314" s="299" t="s">
        <v>213</v>
      </c>
      <c r="F314" s="304"/>
      <c r="G314" s="297">
        <f t="shared" si="17"/>
        <v>60</v>
      </c>
      <c r="H314" s="532"/>
      <c r="I314" s="532"/>
      <c r="J314" s="302"/>
      <c r="K314" s="129"/>
    </row>
    <row r="315" spans="1:11" ht="53.45" customHeight="1" x14ac:dyDescent="0.25">
      <c r="A315" s="298" t="s">
        <v>224</v>
      </c>
      <c r="B315" s="296">
        <v>903</v>
      </c>
      <c r="C315" s="299" t="s">
        <v>139</v>
      </c>
      <c r="D315" s="299" t="s">
        <v>171</v>
      </c>
      <c r="E315" s="299" t="s">
        <v>221</v>
      </c>
      <c r="F315" s="299"/>
      <c r="G315" s="297">
        <f>G316+G320+G324+G328</f>
        <v>60</v>
      </c>
      <c r="H315" s="532"/>
      <c r="I315" s="532"/>
      <c r="J315" s="302"/>
      <c r="K315" s="129"/>
    </row>
    <row r="316" spans="1:11" s="129" customFormat="1" ht="33" hidden="1" customHeight="1" x14ac:dyDescent="0.25">
      <c r="A316" s="136" t="s">
        <v>602</v>
      </c>
      <c r="B316" s="296">
        <v>903</v>
      </c>
      <c r="C316" s="299" t="s">
        <v>139</v>
      </c>
      <c r="D316" s="299" t="s">
        <v>171</v>
      </c>
      <c r="E316" s="299" t="s">
        <v>476</v>
      </c>
      <c r="F316" s="299"/>
      <c r="G316" s="297">
        <f t="shared" ref="G316:G318" si="18">G317</f>
        <v>0</v>
      </c>
      <c r="H316" s="532"/>
      <c r="I316" s="532"/>
      <c r="J316" s="302"/>
    </row>
    <row r="317" spans="1:11" ht="47.25" hidden="1" customHeight="1" x14ac:dyDescent="0.25">
      <c r="A317" s="345" t="s">
        <v>645</v>
      </c>
      <c r="B317" s="591">
        <v>903</v>
      </c>
      <c r="C317" s="346" t="s">
        <v>139</v>
      </c>
      <c r="D317" s="346" t="s">
        <v>171</v>
      </c>
      <c r="E317" s="346" t="s">
        <v>825</v>
      </c>
      <c r="F317" s="346"/>
      <c r="G317" s="300">
        <f t="shared" si="18"/>
        <v>0</v>
      </c>
      <c r="H317" s="532"/>
      <c r="I317" s="532"/>
      <c r="J317" s="302"/>
      <c r="K317" s="129"/>
    </row>
    <row r="318" spans="1:11" ht="21.2" hidden="1" customHeight="1" x14ac:dyDescent="0.25">
      <c r="A318" s="345" t="s">
        <v>177</v>
      </c>
      <c r="B318" s="591">
        <v>903</v>
      </c>
      <c r="C318" s="346" t="s">
        <v>139</v>
      </c>
      <c r="D318" s="346" t="s">
        <v>171</v>
      </c>
      <c r="E318" s="346" t="s">
        <v>825</v>
      </c>
      <c r="F318" s="346" t="s">
        <v>178</v>
      </c>
      <c r="G318" s="300">
        <f t="shared" si="18"/>
        <v>0</v>
      </c>
      <c r="H318" s="532"/>
      <c r="I318" s="532"/>
      <c r="J318" s="302"/>
      <c r="K318" s="129"/>
    </row>
    <row r="319" spans="1:11" ht="29.25" hidden="1" customHeight="1" x14ac:dyDescent="0.25">
      <c r="A319" s="345" t="s">
        <v>179</v>
      </c>
      <c r="B319" s="591">
        <v>903</v>
      </c>
      <c r="C319" s="346" t="s">
        <v>139</v>
      </c>
      <c r="D319" s="346" t="s">
        <v>171</v>
      </c>
      <c r="E319" s="346" t="s">
        <v>825</v>
      </c>
      <c r="F319" s="346" t="s">
        <v>180</v>
      </c>
      <c r="G319" s="300">
        <v>0</v>
      </c>
      <c r="H319" s="532"/>
      <c r="I319" s="532"/>
      <c r="J319" s="302"/>
      <c r="K319" s="129"/>
    </row>
    <row r="320" spans="1:11" s="129" customFormat="1" ht="33" customHeight="1" x14ac:dyDescent="0.25">
      <c r="A320" s="298" t="s">
        <v>601</v>
      </c>
      <c r="B320" s="296">
        <v>903</v>
      </c>
      <c r="C320" s="299" t="s">
        <v>139</v>
      </c>
      <c r="D320" s="299" t="s">
        <v>171</v>
      </c>
      <c r="E320" s="299" t="s">
        <v>737</v>
      </c>
      <c r="F320" s="299"/>
      <c r="G320" s="297">
        <f t="shared" ref="G320:G322" si="19">G321</f>
        <v>60</v>
      </c>
      <c r="H320" s="532"/>
      <c r="I320" s="532"/>
      <c r="J320" s="302"/>
    </row>
    <row r="321" spans="1:11" s="129" customFormat="1" ht="94.5" x14ac:dyDescent="0.25">
      <c r="A321" s="345" t="s">
        <v>226</v>
      </c>
      <c r="B321" s="591">
        <v>903</v>
      </c>
      <c r="C321" s="346" t="s">
        <v>139</v>
      </c>
      <c r="D321" s="346" t="s">
        <v>171</v>
      </c>
      <c r="E321" s="346" t="s">
        <v>738</v>
      </c>
      <c r="F321" s="346"/>
      <c r="G321" s="300">
        <f t="shared" si="19"/>
        <v>60</v>
      </c>
      <c r="H321" s="532"/>
      <c r="I321" s="532"/>
      <c r="J321" s="302"/>
    </row>
    <row r="322" spans="1:11" s="129" customFormat="1" ht="39.200000000000003" customHeight="1" x14ac:dyDescent="0.25">
      <c r="A322" s="345" t="s">
        <v>191</v>
      </c>
      <c r="B322" s="591">
        <v>903</v>
      </c>
      <c r="C322" s="346" t="s">
        <v>139</v>
      </c>
      <c r="D322" s="346" t="s">
        <v>171</v>
      </c>
      <c r="E322" s="346" t="s">
        <v>738</v>
      </c>
      <c r="F322" s="346" t="s">
        <v>192</v>
      </c>
      <c r="G322" s="300">
        <f t="shared" si="19"/>
        <v>60</v>
      </c>
      <c r="H322" s="532"/>
      <c r="I322" s="532"/>
      <c r="J322" s="302"/>
    </row>
    <row r="323" spans="1:11" s="129" customFormat="1" ht="63" x14ac:dyDescent="0.25">
      <c r="A323" s="345" t="s">
        <v>641</v>
      </c>
      <c r="B323" s="591">
        <v>903</v>
      </c>
      <c r="C323" s="346" t="s">
        <v>139</v>
      </c>
      <c r="D323" s="346" t="s">
        <v>171</v>
      </c>
      <c r="E323" s="346" t="s">
        <v>738</v>
      </c>
      <c r="F323" s="346" t="s">
        <v>225</v>
      </c>
      <c r="G323" s="300">
        <f>200+60-200</f>
        <v>60</v>
      </c>
      <c r="H323" s="532"/>
      <c r="I323" s="532"/>
      <c r="J323" s="302"/>
    </row>
    <row r="324" spans="1:11" s="129" customFormat="1" ht="21.2" hidden="1" customHeight="1" x14ac:dyDescent="0.25">
      <c r="A324" s="298" t="s">
        <v>556</v>
      </c>
      <c r="B324" s="296">
        <v>903</v>
      </c>
      <c r="C324" s="299" t="s">
        <v>139</v>
      </c>
      <c r="D324" s="299" t="s">
        <v>171</v>
      </c>
      <c r="E324" s="299" t="s">
        <v>822</v>
      </c>
      <c r="F324" s="299"/>
      <c r="G324" s="297">
        <f t="shared" ref="G324:G326" si="20">G325</f>
        <v>0</v>
      </c>
      <c r="H324" s="532"/>
      <c r="I324" s="532"/>
      <c r="J324" s="302"/>
    </row>
    <row r="325" spans="1:11" s="129" customFormat="1" ht="41.25" hidden="1" customHeight="1" x14ac:dyDescent="0.25">
      <c r="A325" s="345" t="s">
        <v>228</v>
      </c>
      <c r="B325" s="591">
        <v>903</v>
      </c>
      <c r="C325" s="346" t="s">
        <v>139</v>
      </c>
      <c r="D325" s="346" t="s">
        <v>171</v>
      </c>
      <c r="E325" s="346" t="s">
        <v>823</v>
      </c>
      <c r="F325" s="346"/>
      <c r="G325" s="300">
        <f t="shared" si="20"/>
        <v>0</v>
      </c>
      <c r="H325" s="532"/>
      <c r="I325" s="532"/>
      <c r="J325" s="302"/>
    </row>
    <row r="326" spans="1:11" s="129" customFormat="1" ht="29.25" hidden="1" customHeight="1" x14ac:dyDescent="0.25">
      <c r="A326" s="345" t="s">
        <v>123</v>
      </c>
      <c r="B326" s="591">
        <v>903</v>
      </c>
      <c r="C326" s="346" t="s">
        <v>139</v>
      </c>
      <c r="D326" s="346" t="s">
        <v>171</v>
      </c>
      <c r="E326" s="346" t="s">
        <v>823</v>
      </c>
      <c r="F326" s="346" t="s">
        <v>124</v>
      </c>
      <c r="G326" s="300">
        <f t="shared" si="20"/>
        <v>0</v>
      </c>
      <c r="H326" s="532"/>
      <c r="I326" s="532"/>
      <c r="J326" s="302"/>
    </row>
    <row r="327" spans="1:11" s="129" customFormat="1" ht="29.25" hidden="1" customHeight="1" x14ac:dyDescent="0.25">
      <c r="A327" s="345" t="s">
        <v>125</v>
      </c>
      <c r="B327" s="591">
        <v>903</v>
      </c>
      <c r="C327" s="346" t="s">
        <v>139</v>
      </c>
      <c r="D327" s="346" t="s">
        <v>171</v>
      </c>
      <c r="E327" s="346" t="s">
        <v>823</v>
      </c>
      <c r="F327" s="346" t="s">
        <v>126</v>
      </c>
      <c r="G327" s="300">
        <v>0</v>
      </c>
      <c r="H327" s="532"/>
      <c r="I327" s="532"/>
      <c r="J327" s="302"/>
    </row>
    <row r="328" spans="1:11" s="129" customFormat="1" ht="33.75" hidden="1" customHeight="1" x14ac:dyDescent="0.25">
      <c r="A328" s="303" t="s">
        <v>654</v>
      </c>
      <c r="B328" s="296">
        <v>903</v>
      </c>
      <c r="C328" s="299" t="s">
        <v>139</v>
      </c>
      <c r="D328" s="299" t="s">
        <v>171</v>
      </c>
      <c r="E328" s="299" t="s">
        <v>739</v>
      </c>
      <c r="F328" s="299"/>
      <c r="G328" s="297">
        <f t="shared" ref="G328:G330" si="21">G329</f>
        <v>0</v>
      </c>
      <c r="H328" s="532"/>
      <c r="I328" s="532"/>
      <c r="J328" s="302"/>
    </row>
    <row r="329" spans="1:11" s="129" customFormat="1" ht="29.25" hidden="1" customHeight="1" x14ac:dyDescent="0.25">
      <c r="A329" s="150" t="s">
        <v>697</v>
      </c>
      <c r="B329" s="591">
        <v>903</v>
      </c>
      <c r="C329" s="346" t="s">
        <v>139</v>
      </c>
      <c r="D329" s="346" t="s">
        <v>171</v>
      </c>
      <c r="E329" s="346" t="s">
        <v>740</v>
      </c>
      <c r="F329" s="346"/>
      <c r="G329" s="300">
        <f t="shared" si="21"/>
        <v>0</v>
      </c>
      <c r="H329" s="532"/>
      <c r="I329" s="532"/>
      <c r="J329" s="302"/>
    </row>
    <row r="330" spans="1:11" s="129" customFormat="1" ht="29.25" hidden="1" customHeight="1" x14ac:dyDescent="0.25">
      <c r="A330" s="345" t="s">
        <v>123</v>
      </c>
      <c r="B330" s="591">
        <v>903</v>
      </c>
      <c r="C330" s="346" t="s">
        <v>139</v>
      </c>
      <c r="D330" s="346" t="s">
        <v>171</v>
      </c>
      <c r="E330" s="346" t="s">
        <v>740</v>
      </c>
      <c r="F330" s="346" t="s">
        <v>124</v>
      </c>
      <c r="G330" s="300">
        <f t="shared" si="21"/>
        <v>0</v>
      </c>
      <c r="H330" s="532"/>
      <c r="I330" s="532"/>
      <c r="J330" s="302"/>
    </row>
    <row r="331" spans="1:11" s="129" customFormat="1" ht="29.25" hidden="1" customHeight="1" x14ac:dyDescent="0.25">
      <c r="A331" s="345" t="s">
        <v>125</v>
      </c>
      <c r="B331" s="591">
        <v>903</v>
      </c>
      <c r="C331" s="346" t="s">
        <v>139</v>
      </c>
      <c r="D331" s="346" t="s">
        <v>171</v>
      </c>
      <c r="E331" s="346" t="s">
        <v>740</v>
      </c>
      <c r="F331" s="346" t="s">
        <v>126</v>
      </c>
      <c r="G331" s="300">
        <v>0</v>
      </c>
      <c r="H331" s="532"/>
      <c r="I331" s="532"/>
      <c r="J331" s="302"/>
    </row>
    <row r="332" spans="1:11" ht="15.75" x14ac:dyDescent="0.25">
      <c r="A332" s="298" t="s">
        <v>186</v>
      </c>
      <c r="B332" s="296">
        <v>903</v>
      </c>
      <c r="C332" s="299" t="s">
        <v>187</v>
      </c>
      <c r="D332" s="346"/>
      <c r="E332" s="346"/>
      <c r="F332" s="346"/>
      <c r="G332" s="297">
        <f>G333+G376+G403</f>
        <v>22230.880999999994</v>
      </c>
      <c r="H332" s="533"/>
      <c r="I332" s="533"/>
      <c r="J332" s="302"/>
      <c r="K332" s="129"/>
    </row>
    <row r="333" spans="1:11" ht="15.75" x14ac:dyDescent="0.25">
      <c r="A333" s="298" t="s">
        <v>188</v>
      </c>
      <c r="B333" s="296">
        <v>903</v>
      </c>
      <c r="C333" s="299" t="s">
        <v>187</v>
      </c>
      <c r="D333" s="299" t="s">
        <v>159</v>
      </c>
      <c r="E333" s="299"/>
      <c r="F333" s="299"/>
      <c r="G333" s="297">
        <f>G334+G371+G366</f>
        <v>21258.580999999995</v>
      </c>
      <c r="H333" s="532"/>
      <c r="I333" s="532"/>
      <c r="J333" s="302"/>
      <c r="K333" s="129"/>
    </row>
    <row r="334" spans="1:11" ht="31.5" x14ac:dyDescent="0.25">
      <c r="A334" s="298" t="s">
        <v>855</v>
      </c>
      <c r="B334" s="296">
        <v>903</v>
      </c>
      <c r="C334" s="299" t="s">
        <v>187</v>
      </c>
      <c r="D334" s="299" t="s">
        <v>159</v>
      </c>
      <c r="E334" s="299" t="s">
        <v>189</v>
      </c>
      <c r="F334" s="299"/>
      <c r="G334" s="297">
        <f>G335+G346+G355+G359</f>
        <v>20936.780999999995</v>
      </c>
      <c r="H334" s="532"/>
      <c r="I334" s="532"/>
      <c r="J334" s="302"/>
      <c r="K334" s="129"/>
    </row>
    <row r="335" spans="1:11" s="129" customFormat="1" ht="31.5" x14ac:dyDescent="0.25">
      <c r="A335" s="298" t="s">
        <v>815</v>
      </c>
      <c r="B335" s="296">
        <v>903</v>
      </c>
      <c r="C335" s="299" t="s">
        <v>187</v>
      </c>
      <c r="D335" s="299" t="s">
        <v>159</v>
      </c>
      <c r="E335" s="299" t="s">
        <v>741</v>
      </c>
      <c r="F335" s="299"/>
      <c r="G335" s="28">
        <f>G336+G343</f>
        <v>19435.540999999997</v>
      </c>
      <c r="H335" s="532"/>
      <c r="I335" s="532"/>
      <c r="J335" s="302"/>
    </row>
    <row r="336" spans="1:11" s="129" customFormat="1" ht="15.75" x14ac:dyDescent="0.25">
      <c r="A336" s="345" t="s">
        <v>376</v>
      </c>
      <c r="B336" s="591">
        <v>903</v>
      </c>
      <c r="C336" s="346" t="s">
        <v>187</v>
      </c>
      <c r="D336" s="346" t="s">
        <v>159</v>
      </c>
      <c r="E336" s="346" t="s">
        <v>742</v>
      </c>
      <c r="F336" s="346"/>
      <c r="G336" s="18">
        <f>G337+G339+G341</f>
        <v>19435.540999999997</v>
      </c>
      <c r="H336" s="532"/>
      <c r="I336" s="532"/>
      <c r="J336" s="302"/>
    </row>
    <row r="337" spans="1:11" s="129" customFormat="1" ht="63" x14ac:dyDescent="0.25">
      <c r="A337" s="345" t="s">
        <v>119</v>
      </c>
      <c r="B337" s="591">
        <v>903</v>
      </c>
      <c r="C337" s="346" t="s">
        <v>187</v>
      </c>
      <c r="D337" s="346" t="s">
        <v>159</v>
      </c>
      <c r="E337" s="346" t="s">
        <v>742</v>
      </c>
      <c r="F337" s="346" t="s">
        <v>120</v>
      </c>
      <c r="G337" s="18">
        <f>G338</f>
        <v>17055.699999999997</v>
      </c>
      <c r="H337" s="532"/>
      <c r="I337" s="532"/>
      <c r="J337" s="302"/>
    </row>
    <row r="338" spans="1:11" s="129" customFormat="1" ht="15.75" x14ac:dyDescent="0.25">
      <c r="A338" s="30" t="s">
        <v>212</v>
      </c>
      <c r="B338" s="591">
        <v>903</v>
      </c>
      <c r="C338" s="346" t="s">
        <v>187</v>
      </c>
      <c r="D338" s="346" t="s">
        <v>159</v>
      </c>
      <c r="E338" s="346" t="s">
        <v>742</v>
      </c>
      <c r="F338" s="346" t="s">
        <v>156</v>
      </c>
      <c r="G338" s="18">
        <f>16647.1+46.1+66.2+300-3.7</f>
        <v>17055.699999999997</v>
      </c>
      <c r="H338" s="532"/>
      <c r="I338" s="532"/>
      <c r="J338" s="302"/>
    </row>
    <row r="339" spans="1:11" s="129" customFormat="1" ht="31.5" x14ac:dyDescent="0.25">
      <c r="A339" s="345" t="s">
        <v>123</v>
      </c>
      <c r="B339" s="591">
        <v>903</v>
      </c>
      <c r="C339" s="346" t="s">
        <v>187</v>
      </c>
      <c r="D339" s="346" t="s">
        <v>159</v>
      </c>
      <c r="E339" s="346" t="s">
        <v>742</v>
      </c>
      <c r="F339" s="346" t="s">
        <v>124</v>
      </c>
      <c r="G339" s="18">
        <f>G340</f>
        <v>2336.4410000000003</v>
      </c>
      <c r="H339" s="532"/>
      <c r="I339" s="532"/>
      <c r="J339" s="302"/>
    </row>
    <row r="340" spans="1:11" s="129" customFormat="1" ht="31.5" x14ac:dyDescent="0.25">
      <c r="A340" s="345" t="s">
        <v>125</v>
      </c>
      <c r="B340" s="591">
        <v>903</v>
      </c>
      <c r="C340" s="346" t="s">
        <v>187</v>
      </c>
      <c r="D340" s="346" t="s">
        <v>159</v>
      </c>
      <c r="E340" s="346" t="s">
        <v>742</v>
      </c>
      <c r="F340" s="346" t="s">
        <v>126</v>
      </c>
      <c r="G340" s="18">
        <f>1974.16+2.4+2.6+95.6+73+36.2+33+66.4+33.6-0.019+19.5</f>
        <v>2336.4410000000003</v>
      </c>
      <c r="H340" s="530"/>
      <c r="I340" s="530"/>
      <c r="J340" s="302"/>
    </row>
    <row r="341" spans="1:11" s="129" customFormat="1" ht="15.75" x14ac:dyDescent="0.25">
      <c r="A341" s="345" t="s">
        <v>127</v>
      </c>
      <c r="B341" s="591">
        <v>903</v>
      </c>
      <c r="C341" s="346" t="s">
        <v>187</v>
      </c>
      <c r="D341" s="346" t="s">
        <v>159</v>
      </c>
      <c r="E341" s="346" t="s">
        <v>742</v>
      </c>
      <c r="F341" s="346" t="s">
        <v>134</v>
      </c>
      <c r="G341" s="18">
        <f>G342</f>
        <v>43.400000000000013</v>
      </c>
      <c r="H341" s="535"/>
      <c r="I341" s="535"/>
      <c r="J341" s="302"/>
    </row>
    <row r="342" spans="1:11" s="129" customFormat="1" ht="15.75" x14ac:dyDescent="0.25">
      <c r="A342" s="345" t="s">
        <v>338</v>
      </c>
      <c r="B342" s="591">
        <v>903</v>
      </c>
      <c r="C342" s="346" t="s">
        <v>187</v>
      </c>
      <c r="D342" s="346" t="s">
        <v>159</v>
      </c>
      <c r="E342" s="346" t="s">
        <v>742</v>
      </c>
      <c r="F342" s="346" t="s">
        <v>130</v>
      </c>
      <c r="G342" s="18">
        <f>73-0.1-4.6+1.2-14.3-2+1+5-5.6-10.1-0.1</f>
        <v>43.400000000000013</v>
      </c>
      <c r="H342" s="532"/>
      <c r="I342" s="532"/>
      <c r="J342" s="302"/>
    </row>
    <row r="343" spans="1:11" s="129" customFormat="1" ht="22.7" hidden="1" customHeight="1" x14ac:dyDescent="0.25">
      <c r="A343" s="22" t="s">
        <v>974</v>
      </c>
      <c r="B343" s="591">
        <v>903</v>
      </c>
      <c r="C343" s="346" t="s">
        <v>187</v>
      </c>
      <c r="D343" s="346" t="s">
        <v>159</v>
      </c>
      <c r="E343" s="346" t="s">
        <v>965</v>
      </c>
      <c r="F343" s="346"/>
      <c r="G343" s="300">
        <f>G344</f>
        <v>0</v>
      </c>
      <c r="H343" s="532"/>
      <c r="I343" s="532"/>
      <c r="J343" s="302"/>
    </row>
    <row r="344" spans="1:11" s="129" customFormat="1" ht="63" hidden="1" x14ac:dyDescent="0.25">
      <c r="A344" s="345" t="s">
        <v>119</v>
      </c>
      <c r="B344" s="591">
        <v>903</v>
      </c>
      <c r="C344" s="346" t="s">
        <v>187</v>
      </c>
      <c r="D344" s="346" t="s">
        <v>159</v>
      </c>
      <c r="E344" s="346" t="s">
        <v>965</v>
      </c>
      <c r="F344" s="346" t="s">
        <v>120</v>
      </c>
      <c r="G344" s="300">
        <f>G345</f>
        <v>0</v>
      </c>
      <c r="H344" s="532"/>
      <c r="I344" s="532"/>
      <c r="J344" s="302"/>
    </row>
    <row r="345" spans="1:11" s="129" customFormat="1" ht="15.75" hidden="1" x14ac:dyDescent="0.25">
      <c r="A345" s="345" t="s">
        <v>155</v>
      </c>
      <c r="B345" s="591">
        <v>903</v>
      </c>
      <c r="C345" s="346" t="s">
        <v>187</v>
      </c>
      <c r="D345" s="346" t="s">
        <v>159</v>
      </c>
      <c r="E345" s="346" t="s">
        <v>965</v>
      </c>
      <c r="F345" s="346" t="s">
        <v>156</v>
      </c>
      <c r="G345" s="300"/>
      <c r="H345" s="532"/>
      <c r="I345" s="532"/>
      <c r="J345" s="302"/>
    </row>
    <row r="346" spans="1:11" s="129" customFormat="1" ht="29.25" customHeight="1" x14ac:dyDescent="0.25">
      <c r="A346" s="137" t="s">
        <v>818</v>
      </c>
      <c r="B346" s="296">
        <v>903</v>
      </c>
      <c r="C346" s="299" t="s">
        <v>187</v>
      </c>
      <c r="D346" s="299" t="s">
        <v>159</v>
      </c>
      <c r="E346" s="299" t="s">
        <v>743</v>
      </c>
      <c r="F346" s="299"/>
      <c r="G346" s="28">
        <f>G347+G350</f>
        <v>384.94</v>
      </c>
      <c r="H346" s="532"/>
      <c r="I346" s="532"/>
      <c r="J346" s="302"/>
    </row>
    <row r="347" spans="1:11" ht="15.75" x14ac:dyDescent="0.25">
      <c r="A347" s="120" t="s">
        <v>375</v>
      </c>
      <c r="B347" s="591">
        <v>903</v>
      </c>
      <c r="C347" s="346" t="s">
        <v>187</v>
      </c>
      <c r="D347" s="346" t="s">
        <v>159</v>
      </c>
      <c r="E347" s="346" t="s">
        <v>744</v>
      </c>
      <c r="F347" s="346"/>
      <c r="G347" s="18">
        <f>G348</f>
        <v>45.3</v>
      </c>
      <c r="H347" s="532"/>
      <c r="I347" s="532"/>
      <c r="J347" s="302"/>
      <c r="K347" s="129"/>
    </row>
    <row r="348" spans="1:11" ht="15.75" x14ac:dyDescent="0.25">
      <c r="A348" s="345" t="s">
        <v>177</v>
      </c>
      <c r="B348" s="591">
        <v>903</v>
      </c>
      <c r="C348" s="346" t="s">
        <v>187</v>
      </c>
      <c r="D348" s="346" t="s">
        <v>159</v>
      </c>
      <c r="E348" s="346" t="s">
        <v>744</v>
      </c>
      <c r="F348" s="346" t="s">
        <v>178</v>
      </c>
      <c r="G348" s="18">
        <f>G349</f>
        <v>45.3</v>
      </c>
      <c r="H348" s="532"/>
      <c r="I348" s="532"/>
      <c r="J348" s="302"/>
      <c r="K348" s="129"/>
    </row>
    <row r="349" spans="1:11" ht="15.75" x14ac:dyDescent="0.25">
      <c r="A349" s="345" t="s">
        <v>396</v>
      </c>
      <c r="B349" s="591">
        <v>903</v>
      </c>
      <c r="C349" s="346" t="s">
        <v>187</v>
      </c>
      <c r="D349" s="346" t="s">
        <v>159</v>
      </c>
      <c r="E349" s="346" t="s">
        <v>744</v>
      </c>
      <c r="F349" s="346" t="s">
        <v>395</v>
      </c>
      <c r="G349" s="18">
        <f>42+3.3</f>
        <v>45.3</v>
      </c>
      <c r="H349" s="532"/>
      <c r="I349" s="532"/>
      <c r="J349" s="302"/>
      <c r="K349" s="129"/>
    </row>
    <row r="350" spans="1:11" ht="36" customHeight="1" x14ac:dyDescent="0.25">
      <c r="A350" s="22" t="s">
        <v>392</v>
      </c>
      <c r="B350" s="591">
        <v>903</v>
      </c>
      <c r="C350" s="346" t="s">
        <v>187</v>
      </c>
      <c r="D350" s="346" t="s">
        <v>159</v>
      </c>
      <c r="E350" s="346" t="s">
        <v>745</v>
      </c>
      <c r="F350" s="346"/>
      <c r="G350" s="18">
        <f>G353+G351</f>
        <v>339.64</v>
      </c>
      <c r="H350" s="532"/>
      <c r="I350" s="532"/>
      <c r="J350" s="302"/>
      <c r="K350" s="129"/>
    </row>
    <row r="351" spans="1:11" ht="63" x14ac:dyDescent="0.25">
      <c r="A351" s="345" t="s">
        <v>119</v>
      </c>
      <c r="B351" s="591">
        <v>903</v>
      </c>
      <c r="C351" s="346" t="s">
        <v>187</v>
      </c>
      <c r="D351" s="346" t="s">
        <v>159</v>
      </c>
      <c r="E351" s="346" t="s">
        <v>745</v>
      </c>
      <c r="F351" s="346" t="s">
        <v>120</v>
      </c>
      <c r="G351" s="18">
        <f>G352</f>
        <v>339.64</v>
      </c>
      <c r="H351" s="532"/>
      <c r="I351" s="532"/>
      <c r="J351" s="302"/>
      <c r="K351" s="129"/>
    </row>
    <row r="352" spans="1:11" ht="24.75" customHeight="1" x14ac:dyDescent="0.25">
      <c r="A352" s="30" t="s">
        <v>212</v>
      </c>
      <c r="B352" s="591">
        <v>903</v>
      </c>
      <c r="C352" s="346" t="s">
        <v>187</v>
      </c>
      <c r="D352" s="346" t="s">
        <v>159</v>
      </c>
      <c r="E352" s="346" t="s">
        <v>745</v>
      </c>
      <c r="F352" s="346" t="s">
        <v>156</v>
      </c>
      <c r="G352" s="18">
        <f>250+70.2+19.5-0.06</f>
        <v>339.64</v>
      </c>
      <c r="H352" s="532"/>
      <c r="I352" s="532"/>
      <c r="J352" s="302"/>
      <c r="K352" s="129"/>
    </row>
    <row r="353" spans="1:11" ht="30.75" hidden="1" customHeight="1" x14ac:dyDescent="0.25">
      <c r="A353" s="345" t="s">
        <v>123</v>
      </c>
      <c r="B353" s="591">
        <v>903</v>
      </c>
      <c r="C353" s="346" t="s">
        <v>187</v>
      </c>
      <c r="D353" s="346" t="s">
        <v>159</v>
      </c>
      <c r="E353" s="346" t="s">
        <v>745</v>
      </c>
      <c r="F353" s="346" t="s">
        <v>124</v>
      </c>
      <c r="G353" s="18">
        <f>G354</f>
        <v>0</v>
      </c>
      <c r="H353" s="532"/>
      <c r="I353" s="532"/>
      <c r="J353" s="302"/>
      <c r="K353" s="129"/>
    </row>
    <row r="354" spans="1:11" ht="39.200000000000003" hidden="1" customHeight="1" x14ac:dyDescent="0.25">
      <c r="A354" s="345" t="s">
        <v>125</v>
      </c>
      <c r="B354" s="591">
        <v>903</v>
      </c>
      <c r="C354" s="346" t="s">
        <v>187</v>
      </c>
      <c r="D354" s="346" t="s">
        <v>159</v>
      </c>
      <c r="E354" s="346" t="s">
        <v>745</v>
      </c>
      <c r="F354" s="346" t="s">
        <v>126</v>
      </c>
      <c r="G354" s="18"/>
      <c r="H354" s="532"/>
      <c r="I354" s="532"/>
      <c r="J354" s="302"/>
      <c r="K354" s="129"/>
    </row>
    <row r="355" spans="1:11" s="129" customFormat="1" ht="39.200000000000003" customHeight="1" x14ac:dyDescent="0.25">
      <c r="A355" s="298" t="s">
        <v>512</v>
      </c>
      <c r="B355" s="296">
        <v>903</v>
      </c>
      <c r="C355" s="299" t="s">
        <v>187</v>
      </c>
      <c r="D355" s="299" t="s">
        <v>159</v>
      </c>
      <c r="E355" s="299" t="s">
        <v>746</v>
      </c>
      <c r="F355" s="299"/>
      <c r="G355" s="28">
        <f t="shared" ref="G355:G357" si="22">G356</f>
        <v>373</v>
      </c>
      <c r="H355" s="532"/>
      <c r="I355" s="532"/>
      <c r="J355" s="302"/>
    </row>
    <row r="356" spans="1:11" s="129" customFormat="1" ht="39.200000000000003" customHeight="1" x14ac:dyDescent="0.25">
      <c r="A356" s="345" t="s">
        <v>414</v>
      </c>
      <c r="B356" s="591">
        <v>903</v>
      </c>
      <c r="C356" s="346" t="s">
        <v>187</v>
      </c>
      <c r="D356" s="346" t="s">
        <v>159</v>
      </c>
      <c r="E356" s="346" t="s">
        <v>747</v>
      </c>
      <c r="F356" s="346"/>
      <c r="G356" s="300">
        <f t="shared" si="22"/>
        <v>373</v>
      </c>
      <c r="H356" s="532"/>
      <c r="I356" s="532"/>
      <c r="J356" s="302"/>
    </row>
    <row r="357" spans="1:11" s="129" customFormat="1" ht="70.5" customHeight="1" x14ac:dyDescent="0.25">
      <c r="A357" s="345" t="s">
        <v>119</v>
      </c>
      <c r="B357" s="591">
        <v>903</v>
      </c>
      <c r="C357" s="346" t="s">
        <v>187</v>
      </c>
      <c r="D357" s="346" t="s">
        <v>159</v>
      </c>
      <c r="E357" s="346" t="s">
        <v>747</v>
      </c>
      <c r="F357" s="346" t="s">
        <v>120</v>
      </c>
      <c r="G357" s="300">
        <f t="shared" si="22"/>
        <v>373</v>
      </c>
      <c r="H357" s="532"/>
      <c r="I357" s="532"/>
      <c r="J357" s="302"/>
    </row>
    <row r="358" spans="1:11" s="129" customFormat="1" ht="19.7" customHeight="1" x14ac:dyDescent="0.25">
      <c r="A358" s="345" t="s">
        <v>212</v>
      </c>
      <c r="B358" s="591">
        <v>903</v>
      </c>
      <c r="C358" s="346" t="s">
        <v>187</v>
      </c>
      <c r="D358" s="346" t="s">
        <v>159</v>
      </c>
      <c r="E358" s="346" t="s">
        <v>747</v>
      </c>
      <c r="F358" s="346" t="s">
        <v>156</v>
      </c>
      <c r="G358" s="300">
        <f>473-100</f>
        <v>373</v>
      </c>
      <c r="H358" s="532"/>
      <c r="I358" s="532"/>
      <c r="J358" s="302"/>
    </row>
    <row r="359" spans="1:11" s="129" customFormat="1" ht="39.200000000000003" customHeight="1" x14ac:dyDescent="0.25">
      <c r="A359" s="298" t="s">
        <v>469</v>
      </c>
      <c r="B359" s="296">
        <v>903</v>
      </c>
      <c r="C359" s="299" t="s">
        <v>187</v>
      </c>
      <c r="D359" s="299" t="s">
        <v>159</v>
      </c>
      <c r="E359" s="299" t="s">
        <v>748</v>
      </c>
      <c r="F359" s="299"/>
      <c r="G359" s="28">
        <f>G360+G363</f>
        <v>743.3</v>
      </c>
      <c r="H359" s="532"/>
      <c r="I359" s="532"/>
      <c r="J359" s="302"/>
    </row>
    <row r="360" spans="1:11" s="129" customFormat="1" ht="85.7" customHeight="1" x14ac:dyDescent="0.25">
      <c r="A360" s="22" t="s">
        <v>200</v>
      </c>
      <c r="B360" s="591">
        <v>903</v>
      </c>
      <c r="C360" s="346" t="s">
        <v>187</v>
      </c>
      <c r="D360" s="346" t="s">
        <v>159</v>
      </c>
      <c r="E360" s="346" t="s">
        <v>898</v>
      </c>
      <c r="F360" s="346"/>
      <c r="G360" s="300">
        <f>G361</f>
        <v>471</v>
      </c>
      <c r="H360" s="532"/>
      <c r="I360" s="532"/>
      <c r="J360" s="302"/>
    </row>
    <row r="361" spans="1:11" s="129" customFormat="1" ht="61.15" customHeight="1" x14ac:dyDescent="0.25">
      <c r="A361" s="345" t="s">
        <v>119</v>
      </c>
      <c r="B361" s="591">
        <v>903</v>
      </c>
      <c r="C361" s="346" t="s">
        <v>187</v>
      </c>
      <c r="D361" s="346" t="s">
        <v>159</v>
      </c>
      <c r="E361" s="346" t="s">
        <v>898</v>
      </c>
      <c r="F361" s="346" t="s">
        <v>120</v>
      </c>
      <c r="G361" s="300">
        <f>G362</f>
        <v>471</v>
      </c>
      <c r="H361" s="532"/>
      <c r="I361" s="532"/>
      <c r="J361" s="302"/>
    </row>
    <row r="362" spans="1:11" s="129" customFormat="1" ht="19.149999999999999" customHeight="1" x14ac:dyDescent="0.25">
      <c r="A362" s="30" t="s">
        <v>212</v>
      </c>
      <c r="B362" s="591">
        <v>903</v>
      </c>
      <c r="C362" s="346" t="s">
        <v>187</v>
      </c>
      <c r="D362" s="346" t="s">
        <v>159</v>
      </c>
      <c r="E362" s="346" t="s">
        <v>898</v>
      </c>
      <c r="F362" s="346" t="s">
        <v>156</v>
      </c>
      <c r="G362" s="300">
        <f>511-511+471</f>
        <v>471</v>
      </c>
      <c r="H362" s="532"/>
      <c r="I362" s="532"/>
      <c r="J362" s="302"/>
    </row>
    <row r="363" spans="1:11" s="129" customFormat="1" ht="31.5" x14ac:dyDescent="0.25">
      <c r="A363" s="345" t="s">
        <v>1165</v>
      </c>
      <c r="B363" s="591">
        <v>903</v>
      </c>
      <c r="C363" s="346" t="s">
        <v>187</v>
      </c>
      <c r="D363" s="346" t="s">
        <v>159</v>
      </c>
      <c r="E363" s="346" t="s">
        <v>1167</v>
      </c>
      <c r="F363" s="346"/>
      <c r="G363" s="300">
        <f>G364</f>
        <v>272.29999999999995</v>
      </c>
      <c r="H363" s="532"/>
      <c r="I363" s="532"/>
      <c r="J363" s="302"/>
    </row>
    <row r="364" spans="1:11" s="129" customFormat="1" ht="69.75" customHeight="1" x14ac:dyDescent="0.25">
      <c r="A364" s="345" t="s">
        <v>119</v>
      </c>
      <c r="B364" s="591">
        <v>903</v>
      </c>
      <c r="C364" s="346" t="s">
        <v>187</v>
      </c>
      <c r="D364" s="346" t="s">
        <v>159</v>
      </c>
      <c r="E364" s="346" t="s">
        <v>1167</v>
      </c>
      <c r="F364" s="346" t="s">
        <v>120</v>
      </c>
      <c r="G364" s="300">
        <f>G365</f>
        <v>272.29999999999995</v>
      </c>
      <c r="H364" s="532"/>
      <c r="I364" s="532"/>
      <c r="J364" s="302"/>
    </row>
    <row r="365" spans="1:11" s="129" customFormat="1" ht="21.2" customHeight="1" x14ac:dyDescent="0.25">
      <c r="A365" s="30" t="s">
        <v>212</v>
      </c>
      <c r="B365" s="591">
        <v>903</v>
      </c>
      <c r="C365" s="346" t="s">
        <v>187</v>
      </c>
      <c r="D365" s="346" t="s">
        <v>159</v>
      </c>
      <c r="E365" s="346" t="s">
        <v>1167</v>
      </c>
      <c r="F365" s="346" t="s">
        <v>156</v>
      </c>
      <c r="G365" s="300">
        <f>404.4-159.1+27</f>
        <v>272.29999999999995</v>
      </c>
      <c r="H365" s="532"/>
      <c r="I365" s="532"/>
      <c r="J365" s="302"/>
    </row>
    <row r="366" spans="1:11" s="129" customFormat="1" ht="50.25" customHeight="1" x14ac:dyDescent="0.25">
      <c r="A366" s="24" t="s">
        <v>860</v>
      </c>
      <c r="B366" s="296">
        <v>903</v>
      </c>
      <c r="C366" s="299" t="s">
        <v>187</v>
      </c>
      <c r="D366" s="299" t="s">
        <v>159</v>
      </c>
      <c r="E366" s="299" t="s">
        <v>206</v>
      </c>
      <c r="F366" s="299"/>
      <c r="G366" s="297">
        <f>G368</f>
        <v>6</v>
      </c>
      <c r="H366" s="532"/>
      <c r="I366" s="532"/>
      <c r="J366" s="302"/>
    </row>
    <row r="367" spans="1:11" s="129" customFormat="1" ht="49.7" customHeight="1" x14ac:dyDescent="0.25">
      <c r="A367" s="24" t="s">
        <v>586</v>
      </c>
      <c r="B367" s="296">
        <v>903</v>
      </c>
      <c r="C367" s="299" t="s">
        <v>187</v>
      </c>
      <c r="D367" s="299" t="s">
        <v>159</v>
      </c>
      <c r="E367" s="299" t="s">
        <v>502</v>
      </c>
      <c r="F367" s="299"/>
      <c r="G367" s="297">
        <f>G370</f>
        <v>6</v>
      </c>
      <c r="H367" s="532"/>
      <c r="I367" s="532"/>
      <c r="J367" s="302"/>
    </row>
    <row r="368" spans="1:11" s="129" customFormat="1" ht="48.2" customHeight="1" x14ac:dyDescent="0.25">
      <c r="A368" s="22" t="s">
        <v>632</v>
      </c>
      <c r="B368" s="591">
        <v>903</v>
      </c>
      <c r="C368" s="346" t="s">
        <v>187</v>
      </c>
      <c r="D368" s="346" t="s">
        <v>159</v>
      </c>
      <c r="E368" s="346" t="s">
        <v>587</v>
      </c>
      <c r="F368" s="346"/>
      <c r="G368" s="300">
        <f>G369</f>
        <v>6</v>
      </c>
      <c r="H368" s="532"/>
      <c r="I368" s="532"/>
      <c r="J368" s="302"/>
    </row>
    <row r="369" spans="1:11" s="129" customFormat="1" ht="31.9" customHeight="1" x14ac:dyDescent="0.25">
      <c r="A369" s="345" t="s">
        <v>123</v>
      </c>
      <c r="B369" s="591">
        <v>903</v>
      </c>
      <c r="C369" s="346" t="s">
        <v>187</v>
      </c>
      <c r="D369" s="346" t="s">
        <v>159</v>
      </c>
      <c r="E369" s="346" t="s">
        <v>587</v>
      </c>
      <c r="F369" s="346" t="s">
        <v>124</v>
      </c>
      <c r="G369" s="300">
        <f>G370</f>
        <v>6</v>
      </c>
      <c r="H369" s="532"/>
      <c r="I369" s="532"/>
      <c r="J369" s="302"/>
    </row>
    <row r="370" spans="1:11" s="129" customFormat="1" ht="34.700000000000003" customHeight="1" x14ac:dyDescent="0.25">
      <c r="A370" s="345" t="s">
        <v>125</v>
      </c>
      <c r="B370" s="591">
        <v>903</v>
      </c>
      <c r="C370" s="346" t="s">
        <v>187</v>
      </c>
      <c r="D370" s="346" t="s">
        <v>159</v>
      </c>
      <c r="E370" s="346" t="s">
        <v>587</v>
      </c>
      <c r="F370" s="346" t="s">
        <v>126</v>
      </c>
      <c r="G370" s="300">
        <v>6</v>
      </c>
      <c r="H370" s="532"/>
      <c r="I370" s="532"/>
      <c r="J370" s="302"/>
    </row>
    <row r="371" spans="1:11" ht="51" customHeight="1" x14ac:dyDescent="0.25">
      <c r="A371" s="340" t="s">
        <v>856</v>
      </c>
      <c r="B371" s="296">
        <v>903</v>
      </c>
      <c r="C371" s="299" t="s">
        <v>187</v>
      </c>
      <c r="D371" s="299" t="s">
        <v>159</v>
      </c>
      <c r="E371" s="299" t="s">
        <v>339</v>
      </c>
      <c r="F371" s="299"/>
      <c r="G371" s="297">
        <f>G373</f>
        <v>315.79999999999995</v>
      </c>
      <c r="H371" s="532"/>
      <c r="I371" s="532"/>
      <c r="J371" s="302"/>
      <c r="K371" s="129"/>
    </row>
    <row r="372" spans="1:11" s="129" customFormat="1" ht="48.75" customHeight="1" x14ac:dyDescent="0.25">
      <c r="A372" s="340" t="s">
        <v>461</v>
      </c>
      <c r="B372" s="296">
        <v>903</v>
      </c>
      <c r="C372" s="299" t="s">
        <v>187</v>
      </c>
      <c r="D372" s="299" t="s">
        <v>159</v>
      </c>
      <c r="E372" s="299" t="s">
        <v>459</v>
      </c>
      <c r="F372" s="299"/>
      <c r="G372" s="297">
        <f t="shared" ref="G372:G374" si="23">G373</f>
        <v>315.79999999999995</v>
      </c>
      <c r="H372" s="532"/>
      <c r="I372" s="532"/>
      <c r="J372" s="302"/>
    </row>
    <row r="373" spans="1:11" ht="32.25" customHeight="1" x14ac:dyDescent="0.25">
      <c r="A373" s="67" t="s">
        <v>565</v>
      </c>
      <c r="B373" s="346" t="s">
        <v>305</v>
      </c>
      <c r="C373" s="346" t="s">
        <v>187</v>
      </c>
      <c r="D373" s="346" t="s">
        <v>159</v>
      </c>
      <c r="E373" s="346" t="s">
        <v>460</v>
      </c>
      <c r="F373" s="301"/>
      <c r="G373" s="300">
        <f t="shared" si="23"/>
        <v>315.79999999999995</v>
      </c>
      <c r="H373" s="532"/>
      <c r="I373" s="532"/>
      <c r="J373" s="302"/>
      <c r="K373" s="129"/>
    </row>
    <row r="374" spans="1:11" ht="33" customHeight="1" x14ac:dyDescent="0.25">
      <c r="A374" s="345" t="s">
        <v>123</v>
      </c>
      <c r="B374" s="591">
        <v>903</v>
      </c>
      <c r="C374" s="346" t="s">
        <v>187</v>
      </c>
      <c r="D374" s="346" t="s">
        <v>159</v>
      </c>
      <c r="E374" s="346" t="s">
        <v>460</v>
      </c>
      <c r="F374" s="301" t="s">
        <v>124</v>
      </c>
      <c r="G374" s="300">
        <f t="shared" si="23"/>
        <v>315.79999999999995</v>
      </c>
      <c r="H374" s="532"/>
      <c r="I374" s="532"/>
      <c r="J374" s="302"/>
      <c r="K374" s="129"/>
    </row>
    <row r="375" spans="1:11" ht="34.5" customHeight="1" x14ac:dyDescent="0.25">
      <c r="A375" s="345" t="s">
        <v>125</v>
      </c>
      <c r="B375" s="591">
        <v>903</v>
      </c>
      <c r="C375" s="346" t="s">
        <v>187</v>
      </c>
      <c r="D375" s="346" t="s">
        <v>159</v>
      </c>
      <c r="E375" s="346" t="s">
        <v>460</v>
      </c>
      <c r="F375" s="301" t="s">
        <v>126</v>
      </c>
      <c r="G375" s="300">
        <f>490.9-34.8+32.4-36.2-34-28-74.5</f>
        <v>315.79999999999995</v>
      </c>
      <c r="H375" s="532"/>
      <c r="I375" s="532"/>
      <c r="J375" s="310"/>
      <c r="K375" s="129"/>
    </row>
    <row r="376" spans="1:11" ht="19.5" customHeight="1" x14ac:dyDescent="0.25">
      <c r="A376" s="298" t="s">
        <v>246</v>
      </c>
      <c r="B376" s="296">
        <v>903</v>
      </c>
      <c r="C376" s="299" t="s">
        <v>187</v>
      </c>
      <c r="D376" s="299" t="s">
        <v>187</v>
      </c>
      <c r="E376" s="346"/>
      <c r="F376" s="346"/>
      <c r="G376" s="297">
        <f>G377</f>
        <v>972.3</v>
      </c>
      <c r="H376" s="532"/>
      <c r="I376" s="532"/>
      <c r="J376" s="302"/>
      <c r="K376" s="129"/>
    </row>
    <row r="377" spans="1:11" ht="50.25" customHeight="1" x14ac:dyDescent="0.25">
      <c r="A377" s="298" t="s">
        <v>851</v>
      </c>
      <c r="B377" s="296">
        <v>903</v>
      </c>
      <c r="C377" s="299" t="s">
        <v>187</v>
      </c>
      <c r="D377" s="299" t="s">
        <v>187</v>
      </c>
      <c r="E377" s="299" t="s">
        <v>213</v>
      </c>
      <c r="F377" s="299"/>
      <c r="G377" s="297">
        <f>G378</f>
        <v>972.3</v>
      </c>
      <c r="H377" s="532"/>
      <c r="I377" s="532"/>
      <c r="J377" s="302"/>
      <c r="K377" s="129"/>
    </row>
    <row r="378" spans="1:11" ht="32.25" customHeight="1" x14ac:dyDescent="0.25">
      <c r="A378" s="298" t="s">
        <v>214</v>
      </c>
      <c r="B378" s="296">
        <v>903</v>
      </c>
      <c r="C378" s="299" t="s">
        <v>187</v>
      </c>
      <c r="D378" s="299" t="s">
        <v>187</v>
      </c>
      <c r="E378" s="299" t="s">
        <v>215</v>
      </c>
      <c r="F378" s="299"/>
      <c r="G378" s="297">
        <f>G379+G389+G398</f>
        <v>972.3</v>
      </c>
      <c r="H378" s="532"/>
      <c r="I378" s="532"/>
      <c r="J378" s="302"/>
      <c r="K378" s="129"/>
    </row>
    <row r="379" spans="1:11" s="129" customFormat="1" ht="48.75" customHeight="1" x14ac:dyDescent="0.25">
      <c r="A379" s="339" t="s">
        <v>589</v>
      </c>
      <c r="B379" s="296">
        <v>903</v>
      </c>
      <c r="C379" s="299" t="s">
        <v>187</v>
      </c>
      <c r="D379" s="299" t="s">
        <v>187</v>
      </c>
      <c r="E379" s="299" t="s">
        <v>463</v>
      </c>
      <c r="F379" s="299"/>
      <c r="G379" s="297">
        <f>G380+G383+G386</f>
        <v>459.2</v>
      </c>
      <c r="H379" s="532"/>
      <c r="I379" s="532"/>
      <c r="J379" s="302"/>
    </row>
    <row r="380" spans="1:11" s="129" customFormat="1" ht="23.25" hidden="1" customHeight="1" x14ac:dyDescent="0.25">
      <c r="A380" s="67" t="s">
        <v>595</v>
      </c>
      <c r="B380" s="591">
        <v>903</v>
      </c>
      <c r="C380" s="346" t="s">
        <v>187</v>
      </c>
      <c r="D380" s="346" t="s">
        <v>187</v>
      </c>
      <c r="E380" s="346" t="s">
        <v>464</v>
      </c>
      <c r="F380" s="346"/>
      <c r="G380" s="300">
        <f>G381</f>
        <v>0</v>
      </c>
      <c r="H380" s="532"/>
      <c r="I380" s="532"/>
      <c r="J380" s="302"/>
    </row>
    <row r="381" spans="1:11" s="129" customFormat="1" ht="66.599999999999994" hidden="1" customHeight="1" x14ac:dyDescent="0.25">
      <c r="A381" s="345" t="s">
        <v>119</v>
      </c>
      <c r="B381" s="591">
        <v>903</v>
      </c>
      <c r="C381" s="346" t="s">
        <v>187</v>
      </c>
      <c r="D381" s="346" t="s">
        <v>187</v>
      </c>
      <c r="E381" s="346" t="s">
        <v>464</v>
      </c>
      <c r="F381" s="346" t="s">
        <v>120</v>
      </c>
      <c r="G381" s="300">
        <f>G382</f>
        <v>0</v>
      </c>
      <c r="H381" s="532"/>
      <c r="I381" s="532"/>
      <c r="J381" s="302"/>
    </row>
    <row r="382" spans="1:11" s="129" customFormat="1" ht="18" hidden="1" customHeight="1" x14ac:dyDescent="0.25">
      <c r="A382" s="345" t="s">
        <v>212</v>
      </c>
      <c r="B382" s="591">
        <v>903</v>
      </c>
      <c r="C382" s="346" t="s">
        <v>187</v>
      </c>
      <c r="D382" s="346" t="s">
        <v>187</v>
      </c>
      <c r="E382" s="346" t="s">
        <v>464</v>
      </c>
      <c r="F382" s="346" t="s">
        <v>156</v>
      </c>
      <c r="G382" s="300">
        <f>280+624.239-904.239</f>
        <v>0</v>
      </c>
      <c r="H382" s="532"/>
      <c r="I382" s="532"/>
      <c r="J382" s="302"/>
    </row>
    <row r="383" spans="1:11" s="129" customFormat="1" ht="19.5" hidden="1" customHeight="1" x14ac:dyDescent="0.25">
      <c r="A383" s="345" t="s">
        <v>590</v>
      </c>
      <c r="B383" s="591">
        <v>903</v>
      </c>
      <c r="C383" s="346" t="s">
        <v>187</v>
      </c>
      <c r="D383" s="346" t="s">
        <v>187</v>
      </c>
      <c r="E383" s="346" t="s">
        <v>605</v>
      </c>
      <c r="F383" s="346"/>
      <c r="G383" s="300">
        <f>G384</f>
        <v>0</v>
      </c>
      <c r="H383" s="532"/>
      <c r="I383" s="532"/>
      <c r="J383" s="302"/>
    </row>
    <row r="384" spans="1:11" s="129" customFormat="1" ht="32.25" hidden="1" customHeight="1" x14ac:dyDescent="0.25">
      <c r="A384" s="345" t="s">
        <v>123</v>
      </c>
      <c r="B384" s="591">
        <v>903</v>
      </c>
      <c r="C384" s="346" t="s">
        <v>187</v>
      </c>
      <c r="D384" s="346" t="s">
        <v>187</v>
      </c>
      <c r="E384" s="346" t="s">
        <v>605</v>
      </c>
      <c r="F384" s="346" t="s">
        <v>124</v>
      </c>
      <c r="G384" s="300">
        <f>G385</f>
        <v>0</v>
      </c>
      <c r="H384" s="532"/>
      <c r="I384" s="532"/>
      <c r="J384" s="302"/>
    </row>
    <row r="385" spans="1:11" s="129" customFormat="1" ht="37.5" hidden="1" customHeight="1" x14ac:dyDescent="0.25">
      <c r="A385" s="345" t="s">
        <v>125</v>
      </c>
      <c r="B385" s="591">
        <v>903</v>
      </c>
      <c r="C385" s="346" t="s">
        <v>187</v>
      </c>
      <c r="D385" s="346" t="s">
        <v>187</v>
      </c>
      <c r="E385" s="346" t="s">
        <v>605</v>
      </c>
      <c r="F385" s="346" t="s">
        <v>126</v>
      </c>
      <c r="G385" s="300">
        <v>0</v>
      </c>
      <c r="H385" s="532"/>
      <c r="I385" s="532"/>
      <c r="J385" s="302"/>
    </row>
    <row r="386" spans="1:11" s="344" customFormat="1" ht="31.5" x14ac:dyDescent="0.25">
      <c r="A386" s="345" t="s">
        <v>1322</v>
      </c>
      <c r="B386" s="591">
        <v>903</v>
      </c>
      <c r="C386" s="346" t="s">
        <v>187</v>
      </c>
      <c r="D386" s="346" t="s">
        <v>187</v>
      </c>
      <c r="E386" s="346" t="s">
        <v>1327</v>
      </c>
      <c r="F386" s="346"/>
      <c r="G386" s="300">
        <f>G387</f>
        <v>459.2</v>
      </c>
      <c r="H386" s="532"/>
      <c r="I386" s="532"/>
      <c r="J386" s="302"/>
    </row>
    <row r="387" spans="1:11" s="344" customFormat="1" ht="31.5" x14ac:dyDescent="0.25">
      <c r="A387" s="345" t="s">
        <v>191</v>
      </c>
      <c r="B387" s="591">
        <v>903</v>
      </c>
      <c r="C387" s="346" t="s">
        <v>187</v>
      </c>
      <c r="D387" s="346" t="s">
        <v>187</v>
      </c>
      <c r="E387" s="346" t="s">
        <v>1327</v>
      </c>
      <c r="F387" s="346" t="s">
        <v>192</v>
      </c>
      <c r="G387" s="300">
        <f>G388</f>
        <v>459.2</v>
      </c>
      <c r="H387" s="532"/>
      <c r="I387" s="532"/>
      <c r="J387" s="302"/>
    </row>
    <row r="388" spans="1:11" s="344" customFormat="1" ht="15.75" x14ac:dyDescent="0.25">
      <c r="A388" s="345" t="s">
        <v>193</v>
      </c>
      <c r="B388" s="591">
        <v>903</v>
      </c>
      <c r="C388" s="346" t="s">
        <v>187</v>
      </c>
      <c r="D388" s="346" t="s">
        <v>187</v>
      </c>
      <c r="E388" s="346" t="s">
        <v>1327</v>
      </c>
      <c r="F388" s="346" t="s">
        <v>194</v>
      </c>
      <c r="G388" s="300">
        <f>357.139+90.461+8.9+2.7</f>
        <v>459.2</v>
      </c>
      <c r="H388" s="532"/>
      <c r="I388" s="532"/>
      <c r="J388" s="302"/>
    </row>
    <row r="389" spans="1:11" s="129" customFormat="1" ht="64.5" customHeight="1" x14ac:dyDescent="0.25">
      <c r="A389" s="298" t="s">
        <v>591</v>
      </c>
      <c r="B389" s="296">
        <v>903</v>
      </c>
      <c r="C389" s="299" t="s">
        <v>187</v>
      </c>
      <c r="D389" s="299" t="s">
        <v>187</v>
      </c>
      <c r="E389" s="299" t="s">
        <v>465</v>
      </c>
      <c r="F389" s="299"/>
      <c r="G389" s="297">
        <f>G390+G395</f>
        <v>463.1</v>
      </c>
      <c r="H389" s="532"/>
      <c r="I389" s="532"/>
      <c r="J389" s="302"/>
    </row>
    <row r="390" spans="1:11" ht="15.75" customHeight="1" x14ac:dyDescent="0.25">
      <c r="A390" s="345" t="s">
        <v>592</v>
      </c>
      <c r="B390" s="591">
        <v>903</v>
      </c>
      <c r="C390" s="346" t="s">
        <v>187</v>
      </c>
      <c r="D390" s="346" t="s">
        <v>187</v>
      </c>
      <c r="E390" s="346" t="s">
        <v>470</v>
      </c>
      <c r="F390" s="346"/>
      <c r="G390" s="300">
        <f>G393+G392</f>
        <v>463.1</v>
      </c>
      <c r="H390" s="532"/>
      <c r="I390" s="532"/>
      <c r="J390" s="302"/>
      <c r="K390" s="129"/>
    </row>
    <row r="391" spans="1:11" ht="63" customHeight="1" x14ac:dyDescent="0.25">
      <c r="A391" s="345" t="s">
        <v>119</v>
      </c>
      <c r="B391" s="591">
        <v>903</v>
      </c>
      <c r="C391" s="346" t="s">
        <v>187</v>
      </c>
      <c r="D391" s="346" t="s">
        <v>187</v>
      </c>
      <c r="E391" s="346" t="s">
        <v>470</v>
      </c>
      <c r="F391" s="346" t="s">
        <v>120</v>
      </c>
      <c r="G391" s="300">
        <f>G392</f>
        <v>40.1</v>
      </c>
      <c r="H391" s="532"/>
      <c r="I391" s="532"/>
      <c r="J391" s="302"/>
      <c r="K391" s="129"/>
    </row>
    <row r="392" spans="1:11" ht="20.25" customHeight="1" x14ac:dyDescent="0.25">
      <c r="A392" s="345" t="s">
        <v>212</v>
      </c>
      <c r="B392" s="591">
        <v>903</v>
      </c>
      <c r="C392" s="346" t="s">
        <v>187</v>
      </c>
      <c r="D392" s="346" t="s">
        <v>187</v>
      </c>
      <c r="E392" s="346" t="s">
        <v>470</v>
      </c>
      <c r="F392" s="346" t="s">
        <v>156</v>
      </c>
      <c r="G392" s="300">
        <v>40.1</v>
      </c>
      <c r="H392" s="532"/>
      <c r="I392" s="532"/>
      <c r="J392" s="302"/>
      <c r="K392" s="129"/>
    </row>
    <row r="393" spans="1:11" ht="36.75" customHeight="1" x14ac:dyDescent="0.25">
      <c r="A393" s="345" t="s">
        <v>123</v>
      </c>
      <c r="B393" s="591">
        <v>903</v>
      </c>
      <c r="C393" s="346" t="s">
        <v>187</v>
      </c>
      <c r="D393" s="346" t="s">
        <v>187</v>
      </c>
      <c r="E393" s="346" t="s">
        <v>470</v>
      </c>
      <c r="F393" s="346" t="s">
        <v>124</v>
      </c>
      <c r="G393" s="300">
        <f>G394</f>
        <v>423</v>
      </c>
      <c r="H393" s="532"/>
      <c r="I393" s="532"/>
      <c r="J393" s="302"/>
      <c r="K393" s="129"/>
    </row>
    <row r="394" spans="1:11" ht="39.200000000000003" customHeight="1" x14ac:dyDescent="0.25">
      <c r="A394" s="345" t="s">
        <v>125</v>
      </c>
      <c r="B394" s="591">
        <v>903</v>
      </c>
      <c r="C394" s="346" t="s">
        <v>187</v>
      </c>
      <c r="D394" s="346" t="s">
        <v>187</v>
      </c>
      <c r="E394" s="346" t="s">
        <v>470</v>
      </c>
      <c r="F394" s="346" t="s">
        <v>126</v>
      </c>
      <c r="G394" s="300">
        <f>415-135.5+135.5-65-9.9+82.9</f>
        <v>423</v>
      </c>
      <c r="H394" s="532"/>
      <c r="I394" s="532"/>
      <c r="J394" s="302"/>
      <c r="K394" s="129"/>
    </row>
    <row r="395" spans="1:11" s="344" customFormat="1" ht="15" hidden="1" customHeight="1" x14ac:dyDescent="0.25">
      <c r="A395" s="345" t="s">
        <v>1284</v>
      </c>
      <c r="B395" s="591">
        <v>903</v>
      </c>
      <c r="C395" s="346" t="s">
        <v>187</v>
      </c>
      <c r="D395" s="346" t="s">
        <v>187</v>
      </c>
      <c r="E395" s="346" t="s">
        <v>1285</v>
      </c>
      <c r="F395" s="346"/>
      <c r="G395" s="300">
        <f>G396</f>
        <v>-2.8421709430404007E-14</v>
      </c>
      <c r="H395" s="532"/>
      <c r="I395" s="532"/>
      <c r="J395" s="302"/>
    </row>
    <row r="396" spans="1:11" s="344" customFormat="1" ht="31.5" hidden="1" x14ac:dyDescent="0.25">
      <c r="A396" s="345" t="s">
        <v>123</v>
      </c>
      <c r="B396" s="591">
        <v>903</v>
      </c>
      <c r="C396" s="346" t="s">
        <v>187</v>
      </c>
      <c r="D396" s="346" t="s">
        <v>187</v>
      </c>
      <c r="E396" s="346" t="s">
        <v>1285</v>
      </c>
      <c r="F396" s="346" t="s">
        <v>124</v>
      </c>
      <c r="G396" s="300">
        <f>G397</f>
        <v>-2.8421709430404007E-14</v>
      </c>
      <c r="H396" s="532"/>
      <c r="I396" s="532"/>
      <c r="J396" s="302"/>
    </row>
    <row r="397" spans="1:11" s="344" customFormat="1" ht="31.5" hidden="1" x14ac:dyDescent="0.25">
      <c r="A397" s="345" t="s">
        <v>125</v>
      </c>
      <c r="B397" s="591">
        <v>903</v>
      </c>
      <c r="C397" s="346" t="s">
        <v>187</v>
      </c>
      <c r="D397" s="346" t="s">
        <v>187</v>
      </c>
      <c r="E397" s="346" t="s">
        <v>1285</v>
      </c>
      <c r="F397" s="346" t="s">
        <v>126</v>
      </c>
      <c r="G397" s="300">
        <f>286+21.53-286-21.53</f>
        <v>-2.8421709430404007E-14</v>
      </c>
      <c r="H397" s="532"/>
      <c r="I397" s="532"/>
      <c r="J397" s="598"/>
    </row>
    <row r="398" spans="1:11" s="129" customFormat="1" ht="35.450000000000003" customHeight="1" x14ac:dyDescent="0.25">
      <c r="A398" s="298" t="s">
        <v>597</v>
      </c>
      <c r="B398" s="296">
        <v>903</v>
      </c>
      <c r="C398" s="299" t="s">
        <v>187</v>
      </c>
      <c r="D398" s="299" t="s">
        <v>187</v>
      </c>
      <c r="E398" s="299" t="s">
        <v>593</v>
      </c>
      <c r="F398" s="299"/>
      <c r="G398" s="297">
        <f t="shared" ref="G398:G399" si="24">G399</f>
        <v>50</v>
      </c>
      <c r="H398" s="532"/>
      <c r="I398" s="532"/>
      <c r="J398" s="598"/>
    </row>
    <row r="399" spans="1:11" s="129" customFormat="1" ht="39.75" customHeight="1" x14ac:dyDescent="0.25">
      <c r="A399" s="150" t="s">
        <v>594</v>
      </c>
      <c r="B399" s="591">
        <v>903</v>
      </c>
      <c r="C399" s="346" t="s">
        <v>187</v>
      </c>
      <c r="D399" s="346" t="s">
        <v>187</v>
      </c>
      <c r="E399" s="346" t="s">
        <v>606</v>
      </c>
      <c r="F399" s="346"/>
      <c r="G399" s="300">
        <f t="shared" si="24"/>
        <v>50</v>
      </c>
      <c r="H399" s="532"/>
      <c r="I399" s="532"/>
      <c r="J399" s="302"/>
    </row>
    <row r="400" spans="1:11" s="129" customFormat="1" ht="17.45" customHeight="1" x14ac:dyDescent="0.25">
      <c r="A400" s="345" t="s">
        <v>177</v>
      </c>
      <c r="B400" s="591">
        <v>903</v>
      </c>
      <c r="C400" s="346" t="s">
        <v>187</v>
      </c>
      <c r="D400" s="346" t="s">
        <v>187</v>
      </c>
      <c r="E400" s="346" t="s">
        <v>606</v>
      </c>
      <c r="F400" s="346" t="s">
        <v>178</v>
      </c>
      <c r="G400" s="300">
        <f>G402+G401</f>
        <v>50</v>
      </c>
      <c r="H400" s="532"/>
      <c r="I400" s="532"/>
      <c r="J400" s="302"/>
    </row>
    <row r="401" spans="1:11" s="344" customFormat="1" ht="28.5" customHeight="1" x14ac:dyDescent="0.25">
      <c r="A401" s="345" t="s">
        <v>179</v>
      </c>
      <c r="B401" s="591">
        <v>903</v>
      </c>
      <c r="C401" s="346" t="s">
        <v>187</v>
      </c>
      <c r="D401" s="346" t="s">
        <v>187</v>
      </c>
      <c r="E401" s="346" t="s">
        <v>606</v>
      </c>
      <c r="F401" s="346" t="s">
        <v>180</v>
      </c>
      <c r="G401" s="300">
        <v>50</v>
      </c>
      <c r="H401" s="532"/>
      <c r="I401" s="532"/>
      <c r="J401" s="302"/>
    </row>
    <row r="402" spans="1:11" s="129" customFormat="1" ht="35.450000000000003" hidden="1" customHeight="1" x14ac:dyDescent="0.25">
      <c r="A402" s="345" t="s">
        <v>734</v>
      </c>
      <c r="B402" s="591">
        <v>903</v>
      </c>
      <c r="C402" s="346" t="s">
        <v>187</v>
      </c>
      <c r="D402" s="346" t="s">
        <v>187</v>
      </c>
      <c r="E402" s="346" t="s">
        <v>606</v>
      </c>
      <c r="F402" s="346" t="s">
        <v>733</v>
      </c>
      <c r="G402" s="300">
        <f>25+25-50</f>
        <v>0</v>
      </c>
      <c r="H402" s="532"/>
      <c r="I402" s="532"/>
      <c r="J402" s="302"/>
    </row>
    <row r="403" spans="1:11" s="129" customFormat="1" ht="21.75" hidden="1" customHeight="1" x14ac:dyDescent="0.25">
      <c r="A403" s="298" t="s">
        <v>201</v>
      </c>
      <c r="B403" s="296">
        <v>903</v>
      </c>
      <c r="C403" s="299" t="s">
        <v>187</v>
      </c>
      <c r="D403" s="299" t="s">
        <v>161</v>
      </c>
      <c r="E403" s="299"/>
      <c r="F403" s="299"/>
      <c r="G403" s="297">
        <f t="shared" ref="G403:G406" si="25">G404</f>
        <v>0</v>
      </c>
      <c r="H403" s="532"/>
      <c r="I403" s="532"/>
      <c r="J403" s="302"/>
    </row>
    <row r="404" spans="1:11" s="129" customFormat="1" ht="35.450000000000003" hidden="1" customHeight="1" x14ac:dyDescent="0.25">
      <c r="A404" s="24" t="s">
        <v>444</v>
      </c>
      <c r="B404" s="296">
        <v>903</v>
      </c>
      <c r="C404" s="299" t="s">
        <v>187</v>
      </c>
      <c r="D404" s="299" t="s">
        <v>161</v>
      </c>
      <c r="E404" s="299" t="s">
        <v>439</v>
      </c>
      <c r="F404" s="299"/>
      <c r="G404" s="297">
        <f t="shared" si="25"/>
        <v>0</v>
      </c>
      <c r="H404" s="532"/>
      <c r="I404" s="532"/>
      <c r="J404" s="302"/>
    </row>
    <row r="405" spans="1:11" s="129" customFormat="1" ht="54.4" hidden="1" customHeight="1" x14ac:dyDescent="0.25">
      <c r="A405" s="22" t="s">
        <v>1067</v>
      </c>
      <c r="B405" s="591">
        <v>903</v>
      </c>
      <c r="C405" s="346" t="s">
        <v>187</v>
      </c>
      <c r="D405" s="346" t="s">
        <v>161</v>
      </c>
      <c r="E405" s="346" t="s">
        <v>1066</v>
      </c>
      <c r="F405" s="346"/>
      <c r="G405" s="300">
        <f t="shared" si="25"/>
        <v>0</v>
      </c>
      <c r="H405" s="532"/>
      <c r="I405" s="532"/>
      <c r="J405" s="302"/>
    </row>
    <row r="406" spans="1:11" s="129" customFormat="1" ht="35.450000000000003" hidden="1" customHeight="1" x14ac:dyDescent="0.25">
      <c r="A406" s="345" t="s">
        <v>123</v>
      </c>
      <c r="B406" s="591">
        <v>903</v>
      </c>
      <c r="C406" s="346" t="s">
        <v>187</v>
      </c>
      <c r="D406" s="346" t="s">
        <v>161</v>
      </c>
      <c r="E406" s="346" t="s">
        <v>1066</v>
      </c>
      <c r="F406" s="346" t="s">
        <v>124</v>
      </c>
      <c r="G406" s="300">
        <f t="shared" si="25"/>
        <v>0</v>
      </c>
      <c r="H406" s="532"/>
      <c r="I406" s="532"/>
      <c r="J406" s="302"/>
    </row>
    <row r="407" spans="1:11" s="129" customFormat="1" ht="35.450000000000003" hidden="1" customHeight="1" x14ac:dyDescent="0.25">
      <c r="A407" s="345" t="s">
        <v>125</v>
      </c>
      <c r="B407" s="591">
        <v>903</v>
      </c>
      <c r="C407" s="346" t="s">
        <v>187</v>
      </c>
      <c r="D407" s="346" t="s">
        <v>161</v>
      </c>
      <c r="E407" s="346" t="s">
        <v>1066</v>
      </c>
      <c r="F407" s="346" t="s">
        <v>126</v>
      </c>
      <c r="G407" s="300"/>
      <c r="H407" s="532"/>
      <c r="I407" s="532"/>
      <c r="J407" s="302"/>
    </row>
    <row r="408" spans="1:11" ht="15.75" x14ac:dyDescent="0.25">
      <c r="A408" s="298" t="s">
        <v>202</v>
      </c>
      <c r="B408" s="296">
        <v>903</v>
      </c>
      <c r="C408" s="299" t="s">
        <v>203</v>
      </c>
      <c r="D408" s="299"/>
      <c r="E408" s="299"/>
      <c r="F408" s="299"/>
      <c r="G408" s="297">
        <f>G409+G507</f>
        <v>96324.704029999994</v>
      </c>
      <c r="H408" s="532"/>
      <c r="I408" s="532"/>
      <c r="J408" s="302"/>
      <c r="K408" s="129"/>
    </row>
    <row r="409" spans="1:11" ht="15.75" x14ac:dyDescent="0.25">
      <c r="A409" s="298" t="s">
        <v>204</v>
      </c>
      <c r="B409" s="296">
        <v>903</v>
      </c>
      <c r="C409" s="299" t="s">
        <v>203</v>
      </c>
      <c r="D409" s="299" t="s">
        <v>116</v>
      </c>
      <c r="E409" s="299"/>
      <c r="F409" s="299"/>
      <c r="G409" s="297">
        <f>G410+G499+G491</f>
        <v>71851.15058999999</v>
      </c>
      <c r="H409" s="536"/>
      <c r="I409" s="536"/>
      <c r="J409" s="302"/>
      <c r="K409" s="129"/>
    </row>
    <row r="410" spans="1:11" ht="35.450000000000003" customHeight="1" x14ac:dyDescent="0.25">
      <c r="A410" s="298" t="s">
        <v>855</v>
      </c>
      <c r="B410" s="296">
        <v>903</v>
      </c>
      <c r="C410" s="299" t="s">
        <v>203</v>
      </c>
      <c r="D410" s="299" t="s">
        <v>116</v>
      </c>
      <c r="E410" s="299" t="s">
        <v>189</v>
      </c>
      <c r="F410" s="299"/>
      <c r="G410" s="297">
        <f>G411+G425+G440+G450+G459+G463+G478+G485+G474</f>
        <v>70537.750589999996</v>
      </c>
      <c r="H410" s="532"/>
      <c r="I410" s="532"/>
      <c r="J410" s="302"/>
      <c r="K410" s="129"/>
    </row>
    <row r="411" spans="1:11" s="129" customFormat="1" ht="30.2" customHeight="1" x14ac:dyDescent="0.25">
      <c r="A411" s="298" t="s">
        <v>815</v>
      </c>
      <c r="B411" s="296">
        <v>903</v>
      </c>
      <c r="C411" s="299" t="s">
        <v>203</v>
      </c>
      <c r="D411" s="299" t="s">
        <v>116</v>
      </c>
      <c r="E411" s="299" t="s">
        <v>741</v>
      </c>
      <c r="F411" s="299"/>
      <c r="G411" s="297">
        <f>G412+G415</f>
        <v>53159.095260000002</v>
      </c>
      <c r="H411" s="532"/>
      <c r="I411" s="532"/>
      <c r="J411" s="302"/>
    </row>
    <row r="412" spans="1:11" s="344" customFormat="1" ht="30.2" customHeight="1" x14ac:dyDescent="0.25">
      <c r="A412" s="345" t="s">
        <v>205</v>
      </c>
      <c r="B412" s="591">
        <v>903</v>
      </c>
      <c r="C412" s="346" t="s">
        <v>203</v>
      </c>
      <c r="D412" s="346" t="s">
        <v>116</v>
      </c>
      <c r="E412" s="346" t="s">
        <v>1218</v>
      </c>
      <c r="F412" s="346"/>
      <c r="G412" s="300">
        <f>G413</f>
        <v>29345.94469</v>
      </c>
      <c r="H412" s="532"/>
      <c r="I412" s="532"/>
      <c r="J412" s="302"/>
    </row>
    <row r="413" spans="1:11" s="344" customFormat="1" ht="30.2" customHeight="1" x14ac:dyDescent="0.25">
      <c r="A413" s="345" t="s">
        <v>191</v>
      </c>
      <c r="B413" s="591">
        <v>903</v>
      </c>
      <c r="C413" s="346" t="s">
        <v>203</v>
      </c>
      <c r="D413" s="346" t="s">
        <v>116</v>
      </c>
      <c r="E413" s="346" t="s">
        <v>1218</v>
      </c>
      <c r="F413" s="346" t="s">
        <v>192</v>
      </c>
      <c r="G413" s="300">
        <f>G414</f>
        <v>29345.94469</v>
      </c>
      <c r="H413" s="532"/>
      <c r="I413" s="532"/>
      <c r="J413" s="302"/>
    </row>
    <row r="414" spans="1:11" s="344" customFormat="1" ht="15.75" x14ac:dyDescent="0.25">
      <c r="A414" s="345" t="s">
        <v>193</v>
      </c>
      <c r="B414" s="591">
        <v>903</v>
      </c>
      <c r="C414" s="346" t="s">
        <v>203</v>
      </c>
      <c r="D414" s="346" t="s">
        <v>116</v>
      </c>
      <c r="E414" s="346" t="s">
        <v>1218</v>
      </c>
      <c r="F414" s="346" t="s">
        <v>194</v>
      </c>
      <c r="G414" s="300">
        <f>28932.4-330+53.3+159.7+120+40+20.1-0.25531+50+9.4+7.4-150+80.3+637.8+215.8-300-200</f>
        <v>29345.94469</v>
      </c>
      <c r="H414" s="532"/>
      <c r="I414" s="532"/>
      <c r="J414" s="302"/>
    </row>
    <row r="415" spans="1:11" s="129" customFormat="1" ht="17.45" customHeight="1" x14ac:dyDescent="0.25">
      <c r="A415" s="345" t="s">
        <v>376</v>
      </c>
      <c r="B415" s="591">
        <v>903</v>
      </c>
      <c r="C415" s="346" t="s">
        <v>203</v>
      </c>
      <c r="D415" s="346" t="s">
        <v>116</v>
      </c>
      <c r="E415" s="346" t="s">
        <v>742</v>
      </c>
      <c r="F415" s="346"/>
      <c r="G415" s="300">
        <f>G416+G418+G420</f>
        <v>23813.150570000002</v>
      </c>
      <c r="H415" s="532"/>
      <c r="I415" s="532"/>
      <c r="J415" s="302"/>
    </row>
    <row r="416" spans="1:11" s="129" customFormat="1" ht="46.5" customHeight="1" x14ac:dyDescent="0.25">
      <c r="A416" s="345" t="s">
        <v>119</v>
      </c>
      <c r="B416" s="591">
        <v>903</v>
      </c>
      <c r="C416" s="346" t="s">
        <v>203</v>
      </c>
      <c r="D416" s="346" t="s">
        <v>116</v>
      </c>
      <c r="E416" s="346" t="s">
        <v>742</v>
      </c>
      <c r="F416" s="346" t="s">
        <v>120</v>
      </c>
      <c r="G416" s="300">
        <f>G417</f>
        <v>19555.05</v>
      </c>
      <c r="H416" s="532"/>
      <c r="I416" s="532"/>
      <c r="J416" s="302"/>
    </row>
    <row r="417" spans="1:12" s="129" customFormat="1" ht="21.75" customHeight="1" x14ac:dyDescent="0.25">
      <c r="A417" s="345" t="s">
        <v>155</v>
      </c>
      <c r="B417" s="591">
        <v>903</v>
      </c>
      <c r="C417" s="346" t="s">
        <v>203</v>
      </c>
      <c r="D417" s="346" t="s">
        <v>116</v>
      </c>
      <c r="E417" s="346" t="s">
        <v>742</v>
      </c>
      <c r="F417" s="346" t="s">
        <v>156</v>
      </c>
      <c r="G417" s="18">
        <f>22394.5+19846.5-22394.5+17.2+8.6-0.05-300-17.2</f>
        <v>19555.05</v>
      </c>
      <c r="H417" s="532"/>
      <c r="I417" s="532"/>
      <c r="J417" s="310"/>
    </row>
    <row r="418" spans="1:12" s="129" customFormat="1" ht="36.75" customHeight="1" x14ac:dyDescent="0.25">
      <c r="A418" s="345" t="s">
        <v>123</v>
      </c>
      <c r="B418" s="591">
        <v>903</v>
      </c>
      <c r="C418" s="346" t="s">
        <v>203</v>
      </c>
      <c r="D418" s="346" t="s">
        <v>116</v>
      </c>
      <c r="E418" s="346" t="s">
        <v>742</v>
      </c>
      <c r="F418" s="346" t="s">
        <v>124</v>
      </c>
      <c r="G418" s="300">
        <f>G419</f>
        <v>4185.6000000000004</v>
      </c>
      <c r="H418" s="532"/>
      <c r="I418" s="532"/>
      <c r="J418" s="302"/>
    </row>
    <row r="419" spans="1:12" s="129" customFormat="1" ht="33" customHeight="1" x14ac:dyDescent="0.25">
      <c r="A419" s="345" t="s">
        <v>125</v>
      </c>
      <c r="B419" s="591">
        <v>903</v>
      </c>
      <c r="C419" s="346" t="s">
        <v>203</v>
      </c>
      <c r="D419" s="346" t="s">
        <v>116</v>
      </c>
      <c r="E419" s="346" t="s">
        <v>742</v>
      </c>
      <c r="F419" s="346" t="s">
        <v>126</v>
      </c>
      <c r="G419" s="18">
        <f>6170.9+3955.9-6170.9+30.4+90.7+19.2-5.2+6.5+85-10.2-95.6+30+45-81.3+65.3+16+33.9</f>
        <v>4185.6000000000004</v>
      </c>
      <c r="H419" s="530"/>
      <c r="I419" s="530"/>
      <c r="J419" s="302"/>
      <c r="K419" s="270"/>
      <c r="L419" s="320"/>
    </row>
    <row r="420" spans="1:12" s="129" customFormat="1" ht="18" customHeight="1" x14ac:dyDescent="0.25">
      <c r="A420" s="345" t="s">
        <v>127</v>
      </c>
      <c r="B420" s="591">
        <v>903</v>
      </c>
      <c r="C420" s="346" t="s">
        <v>203</v>
      </c>
      <c r="D420" s="346" t="s">
        <v>116</v>
      </c>
      <c r="E420" s="346" t="s">
        <v>742</v>
      </c>
      <c r="F420" s="346" t="s">
        <v>134</v>
      </c>
      <c r="G420" s="300">
        <f>G421</f>
        <v>72.50057000000001</v>
      </c>
      <c r="H420" s="532"/>
      <c r="I420" s="532"/>
      <c r="J420" s="302"/>
    </row>
    <row r="421" spans="1:12" s="129" customFormat="1" ht="16.5" customHeight="1" x14ac:dyDescent="0.25">
      <c r="A421" s="345" t="s">
        <v>280</v>
      </c>
      <c r="B421" s="591">
        <v>903</v>
      </c>
      <c r="C421" s="346" t="s">
        <v>203</v>
      </c>
      <c r="D421" s="346" t="s">
        <v>116</v>
      </c>
      <c r="E421" s="346" t="s">
        <v>742</v>
      </c>
      <c r="F421" s="346" t="s">
        <v>130</v>
      </c>
      <c r="G421" s="300">
        <f>37+26-37+14.3+5.2+6.6+14.3-0.01687+2.81744+20-8.7-8</f>
        <v>72.50057000000001</v>
      </c>
      <c r="H421" s="532"/>
      <c r="I421" s="532"/>
      <c r="J421" s="310"/>
    </row>
    <row r="422" spans="1:12" s="129" customFormat="1" ht="21.75" hidden="1" customHeight="1" x14ac:dyDescent="0.25">
      <c r="A422" s="22" t="s">
        <v>974</v>
      </c>
      <c r="B422" s="591">
        <v>903</v>
      </c>
      <c r="C422" s="346" t="s">
        <v>203</v>
      </c>
      <c r="D422" s="346" t="s">
        <v>116</v>
      </c>
      <c r="E422" s="346" t="s">
        <v>965</v>
      </c>
      <c r="F422" s="346"/>
      <c r="G422" s="300">
        <f>G423</f>
        <v>0</v>
      </c>
      <c r="H422" s="532"/>
      <c r="I422" s="532"/>
      <c r="J422" s="302"/>
    </row>
    <row r="423" spans="1:12" s="129" customFormat="1" ht="60.4" hidden="1" customHeight="1" x14ac:dyDescent="0.25">
      <c r="A423" s="345" t="s">
        <v>119</v>
      </c>
      <c r="B423" s="591">
        <v>903</v>
      </c>
      <c r="C423" s="346" t="s">
        <v>203</v>
      </c>
      <c r="D423" s="346" t="s">
        <v>116</v>
      </c>
      <c r="E423" s="346" t="s">
        <v>965</v>
      </c>
      <c r="F423" s="346" t="s">
        <v>120</v>
      </c>
      <c r="G423" s="300">
        <f>G424</f>
        <v>0</v>
      </c>
      <c r="H423" s="532"/>
      <c r="I423" s="532"/>
      <c r="J423" s="302"/>
    </row>
    <row r="424" spans="1:12" s="129" customFormat="1" ht="17.100000000000001" hidden="1" customHeight="1" x14ac:dyDescent="0.25">
      <c r="A424" s="345" t="s">
        <v>155</v>
      </c>
      <c r="B424" s="591">
        <v>903</v>
      </c>
      <c r="C424" s="346" t="s">
        <v>203</v>
      </c>
      <c r="D424" s="346" t="s">
        <v>116</v>
      </c>
      <c r="E424" s="346" t="s">
        <v>965</v>
      </c>
      <c r="F424" s="346" t="s">
        <v>156</v>
      </c>
      <c r="G424" s="300"/>
      <c r="H424" s="532"/>
      <c r="I424" s="532"/>
      <c r="J424" s="302"/>
    </row>
    <row r="425" spans="1:12" s="129" customFormat="1" ht="35.450000000000003" customHeight="1" x14ac:dyDescent="0.25">
      <c r="A425" s="138" t="s">
        <v>817</v>
      </c>
      <c r="B425" s="296">
        <v>903</v>
      </c>
      <c r="C425" s="299" t="s">
        <v>203</v>
      </c>
      <c r="D425" s="299" t="s">
        <v>116</v>
      </c>
      <c r="E425" s="299" t="s">
        <v>743</v>
      </c>
      <c r="F425" s="299"/>
      <c r="G425" s="297">
        <f>G426+G431+G434+G437</f>
        <v>816.65530999999999</v>
      </c>
      <c r="H425" s="532"/>
      <c r="I425" s="532"/>
      <c r="J425" s="302"/>
    </row>
    <row r="426" spans="1:12" ht="35.450000000000003" hidden="1" customHeight="1" x14ac:dyDescent="0.25">
      <c r="A426" s="22" t="s">
        <v>392</v>
      </c>
      <c r="B426" s="591">
        <v>903</v>
      </c>
      <c r="C426" s="346" t="s">
        <v>203</v>
      </c>
      <c r="D426" s="346" t="s">
        <v>116</v>
      </c>
      <c r="E426" s="346" t="s">
        <v>745</v>
      </c>
      <c r="F426" s="346"/>
      <c r="G426" s="18">
        <f>G429+G427</f>
        <v>0</v>
      </c>
      <c r="H426" s="532"/>
      <c r="I426" s="532"/>
      <c r="J426" s="302"/>
      <c r="K426" s="129"/>
    </row>
    <row r="427" spans="1:12" ht="66.2" hidden="1" customHeight="1" x14ac:dyDescent="0.25">
      <c r="A427" s="345" t="s">
        <v>119</v>
      </c>
      <c r="B427" s="591">
        <v>903</v>
      </c>
      <c r="C427" s="346" t="s">
        <v>203</v>
      </c>
      <c r="D427" s="346" t="s">
        <v>116</v>
      </c>
      <c r="E427" s="346" t="s">
        <v>745</v>
      </c>
      <c r="F427" s="346" t="s">
        <v>120</v>
      </c>
      <c r="G427" s="18">
        <f>G428</f>
        <v>0</v>
      </c>
      <c r="H427" s="532"/>
      <c r="I427" s="532"/>
      <c r="J427" s="302"/>
      <c r="K427" s="129"/>
    </row>
    <row r="428" spans="1:12" ht="20.25" hidden="1" customHeight="1" x14ac:dyDescent="0.25">
      <c r="A428" s="345" t="s">
        <v>155</v>
      </c>
      <c r="B428" s="591">
        <v>903</v>
      </c>
      <c r="C428" s="346" t="s">
        <v>203</v>
      </c>
      <c r="D428" s="346" t="s">
        <v>116</v>
      </c>
      <c r="E428" s="346" t="s">
        <v>745</v>
      </c>
      <c r="F428" s="346" t="s">
        <v>156</v>
      </c>
      <c r="G428" s="18">
        <f>280-280</f>
        <v>0</v>
      </c>
      <c r="H428" s="532"/>
      <c r="I428" s="532"/>
      <c r="J428" s="302"/>
      <c r="K428" s="129"/>
    </row>
    <row r="429" spans="1:12" ht="33.75" hidden="1" customHeight="1" x14ac:dyDescent="0.25">
      <c r="A429" s="345" t="s">
        <v>123</v>
      </c>
      <c r="B429" s="591">
        <v>903</v>
      </c>
      <c r="C429" s="346" t="s">
        <v>203</v>
      </c>
      <c r="D429" s="346" t="s">
        <v>116</v>
      </c>
      <c r="E429" s="346" t="s">
        <v>745</v>
      </c>
      <c r="F429" s="346" t="s">
        <v>124</v>
      </c>
      <c r="G429" s="18">
        <f>G430</f>
        <v>0</v>
      </c>
      <c r="H429" s="532"/>
      <c r="I429" s="532"/>
      <c r="J429" s="302"/>
      <c r="K429" s="129"/>
    </row>
    <row r="430" spans="1:12" ht="36.75" hidden="1" customHeight="1" x14ac:dyDescent="0.25">
      <c r="A430" s="345" t="s">
        <v>125</v>
      </c>
      <c r="B430" s="591">
        <v>903</v>
      </c>
      <c r="C430" s="346" t="s">
        <v>203</v>
      </c>
      <c r="D430" s="346" t="s">
        <v>116</v>
      </c>
      <c r="E430" s="346" t="s">
        <v>745</v>
      </c>
      <c r="F430" s="346" t="s">
        <v>126</v>
      </c>
      <c r="G430" s="18"/>
      <c r="H430" s="532"/>
      <c r="I430" s="532"/>
      <c r="J430" s="302"/>
      <c r="K430" s="129"/>
    </row>
    <row r="431" spans="1:12" s="344" customFormat="1" ht="31.5" x14ac:dyDescent="0.25">
      <c r="A431" s="345" t="s">
        <v>1219</v>
      </c>
      <c r="B431" s="591">
        <v>903</v>
      </c>
      <c r="C431" s="346" t="s">
        <v>203</v>
      </c>
      <c r="D431" s="346" t="s">
        <v>116</v>
      </c>
      <c r="E431" s="346" t="s">
        <v>1220</v>
      </c>
      <c r="F431" s="346"/>
      <c r="G431" s="18">
        <f>G432</f>
        <v>676.3</v>
      </c>
      <c r="H431" s="532"/>
      <c r="I431" s="532"/>
      <c r="J431" s="302"/>
    </row>
    <row r="432" spans="1:12" s="344" customFormat="1" ht="31.5" x14ac:dyDescent="0.25">
      <c r="A432" s="345" t="s">
        <v>191</v>
      </c>
      <c r="B432" s="591">
        <v>903</v>
      </c>
      <c r="C432" s="346" t="s">
        <v>203</v>
      </c>
      <c r="D432" s="346" t="s">
        <v>116</v>
      </c>
      <c r="E432" s="346" t="s">
        <v>1220</v>
      </c>
      <c r="F432" s="346" t="s">
        <v>192</v>
      </c>
      <c r="G432" s="18">
        <f>G433</f>
        <v>676.3</v>
      </c>
      <c r="H432" s="532"/>
      <c r="I432" s="532"/>
      <c r="J432" s="302"/>
    </row>
    <row r="433" spans="1:10" s="344" customFormat="1" ht="15.75" x14ac:dyDescent="0.25">
      <c r="A433" s="345" t="s">
        <v>193</v>
      </c>
      <c r="B433" s="591">
        <v>903</v>
      </c>
      <c r="C433" s="346" t="s">
        <v>203</v>
      </c>
      <c r="D433" s="346" t="s">
        <v>116</v>
      </c>
      <c r="E433" s="346" t="s">
        <v>1220</v>
      </c>
      <c r="F433" s="346" t="s">
        <v>194</v>
      </c>
      <c r="G433" s="18">
        <f>280+445.3-159.7+159.7-19.5-20.1-9.4</f>
        <v>676.3</v>
      </c>
      <c r="H433" s="532"/>
      <c r="I433" s="532"/>
      <c r="J433" s="302"/>
    </row>
    <row r="434" spans="1:10" s="344" customFormat="1" ht="31.5" x14ac:dyDescent="0.25">
      <c r="A434" s="345" t="s">
        <v>195</v>
      </c>
      <c r="B434" s="591">
        <v>903</v>
      </c>
      <c r="C434" s="346" t="s">
        <v>203</v>
      </c>
      <c r="D434" s="346" t="s">
        <v>116</v>
      </c>
      <c r="E434" s="346" t="s">
        <v>1330</v>
      </c>
      <c r="F434" s="346"/>
      <c r="G434" s="300">
        <f>G435</f>
        <v>0.25530999999999998</v>
      </c>
      <c r="H434" s="532"/>
      <c r="I434" s="532"/>
      <c r="J434" s="302"/>
    </row>
    <row r="435" spans="1:10" s="344" customFormat="1" ht="31.5" x14ac:dyDescent="0.25">
      <c r="A435" s="345" t="s">
        <v>191</v>
      </c>
      <c r="B435" s="591">
        <v>903</v>
      </c>
      <c r="C435" s="346" t="s">
        <v>203</v>
      </c>
      <c r="D435" s="346" t="s">
        <v>116</v>
      </c>
      <c r="E435" s="346" t="s">
        <v>1330</v>
      </c>
      <c r="F435" s="346" t="s">
        <v>192</v>
      </c>
      <c r="G435" s="300">
        <f>G436</f>
        <v>0.25530999999999998</v>
      </c>
      <c r="H435" s="532"/>
      <c r="I435" s="532"/>
      <c r="J435" s="302"/>
    </row>
    <row r="436" spans="1:10" s="344" customFormat="1" ht="15.75" x14ac:dyDescent="0.25">
      <c r="A436" s="345" t="s">
        <v>193</v>
      </c>
      <c r="B436" s="591">
        <v>903</v>
      </c>
      <c r="C436" s="346" t="s">
        <v>203</v>
      </c>
      <c r="D436" s="346" t="s">
        <v>116</v>
      </c>
      <c r="E436" s="346" t="s">
        <v>1340</v>
      </c>
      <c r="F436" s="346" t="s">
        <v>194</v>
      </c>
      <c r="G436" s="300">
        <f>0.25531+0.00001-0.00001</f>
        <v>0.25530999999999998</v>
      </c>
      <c r="H436" s="532"/>
      <c r="I436" s="532"/>
      <c r="J436" s="302"/>
    </row>
    <row r="437" spans="1:10" s="344" customFormat="1" ht="31.5" x14ac:dyDescent="0.25">
      <c r="A437" s="345" t="s">
        <v>196</v>
      </c>
      <c r="B437" s="591">
        <v>903</v>
      </c>
      <c r="C437" s="346" t="s">
        <v>203</v>
      </c>
      <c r="D437" s="346" t="s">
        <v>116</v>
      </c>
      <c r="E437" s="346" t="s">
        <v>1331</v>
      </c>
      <c r="F437" s="346"/>
      <c r="G437" s="300">
        <f>G438</f>
        <v>140.1</v>
      </c>
      <c r="H437" s="532"/>
      <c r="I437" s="532"/>
      <c r="J437" s="302"/>
    </row>
    <row r="438" spans="1:10" s="344" customFormat="1" ht="31.5" x14ac:dyDescent="0.25">
      <c r="A438" s="345" t="s">
        <v>191</v>
      </c>
      <c r="B438" s="591">
        <v>903</v>
      </c>
      <c r="C438" s="346" t="s">
        <v>203</v>
      </c>
      <c r="D438" s="346" t="s">
        <v>116</v>
      </c>
      <c r="E438" s="346" t="s">
        <v>1331</v>
      </c>
      <c r="F438" s="346" t="s">
        <v>192</v>
      </c>
      <c r="G438" s="300">
        <f>G439</f>
        <v>140.1</v>
      </c>
      <c r="H438" s="532"/>
      <c r="I438" s="532"/>
      <c r="J438" s="302"/>
    </row>
    <row r="439" spans="1:10" s="344" customFormat="1" ht="15.75" x14ac:dyDescent="0.25">
      <c r="A439" s="345" t="s">
        <v>193</v>
      </c>
      <c r="B439" s="591">
        <v>903</v>
      </c>
      <c r="C439" s="346" t="s">
        <v>203</v>
      </c>
      <c r="D439" s="346" t="s">
        <v>116</v>
      </c>
      <c r="E439" s="346" t="s">
        <v>1331</v>
      </c>
      <c r="F439" s="346" t="s">
        <v>194</v>
      </c>
      <c r="G439" s="300">
        <f>140+0.1</f>
        <v>140.1</v>
      </c>
      <c r="H439" s="532"/>
      <c r="I439" s="532"/>
      <c r="J439" s="302"/>
    </row>
    <row r="440" spans="1:10" s="129" customFormat="1" ht="36.75" customHeight="1" x14ac:dyDescent="0.25">
      <c r="A440" s="298" t="s">
        <v>512</v>
      </c>
      <c r="B440" s="296">
        <v>903</v>
      </c>
      <c r="C440" s="299" t="s">
        <v>203</v>
      </c>
      <c r="D440" s="299" t="s">
        <v>116</v>
      </c>
      <c r="E440" s="299" t="s">
        <v>746</v>
      </c>
      <c r="F440" s="299"/>
      <c r="G440" s="28">
        <f>G441+G444+G447</f>
        <v>810</v>
      </c>
      <c r="H440" s="532"/>
      <c r="I440" s="532"/>
      <c r="J440" s="302"/>
    </row>
    <row r="441" spans="1:10" s="129" customFormat="1" ht="36.75" customHeight="1" x14ac:dyDescent="0.25">
      <c r="A441" s="345" t="s">
        <v>414</v>
      </c>
      <c r="B441" s="591">
        <v>903</v>
      </c>
      <c r="C441" s="346" t="s">
        <v>203</v>
      </c>
      <c r="D441" s="346" t="s">
        <v>116</v>
      </c>
      <c r="E441" s="346" t="s">
        <v>747</v>
      </c>
      <c r="F441" s="346"/>
      <c r="G441" s="300">
        <f t="shared" ref="G441:G442" si="26">G442</f>
        <v>136.69999999999999</v>
      </c>
      <c r="H441" s="532"/>
      <c r="I441" s="532"/>
      <c r="J441" s="302"/>
    </row>
    <row r="442" spans="1:10" s="129" customFormat="1" ht="62.45" customHeight="1" x14ac:dyDescent="0.25">
      <c r="A442" s="345" t="s">
        <v>119</v>
      </c>
      <c r="B442" s="591">
        <v>903</v>
      </c>
      <c r="C442" s="346" t="s">
        <v>203</v>
      </c>
      <c r="D442" s="346" t="s">
        <v>116</v>
      </c>
      <c r="E442" s="346" t="s">
        <v>747</v>
      </c>
      <c r="F442" s="346" t="s">
        <v>120</v>
      </c>
      <c r="G442" s="300">
        <f t="shared" si="26"/>
        <v>136.69999999999999</v>
      </c>
      <c r="H442" s="532"/>
      <c r="I442" s="532"/>
      <c r="J442" s="302"/>
    </row>
    <row r="443" spans="1:10" s="129" customFormat="1" ht="36.75" customHeight="1" x14ac:dyDescent="0.25">
      <c r="A443" s="345" t="s">
        <v>121</v>
      </c>
      <c r="B443" s="591">
        <v>903</v>
      </c>
      <c r="C443" s="346" t="s">
        <v>203</v>
      </c>
      <c r="D443" s="346" t="s">
        <v>116</v>
      </c>
      <c r="E443" s="346" t="s">
        <v>747</v>
      </c>
      <c r="F443" s="346" t="s">
        <v>156</v>
      </c>
      <c r="G443" s="300">
        <f>903-430-43.3-293</f>
        <v>136.69999999999999</v>
      </c>
      <c r="H443" s="532"/>
      <c r="I443" s="532"/>
      <c r="J443" s="310"/>
    </row>
    <row r="444" spans="1:10" s="344" customFormat="1" ht="31.5" x14ac:dyDescent="0.25">
      <c r="A444" s="345" t="s">
        <v>342</v>
      </c>
      <c r="B444" s="591">
        <v>903</v>
      </c>
      <c r="C444" s="346" t="s">
        <v>203</v>
      </c>
      <c r="D444" s="346" t="s">
        <v>116</v>
      </c>
      <c r="E444" s="346" t="s">
        <v>1221</v>
      </c>
      <c r="F444" s="346"/>
      <c r="G444" s="300">
        <f>G445</f>
        <v>473.3</v>
      </c>
      <c r="H444" s="532"/>
      <c r="I444" s="532"/>
      <c r="J444" s="310"/>
    </row>
    <row r="445" spans="1:10" s="344" customFormat="1" ht="31.5" x14ac:dyDescent="0.25">
      <c r="A445" s="345" t="s">
        <v>191</v>
      </c>
      <c r="B445" s="591">
        <v>903</v>
      </c>
      <c r="C445" s="346" t="s">
        <v>203</v>
      </c>
      <c r="D445" s="346" t="s">
        <v>116</v>
      </c>
      <c r="E445" s="346" t="s">
        <v>1221</v>
      </c>
      <c r="F445" s="346" t="s">
        <v>192</v>
      </c>
      <c r="G445" s="300">
        <f>G446</f>
        <v>473.3</v>
      </c>
      <c r="H445" s="532"/>
      <c r="I445" s="532"/>
      <c r="J445" s="310"/>
    </row>
    <row r="446" spans="1:10" s="344" customFormat="1" ht="15.75" x14ac:dyDescent="0.25">
      <c r="A446" s="345" t="s">
        <v>193</v>
      </c>
      <c r="B446" s="591">
        <v>903</v>
      </c>
      <c r="C446" s="346" t="s">
        <v>203</v>
      </c>
      <c r="D446" s="346" t="s">
        <v>116</v>
      </c>
      <c r="E446" s="346" t="s">
        <v>1221</v>
      </c>
      <c r="F446" s="346" t="s">
        <v>194</v>
      </c>
      <c r="G446" s="300">
        <f>430+43.3</f>
        <v>473.3</v>
      </c>
      <c r="H446" s="532"/>
      <c r="I446" s="532"/>
      <c r="J446" s="310"/>
    </row>
    <row r="447" spans="1:10" s="344" customFormat="1" ht="31.5" x14ac:dyDescent="0.25">
      <c r="A447" s="345" t="s">
        <v>1359</v>
      </c>
      <c r="B447" s="591">
        <v>903</v>
      </c>
      <c r="C447" s="346" t="s">
        <v>203</v>
      </c>
      <c r="D447" s="346" t="s">
        <v>116</v>
      </c>
      <c r="E447" s="346" t="s">
        <v>1358</v>
      </c>
      <c r="F447" s="346"/>
      <c r="G447" s="300">
        <f>G448</f>
        <v>200</v>
      </c>
      <c r="H447" s="532"/>
      <c r="I447" s="532"/>
      <c r="J447" s="310"/>
    </row>
    <row r="448" spans="1:10" s="344" customFormat="1" ht="31.5" x14ac:dyDescent="0.25">
      <c r="A448" s="345" t="s">
        <v>191</v>
      </c>
      <c r="B448" s="591">
        <v>903</v>
      </c>
      <c r="C448" s="346" t="s">
        <v>203</v>
      </c>
      <c r="D448" s="346" t="s">
        <v>116</v>
      </c>
      <c r="E448" s="346" t="s">
        <v>1358</v>
      </c>
      <c r="F448" s="346" t="s">
        <v>192</v>
      </c>
      <c r="G448" s="300">
        <f>G449</f>
        <v>200</v>
      </c>
      <c r="H448" s="532"/>
      <c r="I448" s="532"/>
      <c r="J448" s="310"/>
    </row>
    <row r="449" spans="1:11" s="344" customFormat="1" ht="29.45" customHeight="1" x14ac:dyDescent="0.25">
      <c r="A449" s="345" t="s">
        <v>193</v>
      </c>
      <c r="B449" s="591">
        <v>903</v>
      </c>
      <c r="C449" s="346" t="s">
        <v>203</v>
      </c>
      <c r="D449" s="346" t="s">
        <v>116</v>
      </c>
      <c r="E449" s="346" t="s">
        <v>1358</v>
      </c>
      <c r="F449" s="346" t="s">
        <v>194</v>
      </c>
      <c r="G449" s="300">
        <f>200</f>
        <v>200</v>
      </c>
      <c r="H449" s="532"/>
      <c r="I449" s="532"/>
      <c r="J449" s="310"/>
    </row>
    <row r="450" spans="1:11" s="129" customFormat="1" ht="36.75" customHeight="1" x14ac:dyDescent="0.25">
      <c r="A450" s="139" t="s">
        <v>469</v>
      </c>
      <c r="B450" s="296">
        <v>903</v>
      </c>
      <c r="C450" s="299" t="s">
        <v>203</v>
      </c>
      <c r="D450" s="299" t="s">
        <v>116</v>
      </c>
      <c r="E450" s="299" t="s">
        <v>748</v>
      </c>
      <c r="F450" s="299"/>
      <c r="G450" s="297">
        <f>G451+G456</f>
        <v>2554.4</v>
      </c>
      <c r="H450" s="532"/>
      <c r="I450" s="532"/>
      <c r="J450" s="302"/>
    </row>
    <row r="451" spans="1:11" s="129" customFormat="1" ht="87" customHeight="1" x14ac:dyDescent="0.25">
      <c r="A451" s="22" t="s">
        <v>200</v>
      </c>
      <c r="B451" s="591">
        <v>903</v>
      </c>
      <c r="C451" s="346" t="s">
        <v>203</v>
      </c>
      <c r="D451" s="346" t="s">
        <v>116</v>
      </c>
      <c r="E451" s="346" t="s">
        <v>898</v>
      </c>
      <c r="F451" s="346"/>
      <c r="G451" s="300">
        <f>G452+G454</f>
        <v>2100.5</v>
      </c>
      <c r="H451" s="532"/>
      <c r="I451" s="532"/>
      <c r="J451" s="302"/>
    </row>
    <row r="452" spans="1:11" s="129" customFormat="1" ht="66.599999999999994" customHeight="1" x14ac:dyDescent="0.25">
      <c r="A452" s="345" t="s">
        <v>119</v>
      </c>
      <c r="B452" s="591">
        <v>903</v>
      </c>
      <c r="C452" s="346" t="s">
        <v>203</v>
      </c>
      <c r="D452" s="346" t="s">
        <v>116</v>
      </c>
      <c r="E452" s="346" t="s">
        <v>898</v>
      </c>
      <c r="F452" s="346" t="s">
        <v>120</v>
      </c>
      <c r="G452" s="300">
        <f>G453</f>
        <v>1204.3</v>
      </c>
      <c r="H452" s="532"/>
      <c r="I452" s="532"/>
      <c r="J452" s="302"/>
    </row>
    <row r="453" spans="1:11" s="129" customFormat="1" ht="21.75" customHeight="1" x14ac:dyDescent="0.25">
      <c r="A453" s="345" t="s">
        <v>155</v>
      </c>
      <c r="B453" s="591">
        <v>903</v>
      </c>
      <c r="C453" s="346" t="s">
        <v>203</v>
      </c>
      <c r="D453" s="346" t="s">
        <v>116</v>
      </c>
      <c r="E453" s="346" t="s">
        <v>898</v>
      </c>
      <c r="F453" s="346" t="s">
        <v>156</v>
      </c>
      <c r="G453" s="300">
        <f>2100.5-895.9-0.3</f>
        <v>1204.3</v>
      </c>
      <c r="H453" s="532"/>
      <c r="I453" s="532"/>
      <c r="J453" s="302"/>
    </row>
    <row r="454" spans="1:11" s="344" customFormat="1" ht="31.15" customHeight="1" x14ac:dyDescent="0.25">
      <c r="A454" s="345" t="s">
        <v>191</v>
      </c>
      <c r="B454" s="591">
        <v>903</v>
      </c>
      <c r="C454" s="346" t="s">
        <v>203</v>
      </c>
      <c r="D454" s="346" t="s">
        <v>116</v>
      </c>
      <c r="E454" s="346" t="s">
        <v>898</v>
      </c>
      <c r="F454" s="346" t="s">
        <v>192</v>
      </c>
      <c r="G454" s="300">
        <f>G455</f>
        <v>896.19999999999993</v>
      </c>
      <c r="H454" s="532"/>
      <c r="I454" s="532"/>
      <c r="J454" s="302"/>
    </row>
    <row r="455" spans="1:11" s="344" customFormat="1" ht="21.75" customHeight="1" x14ac:dyDescent="0.25">
      <c r="A455" s="345" t="s">
        <v>193</v>
      </c>
      <c r="B455" s="591">
        <v>903</v>
      </c>
      <c r="C455" s="346" t="s">
        <v>203</v>
      </c>
      <c r="D455" s="346" t="s">
        <v>116</v>
      </c>
      <c r="E455" s="346" t="s">
        <v>898</v>
      </c>
      <c r="F455" s="346" t="s">
        <v>194</v>
      </c>
      <c r="G455" s="300">
        <f>895.9+0.3</f>
        <v>896.19999999999993</v>
      </c>
      <c r="H455" s="532"/>
      <c r="I455" s="532"/>
      <c r="J455" s="302"/>
    </row>
    <row r="456" spans="1:11" s="129" customFormat="1" ht="69" customHeight="1" x14ac:dyDescent="0.25">
      <c r="A456" s="345" t="s">
        <v>207</v>
      </c>
      <c r="B456" s="591">
        <v>903</v>
      </c>
      <c r="C456" s="346" t="s">
        <v>203</v>
      </c>
      <c r="D456" s="346" t="s">
        <v>116</v>
      </c>
      <c r="E456" s="346" t="s">
        <v>809</v>
      </c>
      <c r="F456" s="346"/>
      <c r="G456" s="300">
        <f>G457</f>
        <v>453.90000000000003</v>
      </c>
      <c r="H456" s="532"/>
      <c r="I456" s="532"/>
      <c r="J456" s="302"/>
    </row>
    <row r="457" spans="1:11" s="129" customFormat="1" ht="72" customHeight="1" x14ac:dyDescent="0.25">
      <c r="A457" s="345" t="s">
        <v>119</v>
      </c>
      <c r="B457" s="591">
        <v>903</v>
      </c>
      <c r="C457" s="346" t="s">
        <v>203</v>
      </c>
      <c r="D457" s="346" t="s">
        <v>116</v>
      </c>
      <c r="E457" s="346" t="s">
        <v>809</v>
      </c>
      <c r="F457" s="346" t="s">
        <v>120</v>
      </c>
      <c r="G457" s="300">
        <f>G458</f>
        <v>453.90000000000003</v>
      </c>
      <c r="H457" s="532"/>
      <c r="I457" s="532"/>
      <c r="J457" s="302"/>
    </row>
    <row r="458" spans="1:11" s="129" customFormat="1" ht="19.5" customHeight="1" x14ac:dyDescent="0.25">
      <c r="A458" s="345" t="s">
        <v>155</v>
      </c>
      <c r="B458" s="591">
        <v>903</v>
      </c>
      <c r="C458" s="346" t="s">
        <v>203</v>
      </c>
      <c r="D458" s="346" t="s">
        <v>116</v>
      </c>
      <c r="E458" s="346" t="s">
        <v>809</v>
      </c>
      <c r="F458" s="346" t="s">
        <v>156</v>
      </c>
      <c r="G458" s="300">
        <f>384.5+53.3+16.1</f>
        <v>453.90000000000003</v>
      </c>
      <c r="H458" s="532"/>
      <c r="I458" s="532"/>
      <c r="J458" s="302"/>
    </row>
    <row r="459" spans="1:11" s="129" customFormat="1" ht="33" customHeight="1" x14ac:dyDescent="0.25">
      <c r="A459" s="298" t="s">
        <v>471</v>
      </c>
      <c r="B459" s="296">
        <v>903</v>
      </c>
      <c r="C459" s="299" t="s">
        <v>203</v>
      </c>
      <c r="D459" s="299" t="s">
        <v>116</v>
      </c>
      <c r="E459" s="299" t="s">
        <v>751</v>
      </c>
      <c r="F459" s="299"/>
      <c r="G459" s="297">
        <f t="shared" ref="G459:G461" si="27">G460</f>
        <v>307.10000000000002</v>
      </c>
      <c r="H459" s="532"/>
      <c r="I459" s="532"/>
      <c r="J459" s="302"/>
    </row>
    <row r="460" spans="1:11" s="129" customFormat="1" ht="32.25" customHeight="1" x14ac:dyDescent="0.25">
      <c r="A460" s="345" t="s">
        <v>397</v>
      </c>
      <c r="B460" s="591">
        <v>903</v>
      </c>
      <c r="C460" s="346" t="s">
        <v>203</v>
      </c>
      <c r="D460" s="346" t="s">
        <v>116</v>
      </c>
      <c r="E460" s="346" t="s">
        <v>752</v>
      </c>
      <c r="F460" s="346"/>
      <c r="G460" s="300">
        <f t="shared" si="27"/>
        <v>307.10000000000002</v>
      </c>
      <c r="H460" s="532"/>
      <c r="I460" s="532"/>
      <c r="J460" s="302"/>
    </row>
    <row r="461" spans="1:11" s="129" customFormat="1" ht="33.75" customHeight="1" x14ac:dyDescent="0.25">
      <c r="A461" s="345" t="s">
        <v>123</v>
      </c>
      <c r="B461" s="591">
        <v>903</v>
      </c>
      <c r="C461" s="346" t="s">
        <v>203</v>
      </c>
      <c r="D461" s="346" t="s">
        <v>116</v>
      </c>
      <c r="E461" s="346" t="s">
        <v>752</v>
      </c>
      <c r="F461" s="346" t="s">
        <v>124</v>
      </c>
      <c r="G461" s="300">
        <f t="shared" si="27"/>
        <v>307.10000000000002</v>
      </c>
      <c r="H461" s="532"/>
      <c r="I461" s="532"/>
      <c r="J461" s="302"/>
    </row>
    <row r="462" spans="1:11" s="129" customFormat="1" ht="31.7" customHeight="1" x14ac:dyDescent="0.25">
      <c r="A462" s="345" t="s">
        <v>125</v>
      </c>
      <c r="B462" s="591">
        <v>903</v>
      </c>
      <c r="C462" s="346" t="s">
        <v>203</v>
      </c>
      <c r="D462" s="346" t="s">
        <v>116</v>
      </c>
      <c r="E462" s="346" t="s">
        <v>752</v>
      </c>
      <c r="F462" s="346" t="s">
        <v>126</v>
      </c>
      <c r="G462" s="300">
        <f>50+246.5+10.6</f>
        <v>307.10000000000002</v>
      </c>
      <c r="H462" s="532"/>
      <c r="I462" s="532"/>
      <c r="J462" s="302"/>
    </row>
    <row r="463" spans="1:11" s="129" customFormat="1" ht="21.2" customHeight="1" x14ac:dyDescent="0.25">
      <c r="A463" s="298" t="s">
        <v>571</v>
      </c>
      <c r="B463" s="296">
        <v>903</v>
      </c>
      <c r="C463" s="299" t="s">
        <v>203</v>
      </c>
      <c r="D463" s="299" t="s">
        <v>116</v>
      </c>
      <c r="E463" s="299" t="s">
        <v>753</v>
      </c>
      <c r="F463" s="299"/>
      <c r="G463" s="297">
        <f>G464+G467</f>
        <v>60.5</v>
      </c>
      <c r="H463" s="532"/>
      <c r="I463" s="532"/>
      <c r="J463" s="302"/>
    </row>
    <row r="464" spans="1:11" ht="31.5" x14ac:dyDescent="0.25">
      <c r="A464" s="345" t="s">
        <v>966</v>
      </c>
      <c r="B464" s="591">
        <v>903</v>
      </c>
      <c r="C464" s="346" t="s">
        <v>203</v>
      </c>
      <c r="D464" s="346" t="s">
        <v>116</v>
      </c>
      <c r="E464" s="346" t="s">
        <v>754</v>
      </c>
      <c r="F464" s="346"/>
      <c r="G464" s="300">
        <f t="shared" ref="G464:G465" si="28">G465</f>
        <v>3.5</v>
      </c>
      <c r="H464" s="532"/>
      <c r="I464" s="532"/>
      <c r="J464" s="302"/>
      <c r="K464" s="129"/>
    </row>
    <row r="465" spans="1:11" ht="31.5" x14ac:dyDescent="0.25">
      <c r="A465" s="345" t="s">
        <v>123</v>
      </c>
      <c r="B465" s="591">
        <v>903</v>
      </c>
      <c r="C465" s="346" t="s">
        <v>203</v>
      </c>
      <c r="D465" s="346" t="s">
        <v>116</v>
      </c>
      <c r="E465" s="346" t="s">
        <v>754</v>
      </c>
      <c r="F465" s="346" t="s">
        <v>124</v>
      </c>
      <c r="G465" s="300">
        <f t="shared" si="28"/>
        <v>3.5</v>
      </c>
      <c r="H465" s="532"/>
      <c r="I465" s="532"/>
      <c r="J465" s="302"/>
      <c r="K465" s="129"/>
    </row>
    <row r="466" spans="1:11" ht="31.5" x14ac:dyDescent="0.25">
      <c r="A466" s="345" t="s">
        <v>125</v>
      </c>
      <c r="B466" s="591">
        <v>903</v>
      </c>
      <c r="C466" s="346" t="s">
        <v>203</v>
      </c>
      <c r="D466" s="346" t="s">
        <v>116</v>
      </c>
      <c r="E466" s="346" t="s">
        <v>754</v>
      </c>
      <c r="F466" s="346" t="s">
        <v>126</v>
      </c>
      <c r="G466" s="300">
        <v>3.5</v>
      </c>
      <c r="H466" s="532"/>
      <c r="I466" s="532"/>
      <c r="J466" s="302"/>
      <c r="K466" s="129"/>
    </row>
    <row r="467" spans="1:11" s="344" customFormat="1" ht="27.75" customHeight="1" x14ac:dyDescent="0.25">
      <c r="A467" s="345" t="s">
        <v>1155</v>
      </c>
      <c r="B467" s="591">
        <v>903</v>
      </c>
      <c r="C467" s="346" t="s">
        <v>203</v>
      </c>
      <c r="D467" s="346" t="s">
        <v>116</v>
      </c>
      <c r="E467" s="346" t="s">
        <v>1156</v>
      </c>
      <c r="F467" s="346"/>
      <c r="G467" s="300">
        <f>G468</f>
        <v>57</v>
      </c>
      <c r="H467" s="532"/>
      <c r="I467" s="532"/>
      <c r="J467" s="302"/>
    </row>
    <row r="468" spans="1:11" s="344" customFormat="1" ht="31.5" x14ac:dyDescent="0.25">
      <c r="A468" s="345" t="s">
        <v>123</v>
      </c>
      <c r="B468" s="591">
        <v>903</v>
      </c>
      <c r="C468" s="346" t="s">
        <v>203</v>
      </c>
      <c r="D468" s="346" t="s">
        <v>116</v>
      </c>
      <c r="E468" s="346" t="s">
        <v>1156</v>
      </c>
      <c r="F468" s="346" t="s">
        <v>124</v>
      </c>
      <c r="G468" s="300">
        <f>G469</f>
        <v>57</v>
      </c>
      <c r="H468" s="532"/>
      <c r="I468" s="532"/>
      <c r="J468" s="302"/>
    </row>
    <row r="469" spans="1:11" s="344" customFormat="1" ht="31.5" x14ac:dyDescent="0.25">
      <c r="A469" s="345" t="s">
        <v>125</v>
      </c>
      <c r="B469" s="591">
        <v>903</v>
      </c>
      <c r="C469" s="346" t="s">
        <v>203</v>
      </c>
      <c r="D469" s="346" t="s">
        <v>116</v>
      </c>
      <c r="E469" s="346" t="s">
        <v>1156</v>
      </c>
      <c r="F469" s="346" t="s">
        <v>126</v>
      </c>
      <c r="G469" s="300">
        <f>56.2+5.6-1.35-3.45</f>
        <v>57</v>
      </c>
      <c r="H469" s="532"/>
      <c r="I469" s="532"/>
      <c r="J469" s="302"/>
    </row>
    <row r="470" spans="1:11" s="129" customFormat="1" ht="31.5" hidden="1" x14ac:dyDescent="0.25">
      <c r="A470" s="24" t="s">
        <v>1049</v>
      </c>
      <c r="B470" s="296">
        <v>903</v>
      </c>
      <c r="C470" s="299" t="s">
        <v>203</v>
      </c>
      <c r="D470" s="299" t="s">
        <v>116</v>
      </c>
      <c r="E470" s="299" t="s">
        <v>1051</v>
      </c>
      <c r="F470" s="299"/>
      <c r="G470" s="297">
        <f t="shared" ref="G470:G472" si="29">G471</f>
        <v>0</v>
      </c>
      <c r="H470" s="532"/>
      <c r="I470" s="532"/>
      <c r="J470" s="302"/>
    </row>
    <row r="471" spans="1:11" s="129" customFormat="1" ht="47.25" hidden="1" x14ac:dyDescent="0.25">
      <c r="A471" s="22" t="s">
        <v>1050</v>
      </c>
      <c r="B471" s="591">
        <v>903</v>
      </c>
      <c r="C471" s="346" t="s">
        <v>203</v>
      </c>
      <c r="D471" s="346" t="s">
        <v>116</v>
      </c>
      <c r="E471" s="346" t="s">
        <v>1052</v>
      </c>
      <c r="F471" s="346"/>
      <c r="G471" s="300">
        <f t="shared" si="29"/>
        <v>0</v>
      </c>
      <c r="H471" s="532"/>
      <c r="I471" s="532"/>
      <c r="J471" s="302"/>
    </row>
    <row r="472" spans="1:11" s="129" customFormat="1" ht="31.5" hidden="1" x14ac:dyDescent="0.25">
      <c r="A472" s="345" t="s">
        <v>123</v>
      </c>
      <c r="B472" s="591">
        <v>903</v>
      </c>
      <c r="C472" s="346" t="s">
        <v>203</v>
      </c>
      <c r="D472" s="346" t="s">
        <v>116</v>
      </c>
      <c r="E472" s="346" t="s">
        <v>1052</v>
      </c>
      <c r="F472" s="346" t="s">
        <v>124</v>
      </c>
      <c r="G472" s="300">
        <f t="shared" si="29"/>
        <v>0</v>
      </c>
      <c r="H472" s="532"/>
      <c r="I472" s="532"/>
      <c r="J472" s="302"/>
    </row>
    <row r="473" spans="1:11" s="129" customFormat="1" ht="31.5" hidden="1" x14ac:dyDescent="0.25">
      <c r="A473" s="345" t="s">
        <v>125</v>
      </c>
      <c r="B473" s="591">
        <v>903</v>
      </c>
      <c r="C473" s="346" t="s">
        <v>203</v>
      </c>
      <c r="D473" s="346" t="s">
        <v>116</v>
      </c>
      <c r="E473" s="346" t="s">
        <v>1052</v>
      </c>
      <c r="F473" s="346" t="s">
        <v>126</v>
      </c>
      <c r="G473" s="300">
        <f>1500-1500</f>
        <v>0</v>
      </c>
      <c r="H473" s="532"/>
      <c r="I473" s="532"/>
      <c r="J473" s="302"/>
    </row>
    <row r="474" spans="1:11" s="344" customFormat="1" ht="31.15" customHeight="1" x14ac:dyDescent="0.25">
      <c r="A474" s="298" t="s">
        <v>1336</v>
      </c>
      <c r="B474" s="296">
        <v>903</v>
      </c>
      <c r="C474" s="299" t="s">
        <v>203</v>
      </c>
      <c r="D474" s="299" t="s">
        <v>116</v>
      </c>
      <c r="E474" s="299" t="s">
        <v>1333</v>
      </c>
      <c r="F474" s="299"/>
      <c r="G474" s="297">
        <f>G475</f>
        <v>2538.3000000000002</v>
      </c>
      <c r="H474" s="532"/>
      <c r="I474" s="532"/>
      <c r="J474" s="302"/>
    </row>
    <row r="475" spans="1:11" s="344" customFormat="1" ht="31.5" x14ac:dyDescent="0.25">
      <c r="A475" s="345" t="s">
        <v>1334</v>
      </c>
      <c r="B475" s="591">
        <v>903</v>
      </c>
      <c r="C475" s="346" t="s">
        <v>203</v>
      </c>
      <c r="D475" s="346" t="s">
        <v>116</v>
      </c>
      <c r="E475" s="346" t="s">
        <v>1335</v>
      </c>
      <c r="F475" s="346"/>
      <c r="G475" s="300">
        <f>G476</f>
        <v>2538.3000000000002</v>
      </c>
      <c r="H475" s="532"/>
      <c r="I475" s="532"/>
      <c r="J475" s="302"/>
    </row>
    <row r="476" spans="1:11" s="344" customFormat="1" ht="31.5" x14ac:dyDescent="0.25">
      <c r="A476" s="345" t="s">
        <v>191</v>
      </c>
      <c r="B476" s="591">
        <v>903</v>
      </c>
      <c r="C476" s="346" t="s">
        <v>203</v>
      </c>
      <c r="D476" s="346" t="s">
        <v>116</v>
      </c>
      <c r="E476" s="346" t="s">
        <v>1335</v>
      </c>
      <c r="F476" s="346" t="s">
        <v>192</v>
      </c>
      <c r="G476" s="300">
        <f>G477</f>
        <v>2538.3000000000002</v>
      </c>
      <c r="H476" s="532"/>
      <c r="I476" s="532"/>
      <c r="J476" s="302"/>
    </row>
    <row r="477" spans="1:11" s="344" customFormat="1" ht="15.75" x14ac:dyDescent="0.25">
      <c r="A477" s="345" t="s">
        <v>193</v>
      </c>
      <c r="B477" s="591">
        <v>903</v>
      </c>
      <c r="C477" s="346" t="s">
        <v>203</v>
      </c>
      <c r="D477" s="346" t="s">
        <v>116</v>
      </c>
      <c r="E477" s="346" t="s">
        <v>1335</v>
      </c>
      <c r="F477" s="346" t="s">
        <v>194</v>
      </c>
      <c r="G477" s="300">
        <f>2538.3</f>
        <v>2538.3000000000002</v>
      </c>
      <c r="H477" s="532"/>
      <c r="I477" s="532"/>
      <c r="J477" s="302"/>
    </row>
    <row r="478" spans="1:11" s="129" customFormat="1" ht="31.5" x14ac:dyDescent="0.25">
      <c r="A478" s="339" t="s">
        <v>723</v>
      </c>
      <c r="B478" s="296">
        <v>903</v>
      </c>
      <c r="C478" s="299" t="s">
        <v>203</v>
      </c>
      <c r="D478" s="299" t="s">
        <v>116</v>
      </c>
      <c r="E478" s="299" t="s">
        <v>749</v>
      </c>
      <c r="F478" s="299"/>
      <c r="G478" s="297">
        <f>G482</f>
        <v>10178.300020000001</v>
      </c>
      <c r="H478" s="532"/>
      <c r="I478" s="532"/>
      <c r="J478" s="302"/>
    </row>
    <row r="479" spans="1:11" s="344" customFormat="1" ht="31.5" hidden="1" x14ac:dyDescent="0.25">
      <c r="A479" s="327" t="s">
        <v>1113</v>
      </c>
      <c r="B479" s="591">
        <v>903</v>
      </c>
      <c r="C479" s="346" t="s">
        <v>203</v>
      </c>
      <c r="D479" s="346" t="s">
        <v>116</v>
      </c>
      <c r="E479" s="346" t="s">
        <v>1112</v>
      </c>
      <c r="F479" s="346"/>
      <c r="G479" s="300">
        <f>G480</f>
        <v>0</v>
      </c>
      <c r="H479" s="532"/>
      <c r="I479" s="532"/>
      <c r="J479" s="302"/>
    </row>
    <row r="480" spans="1:11" s="344" customFormat="1" ht="31.5" hidden="1" x14ac:dyDescent="0.25">
      <c r="A480" s="345" t="s">
        <v>123</v>
      </c>
      <c r="B480" s="591">
        <v>903</v>
      </c>
      <c r="C480" s="346" t="s">
        <v>203</v>
      </c>
      <c r="D480" s="346" t="s">
        <v>116</v>
      </c>
      <c r="E480" s="346" t="s">
        <v>1112</v>
      </c>
      <c r="F480" s="346" t="s">
        <v>124</v>
      </c>
      <c r="G480" s="300">
        <f>G481</f>
        <v>0</v>
      </c>
      <c r="H480" s="532"/>
      <c r="I480" s="532"/>
      <c r="J480" s="302"/>
    </row>
    <row r="481" spans="1:11" s="344" customFormat="1" ht="31.5" hidden="1" x14ac:dyDescent="0.25">
      <c r="A481" s="345" t="s">
        <v>125</v>
      </c>
      <c r="B481" s="591">
        <v>903</v>
      </c>
      <c r="C481" s="346" t="s">
        <v>203</v>
      </c>
      <c r="D481" s="346" t="s">
        <v>116</v>
      </c>
      <c r="E481" s="346" t="s">
        <v>1112</v>
      </c>
      <c r="F481" s="346" t="s">
        <v>126</v>
      </c>
      <c r="G481" s="297"/>
      <c r="H481" s="532"/>
      <c r="I481" s="532"/>
      <c r="J481" s="302"/>
    </row>
    <row r="482" spans="1:11" s="338" customFormat="1" ht="15.75" x14ac:dyDescent="0.25">
      <c r="A482" s="519" t="s">
        <v>1152</v>
      </c>
      <c r="B482" s="591">
        <v>903</v>
      </c>
      <c r="C482" s="346" t="s">
        <v>203</v>
      </c>
      <c r="D482" s="346" t="s">
        <v>116</v>
      </c>
      <c r="E482" s="346" t="s">
        <v>1153</v>
      </c>
      <c r="F482" s="299"/>
      <c r="G482" s="300">
        <f>G483</f>
        <v>10178.300020000001</v>
      </c>
      <c r="H482" s="532"/>
      <c r="I482" s="532"/>
      <c r="J482" s="302"/>
    </row>
    <row r="483" spans="1:11" s="338" customFormat="1" ht="31.5" x14ac:dyDescent="0.25">
      <c r="A483" s="345" t="s">
        <v>191</v>
      </c>
      <c r="B483" s="591">
        <v>903</v>
      </c>
      <c r="C483" s="346" t="s">
        <v>203</v>
      </c>
      <c r="D483" s="346" t="s">
        <v>116</v>
      </c>
      <c r="E483" s="346" t="s">
        <v>1153</v>
      </c>
      <c r="F483" s="346" t="s">
        <v>192</v>
      </c>
      <c r="G483" s="300">
        <f>G484</f>
        <v>10178.300020000001</v>
      </c>
      <c r="H483" s="532"/>
      <c r="I483" s="532"/>
      <c r="J483" s="302"/>
    </row>
    <row r="484" spans="1:11" s="338" customFormat="1" ht="15.75" x14ac:dyDescent="0.25">
      <c r="A484" s="345" t="s">
        <v>193</v>
      </c>
      <c r="B484" s="591">
        <v>903</v>
      </c>
      <c r="C484" s="346" t="s">
        <v>203</v>
      </c>
      <c r="D484" s="346" t="s">
        <v>116</v>
      </c>
      <c r="E484" s="346" t="s">
        <v>1153</v>
      </c>
      <c r="F484" s="346" t="s">
        <v>194</v>
      </c>
      <c r="G484" s="300">
        <f>10094.7+431.6-348+0.00001+0.00001</f>
        <v>10178.300020000001</v>
      </c>
      <c r="H484" s="532"/>
      <c r="I484" s="532"/>
      <c r="J484" s="302"/>
    </row>
    <row r="485" spans="1:11" s="344" customFormat="1" ht="31.5" x14ac:dyDescent="0.25">
      <c r="A485" s="298" t="s">
        <v>1307</v>
      </c>
      <c r="B485" s="296">
        <v>903</v>
      </c>
      <c r="C485" s="299" t="s">
        <v>203</v>
      </c>
      <c r="D485" s="299" t="s">
        <v>116</v>
      </c>
      <c r="E485" s="299" t="s">
        <v>1214</v>
      </c>
      <c r="F485" s="299"/>
      <c r="G485" s="297">
        <f>G486</f>
        <v>113.4</v>
      </c>
      <c r="H485" s="532"/>
      <c r="I485" s="532"/>
      <c r="J485" s="302"/>
    </row>
    <row r="486" spans="1:11" s="129" customFormat="1" ht="15.75" x14ac:dyDescent="0.25">
      <c r="A486" s="67" t="s">
        <v>725</v>
      </c>
      <c r="B486" s="591">
        <v>903</v>
      </c>
      <c r="C486" s="346" t="s">
        <v>203</v>
      </c>
      <c r="D486" s="346" t="s">
        <v>116</v>
      </c>
      <c r="E486" s="346" t="s">
        <v>1215</v>
      </c>
      <c r="F486" s="346"/>
      <c r="G486" s="300">
        <f>G487+G489</f>
        <v>113.4</v>
      </c>
      <c r="H486" s="532"/>
      <c r="I486" s="532"/>
      <c r="J486" s="302"/>
    </row>
    <row r="487" spans="1:11" s="129" customFormat="1" ht="31.5" hidden="1" x14ac:dyDescent="0.25">
      <c r="A487" s="345" t="s">
        <v>123</v>
      </c>
      <c r="B487" s="591">
        <v>903</v>
      </c>
      <c r="C487" s="346" t="s">
        <v>203</v>
      </c>
      <c r="D487" s="346" t="s">
        <v>116</v>
      </c>
      <c r="E487" s="346" t="s">
        <v>1215</v>
      </c>
      <c r="F487" s="346" t="s">
        <v>124</v>
      </c>
      <c r="G487" s="300">
        <f t="shared" ref="G487" si="30">G488</f>
        <v>0</v>
      </c>
      <c r="H487" s="532"/>
      <c r="I487" s="532"/>
      <c r="J487" s="302"/>
    </row>
    <row r="488" spans="1:11" s="129" customFormat="1" ht="31.5" hidden="1" x14ac:dyDescent="0.25">
      <c r="A488" s="345" t="s">
        <v>125</v>
      </c>
      <c r="B488" s="591">
        <v>903</v>
      </c>
      <c r="C488" s="346" t="s">
        <v>203</v>
      </c>
      <c r="D488" s="346" t="s">
        <v>116</v>
      </c>
      <c r="E488" s="346" t="s">
        <v>1215</v>
      </c>
      <c r="F488" s="346" t="s">
        <v>126</v>
      </c>
      <c r="G488" s="300">
        <f>112.4+11.3-2.8-120.9</f>
        <v>0</v>
      </c>
      <c r="H488" s="530"/>
      <c r="I488" s="530"/>
      <c r="J488" s="302"/>
    </row>
    <row r="489" spans="1:11" s="344" customFormat="1" ht="31.5" x14ac:dyDescent="0.25">
      <c r="A489" s="345" t="s">
        <v>191</v>
      </c>
      <c r="B489" s="591">
        <v>903</v>
      </c>
      <c r="C489" s="346" t="s">
        <v>203</v>
      </c>
      <c r="D489" s="346" t="s">
        <v>116</v>
      </c>
      <c r="E489" s="346" t="s">
        <v>1215</v>
      </c>
      <c r="F489" s="346" t="s">
        <v>192</v>
      </c>
      <c r="G489" s="300">
        <f>G490</f>
        <v>113.4</v>
      </c>
      <c r="H489" s="537"/>
      <c r="I489" s="537"/>
      <c r="J489" s="302"/>
    </row>
    <row r="490" spans="1:11" s="344" customFormat="1" ht="15.75" x14ac:dyDescent="0.25">
      <c r="A490" s="345" t="s">
        <v>193</v>
      </c>
      <c r="B490" s="591">
        <v>903</v>
      </c>
      <c r="C490" s="346" t="s">
        <v>203</v>
      </c>
      <c r="D490" s="346" t="s">
        <v>116</v>
      </c>
      <c r="E490" s="346" t="s">
        <v>1215</v>
      </c>
      <c r="F490" s="346" t="s">
        <v>194</v>
      </c>
      <c r="G490" s="300">
        <f>112.4+11.3-2.8-7.5</f>
        <v>113.4</v>
      </c>
      <c r="H490" s="537"/>
      <c r="I490" s="537"/>
      <c r="J490" s="302"/>
    </row>
    <row r="491" spans="1:11" ht="47.25" x14ac:dyDescent="0.25">
      <c r="A491" s="24" t="s">
        <v>924</v>
      </c>
      <c r="B491" s="296">
        <v>903</v>
      </c>
      <c r="C491" s="299" t="s">
        <v>203</v>
      </c>
      <c r="D491" s="299" t="s">
        <v>116</v>
      </c>
      <c r="E491" s="299" t="s">
        <v>206</v>
      </c>
      <c r="F491" s="299"/>
      <c r="G491" s="297">
        <f>G492</f>
        <v>42</v>
      </c>
      <c r="H491" s="532"/>
      <c r="I491" s="532"/>
      <c r="J491" s="302"/>
      <c r="K491" s="129"/>
    </row>
    <row r="492" spans="1:11" s="129" customFormat="1" ht="47.25" x14ac:dyDescent="0.25">
      <c r="A492" s="24" t="s">
        <v>586</v>
      </c>
      <c r="B492" s="296">
        <v>903</v>
      </c>
      <c r="C492" s="299" t="s">
        <v>203</v>
      </c>
      <c r="D492" s="299" t="s">
        <v>116</v>
      </c>
      <c r="E492" s="299" t="s">
        <v>502</v>
      </c>
      <c r="F492" s="299"/>
      <c r="G492" s="297">
        <f>G495+G496</f>
        <v>42</v>
      </c>
      <c r="H492" s="532"/>
      <c r="I492" s="532"/>
      <c r="J492" s="302"/>
    </row>
    <row r="493" spans="1:11" ht="47.25" x14ac:dyDescent="0.25">
      <c r="A493" s="22" t="s">
        <v>632</v>
      </c>
      <c r="B493" s="591">
        <v>903</v>
      </c>
      <c r="C493" s="346" t="s">
        <v>203</v>
      </c>
      <c r="D493" s="346" t="s">
        <v>116</v>
      </c>
      <c r="E493" s="346" t="s">
        <v>587</v>
      </c>
      <c r="F493" s="346"/>
      <c r="G493" s="300">
        <f>G494</f>
        <v>4</v>
      </c>
      <c r="H493" s="532"/>
      <c r="I493" s="532"/>
      <c r="J493" s="302"/>
      <c r="K493" s="129"/>
    </row>
    <row r="494" spans="1:11" ht="31.5" x14ac:dyDescent="0.25">
      <c r="A494" s="345" t="s">
        <v>123</v>
      </c>
      <c r="B494" s="591">
        <v>903</v>
      </c>
      <c r="C494" s="346" t="s">
        <v>203</v>
      </c>
      <c r="D494" s="346" t="s">
        <v>116</v>
      </c>
      <c r="E494" s="346" t="s">
        <v>587</v>
      </c>
      <c r="F494" s="346" t="s">
        <v>124</v>
      </c>
      <c r="G494" s="300">
        <f>G495</f>
        <v>4</v>
      </c>
      <c r="H494" s="532"/>
      <c r="I494" s="532"/>
      <c r="J494" s="302"/>
      <c r="K494" s="129"/>
    </row>
    <row r="495" spans="1:11" ht="31.5" x14ac:dyDescent="0.25">
      <c r="A495" s="345" t="s">
        <v>125</v>
      </c>
      <c r="B495" s="591">
        <v>903</v>
      </c>
      <c r="C495" s="346" t="s">
        <v>203</v>
      </c>
      <c r="D495" s="346" t="s">
        <v>116</v>
      </c>
      <c r="E495" s="346" t="s">
        <v>587</v>
      </c>
      <c r="F495" s="346" t="s">
        <v>126</v>
      </c>
      <c r="G495" s="300">
        <f>10-6</f>
        <v>4</v>
      </c>
      <c r="H495" s="532"/>
      <c r="I495" s="532"/>
      <c r="J495" s="302"/>
      <c r="K495" s="129"/>
    </row>
    <row r="496" spans="1:11" s="344" customFormat="1" ht="47.25" x14ac:dyDescent="0.25">
      <c r="A496" s="345" t="s">
        <v>569</v>
      </c>
      <c r="B496" s="591">
        <v>903</v>
      </c>
      <c r="C496" s="346" t="s">
        <v>203</v>
      </c>
      <c r="D496" s="346" t="s">
        <v>116</v>
      </c>
      <c r="E496" s="346" t="s">
        <v>503</v>
      </c>
      <c r="F496" s="346"/>
      <c r="G496" s="300">
        <f>G497</f>
        <v>38</v>
      </c>
      <c r="H496" s="532"/>
      <c r="I496" s="532"/>
      <c r="J496" s="302"/>
    </row>
    <row r="497" spans="1:11" s="344" customFormat="1" ht="31.5" x14ac:dyDescent="0.25">
      <c r="A497" s="345" t="s">
        <v>191</v>
      </c>
      <c r="B497" s="591">
        <v>903</v>
      </c>
      <c r="C497" s="346" t="s">
        <v>203</v>
      </c>
      <c r="D497" s="346" t="s">
        <v>116</v>
      </c>
      <c r="E497" s="346" t="s">
        <v>503</v>
      </c>
      <c r="F497" s="346" t="s">
        <v>192</v>
      </c>
      <c r="G497" s="300">
        <f>G498</f>
        <v>38</v>
      </c>
      <c r="H497" s="532"/>
      <c r="I497" s="532"/>
      <c r="J497" s="302"/>
    </row>
    <row r="498" spans="1:11" s="344" customFormat="1" ht="15.75" x14ac:dyDescent="0.25">
      <c r="A498" s="345" t="s">
        <v>193</v>
      </c>
      <c r="B498" s="591">
        <v>903</v>
      </c>
      <c r="C498" s="346" t="s">
        <v>203</v>
      </c>
      <c r="D498" s="346" t="s">
        <v>116</v>
      </c>
      <c r="E498" s="346" t="s">
        <v>503</v>
      </c>
      <c r="F498" s="346" t="s">
        <v>194</v>
      </c>
      <c r="G498" s="300">
        <f>6+32</f>
        <v>38</v>
      </c>
      <c r="H498" s="532"/>
      <c r="I498" s="532"/>
      <c r="J498" s="302"/>
    </row>
    <row r="499" spans="1:11" ht="47.25" x14ac:dyDescent="0.25">
      <c r="A499" s="340" t="s">
        <v>845</v>
      </c>
      <c r="B499" s="296">
        <v>903</v>
      </c>
      <c r="C499" s="299" t="s">
        <v>203</v>
      </c>
      <c r="D499" s="299" t="s">
        <v>116</v>
      </c>
      <c r="E499" s="299" t="s">
        <v>339</v>
      </c>
      <c r="F499" s="304"/>
      <c r="G499" s="297">
        <f t="shared" ref="G499:G502" si="31">G500</f>
        <v>1271.4000000000001</v>
      </c>
      <c r="H499" s="532"/>
      <c r="I499" s="532"/>
      <c r="J499" s="302"/>
      <c r="K499" s="129"/>
    </row>
    <row r="500" spans="1:11" s="129" customFormat="1" ht="47.25" x14ac:dyDescent="0.25">
      <c r="A500" s="340" t="s">
        <v>461</v>
      </c>
      <c r="B500" s="296">
        <v>903</v>
      </c>
      <c r="C500" s="299" t="s">
        <v>203</v>
      </c>
      <c r="D500" s="299" t="s">
        <v>116</v>
      </c>
      <c r="E500" s="299" t="s">
        <v>459</v>
      </c>
      <c r="F500" s="304"/>
      <c r="G500" s="297">
        <f>G501+G504</f>
        <v>1271.4000000000001</v>
      </c>
      <c r="H500" s="532"/>
      <c r="I500" s="532"/>
      <c r="J500" s="302"/>
    </row>
    <row r="501" spans="1:11" ht="31.5" x14ac:dyDescent="0.25">
      <c r="A501" s="67" t="s">
        <v>583</v>
      </c>
      <c r="B501" s="591">
        <v>903</v>
      </c>
      <c r="C501" s="346" t="s">
        <v>203</v>
      </c>
      <c r="D501" s="346" t="s">
        <v>116</v>
      </c>
      <c r="E501" s="346" t="s">
        <v>460</v>
      </c>
      <c r="F501" s="301"/>
      <c r="G501" s="300">
        <f t="shared" si="31"/>
        <v>869.50000000000011</v>
      </c>
      <c r="H501" s="532"/>
      <c r="I501" s="532"/>
      <c r="J501" s="302"/>
      <c r="K501" s="129"/>
    </row>
    <row r="502" spans="1:11" ht="31.5" x14ac:dyDescent="0.25">
      <c r="A502" s="345" t="s">
        <v>123</v>
      </c>
      <c r="B502" s="591">
        <v>903</v>
      </c>
      <c r="C502" s="346" t="s">
        <v>203</v>
      </c>
      <c r="D502" s="346" t="s">
        <v>116</v>
      </c>
      <c r="E502" s="346" t="s">
        <v>460</v>
      </c>
      <c r="F502" s="301" t="s">
        <v>124</v>
      </c>
      <c r="G502" s="300">
        <f t="shared" si="31"/>
        <v>869.50000000000011</v>
      </c>
      <c r="H502" s="532"/>
      <c r="I502" s="532"/>
      <c r="J502" s="302"/>
      <c r="K502" s="129"/>
    </row>
    <row r="503" spans="1:11" ht="31.5" x14ac:dyDescent="0.25">
      <c r="A503" s="345" t="s">
        <v>125</v>
      </c>
      <c r="B503" s="591">
        <v>903</v>
      </c>
      <c r="C503" s="346" t="s">
        <v>203</v>
      </c>
      <c r="D503" s="346" t="s">
        <v>116</v>
      </c>
      <c r="E503" s="346" t="s">
        <v>460</v>
      </c>
      <c r="F503" s="301" t="s">
        <v>126</v>
      </c>
      <c r="G503" s="300">
        <f>878.7-371.9+293+69.7</f>
        <v>869.50000000000011</v>
      </c>
      <c r="H503" s="532"/>
      <c r="I503" s="532"/>
      <c r="J503" s="302"/>
      <c r="K503" s="129"/>
    </row>
    <row r="504" spans="1:11" s="344" customFormat="1" ht="30.75" customHeight="1" x14ac:dyDescent="0.25">
      <c r="A504" s="345" t="s">
        <v>357</v>
      </c>
      <c r="B504" s="591">
        <v>903</v>
      </c>
      <c r="C504" s="346" t="s">
        <v>203</v>
      </c>
      <c r="D504" s="346" t="s">
        <v>116</v>
      </c>
      <c r="E504" s="346" t="s">
        <v>504</v>
      </c>
      <c r="F504" s="301"/>
      <c r="G504" s="300">
        <f>G505</f>
        <v>401.9</v>
      </c>
      <c r="H504" s="532"/>
      <c r="I504" s="532"/>
      <c r="J504" s="302"/>
    </row>
    <row r="505" spans="1:11" s="344" customFormat="1" ht="31.5" x14ac:dyDescent="0.25">
      <c r="A505" s="345" t="s">
        <v>191</v>
      </c>
      <c r="B505" s="591">
        <v>903</v>
      </c>
      <c r="C505" s="346" t="s">
        <v>203</v>
      </c>
      <c r="D505" s="346" t="s">
        <v>116</v>
      </c>
      <c r="E505" s="346" t="s">
        <v>504</v>
      </c>
      <c r="F505" s="301" t="s">
        <v>192</v>
      </c>
      <c r="G505" s="300">
        <f>G506</f>
        <v>401.9</v>
      </c>
      <c r="H505" s="532"/>
      <c r="I505" s="532"/>
      <c r="J505" s="302"/>
    </row>
    <row r="506" spans="1:11" s="344" customFormat="1" ht="15.75" x14ac:dyDescent="0.25">
      <c r="A506" s="345" t="s">
        <v>193</v>
      </c>
      <c r="B506" s="591">
        <v>903</v>
      </c>
      <c r="C506" s="346" t="s">
        <v>203</v>
      </c>
      <c r="D506" s="346" t="s">
        <v>116</v>
      </c>
      <c r="E506" s="346" t="s">
        <v>504</v>
      </c>
      <c r="F506" s="301" t="s">
        <v>194</v>
      </c>
      <c r="G506" s="300">
        <f>371.9+16.3+13.7</f>
        <v>401.9</v>
      </c>
      <c r="H506" s="532"/>
      <c r="I506" s="532"/>
      <c r="J506" s="302"/>
    </row>
    <row r="507" spans="1:11" ht="15.75" x14ac:dyDescent="0.25">
      <c r="A507" s="298" t="s">
        <v>208</v>
      </c>
      <c r="B507" s="296">
        <v>903</v>
      </c>
      <c r="C507" s="299" t="s">
        <v>203</v>
      </c>
      <c r="D507" s="299" t="s">
        <v>139</v>
      </c>
      <c r="E507" s="299"/>
      <c r="F507" s="299"/>
      <c r="G507" s="297">
        <f>G508+G525+G541+G547</f>
        <v>24473.553439999996</v>
      </c>
      <c r="H507" s="532"/>
      <c r="I507" s="532"/>
      <c r="J507" s="302"/>
      <c r="K507" s="129"/>
    </row>
    <row r="508" spans="1:11" s="129" customFormat="1" ht="31.5" x14ac:dyDescent="0.25">
      <c r="A508" s="298" t="s">
        <v>486</v>
      </c>
      <c r="B508" s="296">
        <v>903</v>
      </c>
      <c r="C508" s="299" t="s">
        <v>203</v>
      </c>
      <c r="D508" s="299" t="s">
        <v>139</v>
      </c>
      <c r="E508" s="299" t="s">
        <v>432</v>
      </c>
      <c r="F508" s="299"/>
      <c r="G508" s="297">
        <f>G509</f>
        <v>12263.384459999997</v>
      </c>
      <c r="H508" s="532"/>
      <c r="I508" s="532"/>
      <c r="J508" s="302"/>
    </row>
    <row r="509" spans="1:11" s="129" customFormat="1" ht="15.75" x14ac:dyDescent="0.25">
      <c r="A509" s="298" t="s">
        <v>487</v>
      </c>
      <c r="B509" s="296">
        <v>903</v>
      </c>
      <c r="C509" s="299" t="s">
        <v>203</v>
      </c>
      <c r="D509" s="299" t="s">
        <v>139</v>
      </c>
      <c r="E509" s="299" t="s">
        <v>433</v>
      </c>
      <c r="F509" s="299"/>
      <c r="G509" s="297">
        <f>G510+G522+G517</f>
        <v>12263.384459999997</v>
      </c>
      <c r="H509" s="532"/>
      <c r="I509" s="532"/>
      <c r="J509" s="302"/>
    </row>
    <row r="510" spans="1:11" s="129" customFormat="1" ht="31.5" x14ac:dyDescent="0.25">
      <c r="A510" s="345" t="s">
        <v>466</v>
      </c>
      <c r="B510" s="591">
        <v>903</v>
      </c>
      <c r="C510" s="346" t="s">
        <v>203</v>
      </c>
      <c r="D510" s="346" t="s">
        <v>139</v>
      </c>
      <c r="E510" s="346" t="s">
        <v>434</v>
      </c>
      <c r="F510" s="346"/>
      <c r="G510" s="300">
        <f>G511+G513+G515</f>
        <v>11890.978589999999</v>
      </c>
      <c r="H510" s="532"/>
      <c r="I510" s="532"/>
      <c r="J510" s="302"/>
    </row>
    <row r="511" spans="1:11" s="129" customFormat="1" ht="63" x14ac:dyDescent="0.25">
      <c r="A511" s="345" t="s">
        <v>119</v>
      </c>
      <c r="B511" s="591">
        <v>903</v>
      </c>
      <c r="C511" s="346" t="s">
        <v>203</v>
      </c>
      <c r="D511" s="346" t="s">
        <v>139</v>
      </c>
      <c r="E511" s="346" t="s">
        <v>434</v>
      </c>
      <c r="F511" s="346" t="s">
        <v>120</v>
      </c>
      <c r="G511" s="300">
        <f>G512</f>
        <v>10795.8</v>
      </c>
      <c r="H511" s="532"/>
      <c r="I511" s="532"/>
      <c r="J511" s="302"/>
    </row>
    <row r="512" spans="1:11" s="129" customFormat="1" ht="31.5" x14ac:dyDescent="0.25">
      <c r="A512" s="345" t="s">
        <v>121</v>
      </c>
      <c r="B512" s="591">
        <v>903</v>
      </c>
      <c r="C512" s="346" t="s">
        <v>203</v>
      </c>
      <c r="D512" s="346" t="s">
        <v>139</v>
      </c>
      <c r="E512" s="346" t="s">
        <v>434</v>
      </c>
      <c r="F512" s="346" t="s">
        <v>122</v>
      </c>
      <c r="G512" s="18">
        <f>7119.6+59.5+479.1+185.7+120.7+3683.5-853.6-59.5+60.8</f>
        <v>10795.8</v>
      </c>
      <c r="H512" s="532"/>
      <c r="I512" s="532"/>
      <c r="J512" s="310"/>
    </row>
    <row r="513" spans="1:10" s="129" customFormat="1" ht="31.5" x14ac:dyDescent="0.25">
      <c r="A513" s="345" t="s">
        <v>123</v>
      </c>
      <c r="B513" s="591">
        <v>903</v>
      </c>
      <c r="C513" s="346" t="s">
        <v>203</v>
      </c>
      <c r="D513" s="346" t="s">
        <v>139</v>
      </c>
      <c r="E513" s="346" t="s">
        <v>434</v>
      </c>
      <c r="F513" s="346" t="s">
        <v>124</v>
      </c>
      <c r="G513" s="300">
        <f>G514</f>
        <v>1068.5</v>
      </c>
      <c r="H513" s="532"/>
      <c r="I513" s="532"/>
      <c r="J513" s="302"/>
    </row>
    <row r="514" spans="1:10" s="129" customFormat="1" ht="31.5" x14ac:dyDescent="0.25">
      <c r="A514" s="345" t="s">
        <v>125</v>
      </c>
      <c r="B514" s="591">
        <v>903</v>
      </c>
      <c r="C514" s="346" t="s">
        <v>203</v>
      </c>
      <c r="D514" s="346" t="s">
        <v>139</v>
      </c>
      <c r="E514" s="346" t="s">
        <v>434</v>
      </c>
      <c r="F514" s="346" t="s">
        <v>126</v>
      </c>
      <c r="G514" s="300">
        <f>135+26.8+878.3+20.4+6.2+1.8</f>
        <v>1068.5</v>
      </c>
      <c r="H514" s="532"/>
      <c r="I514" s="532"/>
      <c r="J514" s="302"/>
    </row>
    <row r="515" spans="1:10" s="344" customFormat="1" ht="15.75" x14ac:dyDescent="0.25">
      <c r="A515" s="345" t="s">
        <v>127</v>
      </c>
      <c r="B515" s="591">
        <v>903</v>
      </c>
      <c r="C515" s="346" t="s">
        <v>203</v>
      </c>
      <c r="D515" s="346" t="s">
        <v>139</v>
      </c>
      <c r="E515" s="346" t="s">
        <v>434</v>
      </c>
      <c r="F515" s="346" t="s">
        <v>134</v>
      </c>
      <c r="G515" s="300">
        <f>G516</f>
        <v>26.678589999999996</v>
      </c>
      <c r="H515" s="532"/>
      <c r="I515" s="532"/>
      <c r="J515" s="302"/>
    </row>
    <row r="516" spans="1:10" s="344" customFormat="1" ht="15.75" x14ac:dyDescent="0.25">
      <c r="A516" s="345" t="s">
        <v>280</v>
      </c>
      <c r="B516" s="591">
        <v>903</v>
      </c>
      <c r="C516" s="346" t="s">
        <v>203</v>
      </c>
      <c r="D516" s="346" t="s">
        <v>139</v>
      </c>
      <c r="E516" s="346" t="s">
        <v>434</v>
      </c>
      <c r="F516" s="346" t="s">
        <v>130</v>
      </c>
      <c r="G516" s="300">
        <f>12+3.4+2+3.6+1.2-0.42141+8-3.1</f>
        <v>26.678589999999996</v>
      </c>
      <c r="H516" s="532"/>
      <c r="I516" s="532"/>
      <c r="J516" s="302"/>
    </row>
    <row r="517" spans="1:10" s="129" customFormat="1" ht="31.5" x14ac:dyDescent="0.25">
      <c r="A517" s="345" t="s">
        <v>415</v>
      </c>
      <c r="B517" s="591">
        <v>903</v>
      </c>
      <c r="C517" s="346" t="s">
        <v>203</v>
      </c>
      <c r="D517" s="346" t="s">
        <v>139</v>
      </c>
      <c r="E517" s="346" t="s">
        <v>435</v>
      </c>
      <c r="F517" s="346"/>
      <c r="G517" s="300">
        <f>G518+G520</f>
        <v>249.10586999999998</v>
      </c>
      <c r="H517" s="532"/>
      <c r="I517" s="532"/>
      <c r="J517" s="302"/>
    </row>
    <row r="518" spans="1:10" s="129" customFormat="1" ht="63" hidden="1" x14ac:dyDescent="0.25">
      <c r="A518" s="345" t="s">
        <v>119</v>
      </c>
      <c r="B518" s="591">
        <v>903</v>
      </c>
      <c r="C518" s="346" t="s">
        <v>203</v>
      </c>
      <c r="D518" s="346" t="s">
        <v>139</v>
      </c>
      <c r="E518" s="346" t="s">
        <v>435</v>
      </c>
      <c r="F518" s="346" t="s">
        <v>120</v>
      </c>
      <c r="G518" s="300">
        <f>G519</f>
        <v>0</v>
      </c>
      <c r="H518" s="532"/>
      <c r="I518" s="532"/>
      <c r="J518" s="302"/>
    </row>
    <row r="519" spans="1:10" s="129" customFormat="1" ht="31.5" hidden="1" x14ac:dyDescent="0.25">
      <c r="A519" s="345" t="s">
        <v>121</v>
      </c>
      <c r="B519" s="591">
        <v>903</v>
      </c>
      <c r="C519" s="346" t="s">
        <v>203</v>
      </c>
      <c r="D519" s="346" t="s">
        <v>139</v>
      </c>
      <c r="E519" s="346" t="s">
        <v>435</v>
      </c>
      <c r="F519" s="346" t="s">
        <v>122</v>
      </c>
      <c r="G519" s="300">
        <f>948.2-230-19.2-479.1-219.9</f>
        <v>0</v>
      </c>
      <c r="H519" s="532"/>
      <c r="I519" s="532"/>
      <c r="J519" s="302"/>
    </row>
    <row r="520" spans="1:10" s="344" customFormat="1" ht="15.75" x14ac:dyDescent="0.25">
      <c r="A520" s="345" t="s">
        <v>177</v>
      </c>
      <c r="B520" s="591">
        <v>903</v>
      </c>
      <c r="C520" s="346" t="s">
        <v>203</v>
      </c>
      <c r="D520" s="346" t="s">
        <v>139</v>
      </c>
      <c r="E520" s="346" t="s">
        <v>435</v>
      </c>
      <c r="F520" s="346" t="s">
        <v>178</v>
      </c>
      <c r="G520" s="300">
        <f>G521</f>
        <v>249.10586999999998</v>
      </c>
      <c r="H520" s="532"/>
      <c r="I520" s="532"/>
      <c r="J520" s="302"/>
    </row>
    <row r="521" spans="1:10" s="344" customFormat="1" ht="31.5" x14ac:dyDescent="0.25">
      <c r="A521" s="345" t="s">
        <v>179</v>
      </c>
      <c r="B521" s="591">
        <v>903</v>
      </c>
      <c r="C521" s="346" t="s">
        <v>203</v>
      </c>
      <c r="D521" s="346" t="s">
        <v>139</v>
      </c>
      <c r="E521" s="346" t="s">
        <v>435</v>
      </c>
      <c r="F521" s="346" t="s">
        <v>180</v>
      </c>
      <c r="G521" s="300">
        <f>230+19.2-0.09413</f>
        <v>249.10586999999998</v>
      </c>
      <c r="H521" s="532"/>
      <c r="I521" s="532"/>
      <c r="J521" s="302"/>
    </row>
    <row r="522" spans="1:10" s="129" customFormat="1" ht="31.5" x14ac:dyDescent="0.25">
      <c r="A522" s="345" t="s">
        <v>414</v>
      </c>
      <c r="B522" s="591">
        <v>903</v>
      </c>
      <c r="C522" s="346" t="s">
        <v>203</v>
      </c>
      <c r="D522" s="346" t="s">
        <v>139</v>
      </c>
      <c r="E522" s="346" t="s">
        <v>436</v>
      </c>
      <c r="F522" s="346"/>
      <c r="G522" s="300">
        <f>G523</f>
        <v>123.30000000000001</v>
      </c>
      <c r="H522" s="532"/>
      <c r="I522" s="532"/>
      <c r="J522" s="302"/>
    </row>
    <row r="523" spans="1:10" s="129" customFormat="1" ht="63" x14ac:dyDescent="0.25">
      <c r="A523" s="345" t="s">
        <v>119</v>
      </c>
      <c r="B523" s="591">
        <v>903</v>
      </c>
      <c r="C523" s="346" t="s">
        <v>203</v>
      </c>
      <c r="D523" s="346" t="s">
        <v>139</v>
      </c>
      <c r="E523" s="346" t="s">
        <v>436</v>
      </c>
      <c r="F523" s="346" t="s">
        <v>120</v>
      </c>
      <c r="G523" s="300">
        <f>G524</f>
        <v>123.30000000000001</v>
      </c>
      <c r="H523" s="532"/>
      <c r="I523" s="532"/>
      <c r="J523" s="302"/>
    </row>
    <row r="524" spans="1:10" s="129" customFormat="1" ht="31.5" x14ac:dyDescent="0.25">
      <c r="A524" s="345" t="s">
        <v>121</v>
      </c>
      <c r="B524" s="591">
        <v>903</v>
      </c>
      <c r="C524" s="346" t="s">
        <v>203</v>
      </c>
      <c r="D524" s="346" t="s">
        <v>139</v>
      </c>
      <c r="E524" s="346" t="s">
        <v>436</v>
      </c>
      <c r="F524" s="346" t="s">
        <v>122</v>
      </c>
      <c r="G524" s="300">
        <f>430-86-220.7</f>
        <v>123.30000000000001</v>
      </c>
      <c r="H524" s="532"/>
      <c r="I524" s="532"/>
      <c r="J524" s="302"/>
    </row>
    <row r="525" spans="1:10" s="129" customFormat="1" ht="15.75" x14ac:dyDescent="0.25">
      <c r="A525" s="298" t="s">
        <v>495</v>
      </c>
      <c r="B525" s="296">
        <v>903</v>
      </c>
      <c r="C525" s="299" t="s">
        <v>203</v>
      </c>
      <c r="D525" s="299" t="s">
        <v>139</v>
      </c>
      <c r="E525" s="299" t="s">
        <v>440</v>
      </c>
      <c r="F525" s="299"/>
      <c r="G525" s="297">
        <f>G530+G526</f>
        <v>12023.168979999999</v>
      </c>
      <c r="H525" s="532"/>
      <c r="I525" s="532"/>
      <c r="J525" s="302"/>
    </row>
    <row r="526" spans="1:10" s="129" customFormat="1" ht="31.5" hidden="1" x14ac:dyDescent="0.25">
      <c r="A526" s="24" t="s">
        <v>444</v>
      </c>
      <c r="B526" s="296">
        <v>903</v>
      </c>
      <c r="C526" s="299" t="s">
        <v>203</v>
      </c>
      <c r="D526" s="299" t="s">
        <v>139</v>
      </c>
      <c r="E526" s="299" t="s">
        <v>439</v>
      </c>
      <c r="F526" s="299"/>
      <c r="G526" s="297">
        <f t="shared" ref="G526:G528" si="32">G527</f>
        <v>0</v>
      </c>
      <c r="H526" s="532"/>
      <c r="I526" s="532"/>
      <c r="J526" s="302"/>
    </row>
    <row r="527" spans="1:10" s="129" customFormat="1" ht="50.25" hidden="1" customHeight="1" x14ac:dyDescent="0.25">
      <c r="A527" s="22" t="s">
        <v>1067</v>
      </c>
      <c r="B527" s="591">
        <v>903</v>
      </c>
      <c r="C527" s="346" t="s">
        <v>203</v>
      </c>
      <c r="D527" s="346" t="s">
        <v>139</v>
      </c>
      <c r="E527" s="346" t="s">
        <v>1066</v>
      </c>
      <c r="F527" s="346"/>
      <c r="G527" s="300">
        <f t="shared" si="32"/>
        <v>0</v>
      </c>
      <c r="H527" s="532"/>
      <c r="I527" s="532"/>
      <c r="J527" s="302"/>
    </row>
    <row r="528" spans="1:10" s="129" customFormat="1" ht="31.5" hidden="1" x14ac:dyDescent="0.25">
      <c r="A528" s="345" t="s">
        <v>123</v>
      </c>
      <c r="B528" s="591">
        <v>903</v>
      </c>
      <c r="C528" s="346" t="s">
        <v>203</v>
      </c>
      <c r="D528" s="346" t="s">
        <v>139</v>
      </c>
      <c r="E528" s="346" t="s">
        <v>1066</v>
      </c>
      <c r="F528" s="346" t="s">
        <v>124</v>
      </c>
      <c r="G528" s="300">
        <f t="shared" si="32"/>
        <v>0</v>
      </c>
      <c r="H528" s="532"/>
      <c r="I528" s="532"/>
      <c r="J528" s="302"/>
    </row>
    <row r="529" spans="1:11" s="129" customFormat="1" ht="31.5" hidden="1" x14ac:dyDescent="0.25">
      <c r="A529" s="345" t="s">
        <v>125</v>
      </c>
      <c r="B529" s="591">
        <v>903</v>
      </c>
      <c r="C529" s="346" t="s">
        <v>203</v>
      </c>
      <c r="D529" s="346" t="s">
        <v>139</v>
      </c>
      <c r="E529" s="346" t="s">
        <v>1066</v>
      </c>
      <c r="F529" s="346" t="s">
        <v>126</v>
      </c>
      <c r="G529" s="300"/>
      <c r="H529" s="619"/>
      <c r="I529" s="619"/>
      <c r="J529" s="302"/>
    </row>
    <row r="530" spans="1:11" s="129" customFormat="1" ht="15.75" x14ac:dyDescent="0.25">
      <c r="A530" s="298" t="s">
        <v>1115</v>
      </c>
      <c r="B530" s="296">
        <v>903</v>
      </c>
      <c r="C530" s="299" t="s">
        <v>203</v>
      </c>
      <c r="D530" s="299" t="s">
        <v>139</v>
      </c>
      <c r="E530" s="299" t="s">
        <v>516</v>
      </c>
      <c r="F530" s="299"/>
      <c r="G530" s="297">
        <f>G531+G534</f>
        <v>12023.168979999999</v>
      </c>
      <c r="H530" s="620"/>
      <c r="I530" s="620"/>
      <c r="J530" s="302"/>
    </row>
    <row r="531" spans="1:11" s="129" customFormat="1" ht="31.5" x14ac:dyDescent="0.25">
      <c r="A531" s="345" t="s">
        <v>414</v>
      </c>
      <c r="B531" s="591">
        <v>903</v>
      </c>
      <c r="C531" s="346" t="s">
        <v>203</v>
      </c>
      <c r="D531" s="346" t="s">
        <v>139</v>
      </c>
      <c r="E531" s="346" t="s">
        <v>519</v>
      </c>
      <c r="F531" s="346"/>
      <c r="G531" s="300">
        <f>G532</f>
        <v>419.09997999999996</v>
      </c>
      <c r="H531" s="621"/>
      <c r="I531" s="621"/>
      <c r="J531" s="302"/>
    </row>
    <row r="532" spans="1:11" s="129" customFormat="1" ht="63" x14ac:dyDescent="0.25">
      <c r="A532" s="345" t="s">
        <v>119</v>
      </c>
      <c r="B532" s="591">
        <v>903</v>
      </c>
      <c r="C532" s="346" t="s">
        <v>203</v>
      </c>
      <c r="D532" s="346" t="s">
        <v>139</v>
      </c>
      <c r="E532" s="346" t="s">
        <v>519</v>
      </c>
      <c r="F532" s="346" t="s">
        <v>120</v>
      </c>
      <c r="G532" s="300">
        <f>G533</f>
        <v>419.09997999999996</v>
      </c>
      <c r="H532" s="621"/>
      <c r="I532" s="621"/>
      <c r="J532" s="302"/>
    </row>
    <row r="533" spans="1:11" s="129" customFormat="1" ht="15.75" x14ac:dyDescent="0.25">
      <c r="A533" s="345" t="s">
        <v>212</v>
      </c>
      <c r="B533" s="591">
        <v>903</v>
      </c>
      <c r="C533" s="346" t="s">
        <v>203</v>
      </c>
      <c r="D533" s="346" t="s">
        <v>139</v>
      </c>
      <c r="E533" s="346" t="s">
        <v>519</v>
      </c>
      <c r="F533" s="346" t="s">
        <v>156</v>
      </c>
      <c r="G533" s="300">
        <f>215+86+232-52.6-0.00002-61.3</f>
        <v>419.09997999999996</v>
      </c>
      <c r="H533" s="621"/>
      <c r="I533" s="621"/>
      <c r="J533" s="302"/>
    </row>
    <row r="534" spans="1:11" s="129" customFormat="1" ht="15.75" x14ac:dyDescent="0.25">
      <c r="A534" s="345" t="s">
        <v>377</v>
      </c>
      <c r="B534" s="591">
        <v>903</v>
      </c>
      <c r="C534" s="346" t="s">
        <v>203</v>
      </c>
      <c r="D534" s="346" t="s">
        <v>139</v>
      </c>
      <c r="E534" s="346" t="s">
        <v>518</v>
      </c>
      <c r="F534" s="346"/>
      <c r="G534" s="300">
        <f>G535+G537+G539</f>
        <v>11604.069</v>
      </c>
      <c r="H534" s="532"/>
      <c r="I534" s="532"/>
      <c r="J534" s="302"/>
    </row>
    <row r="535" spans="1:11" s="129" customFormat="1" ht="63" x14ac:dyDescent="0.25">
      <c r="A535" s="345" t="s">
        <v>119</v>
      </c>
      <c r="B535" s="591">
        <v>903</v>
      </c>
      <c r="C535" s="346" t="s">
        <v>203</v>
      </c>
      <c r="D535" s="346" t="s">
        <v>139</v>
      </c>
      <c r="E535" s="346" t="s">
        <v>518</v>
      </c>
      <c r="F535" s="346" t="s">
        <v>120</v>
      </c>
      <c r="G535" s="300">
        <f>G536</f>
        <v>10605.8</v>
      </c>
      <c r="H535" s="532"/>
      <c r="I535" s="532"/>
      <c r="J535" s="302"/>
    </row>
    <row r="536" spans="1:11" s="129" customFormat="1" ht="21.2" customHeight="1" x14ac:dyDescent="0.25">
      <c r="A536" s="345" t="s">
        <v>212</v>
      </c>
      <c r="B536" s="591">
        <v>903</v>
      </c>
      <c r="C536" s="346" t="s">
        <v>203</v>
      </c>
      <c r="D536" s="346" t="s">
        <v>139</v>
      </c>
      <c r="E536" s="346" t="s">
        <v>518</v>
      </c>
      <c r="F536" s="346" t="s">
        <v>156</v>
      </c>
      <c r="G536" s="18">
        <f>10257.5+37-132+445.8-2.5</f>
        <v>10605.8</v>
      </c>
      <c r="H536" s="532"/>
      <c r="I536" s="532"/>
      <c r="J536" s="310"/>
      <c r="K536" s="320"/>
    </row>
    <row r="537" spans="1:11" s="129" customFormat="1" ht="31.5" x14ac:dyDescent="0.25">
      <c r="A537" s="345" t="s">
        <v>123</v>
      </c>
      <c r="B537" s="591">
        <v>903</v>
      </c>
      <c r="C537" s="346" t="s">
        <v>203</v>
      </c>
      <c r="D537" s="346" t="s">
        <v>139</v>
      </c>
      <c r="E537" s="346" t="s">
        <v>518</v>
      </c>
      <c r="F537" s="346" t="s">
        <v>124</v>
      </c>
      <c r="G537" s="300">
        <f>G538</f>
        <v>998.26899999999989</v>
      </c>
      <c r="H537" s="532"/>
      <c r="I537" s="532"/>
      <c r="J537" s="302"/>
    </row>
    <row r="538" spans="1:11" s="129" customFormat="1" ht="31.5" x14ac:dyDescent="0.25">
      <c r="A538" s="345" t="s">
        <v>125</v>
      </c>
      <c r="B538" s="591">
        <v>903</v>
      </c>
      <c r="C538" s="346" t="s">
        <v>203</v>
      </c>
      <c r="D538" s="346" t="s">
        <v>139</v>
      </c>
      <c r="E538" s="346" t="s">
        <v>518</v>
      </c>
      <c r="F538" s="346" t="s">
        <v>126</v>
      </c>
      <c r="G538" s="18">
        <f>1890.1+50-135-26.8-878.3-20.4-33.6+32.4-10-21.4+33.9+17.1+35.5-2.949+2+0.132+4.286+61.3</f>
        <v>998.26899999999989</v>
      </c>
      <c r="H538" s="532"/>
      <c r="I538" s="532"/>
      <c r="J538" s="302"/>
      <c r="K538" s="320"/>
    </row>
    <row r="539" spans="1:11" s="129" customFormat="1" ht="15.75" hidden="1" x14ac:dyDescent="0.25">
      <c r="A539" s="345" t="s">
        <v>127</v>
      </c>
      <c r="B539" s="591">
        <v>903</v>
      </c>
      <c r="C539" s="346" t="s">
        <v>203</v>
      </c>
      <c r="D539" s="346" t="s">
        <v>139</v>
      </c>
      <c r="E539" s="346" t="s">
        <v>518</v>
      </c>
      <c r="F539" s="346" t="s">
        <v>134</v>
      </c>
      <c r="G539" s="300">
        <f>G540</f>
        <v>0</v>
      </c>
      <c r="H539" s="532"/>
      <c r="I539" s="532"/>
      <c r="J539" s="302"/>
    </row>
    <row r="540" spans="1:11" s="129" customFormat="1" ht="15.75" hidden="1" x14ac:dyDescent="0.25">
      <c r="A540" s="345" t="s">
        <v>280</v>
      </c>
      <c r="B540" s="591">
        <v>903</v>
      </c>
      <c r="C540" s="346" t="s">
        <v>203</v>
      </c>
      <c r="D540" s="346" t="s">
        <v>139</v>
      </c>
      <c r="E540" s="346" t="s">
        <v>518</v>
      </c>
      <c r="F540" s="346" t="s">
        <v>130</v>
      </c>
      <c r="G540" s="300">
        <f>14-12-2</f>
        <v>0</v>
      </c>
      <c r="H540" s="532"/>
      <c r="I540" s="532"/>
      <c r="J540" s="302"/>
    </row>
    <row r="541" spans="1:11" ht="48.2" customHeight="1" x14ac:dyDescent="0.25">
      <c r="A541" s="298" t="s">
        <v>851</v>
      </c>
      <c r="B541" s="296">
        <v>903</v>
      </c>
      <c r="C541" s="299" t="s">
        <v>203</v>
      </c>
      <c r="D541" s="299" t="s">
        <v>139</v>
      </c>
      <c r="E541" s="299" t="s">
        <v>213</v>
      </c>
      <c r="F541" s="299"/>
      <c r="G541" s="297">
        <f t="shared" ref="G541:G545" si="33">G542</f>
        <v>187</v>
      </c>
      <c r="H541" s="532"/>
      <c r="I541" s="532"/>
      <c r="J541" s="302"/>
      <c r="K541" s="129"/>
    </row>
    <row r="542" spans="1:11" ht="31.5" x14ac:dyDescent="0.25">
      <c r="A542" s="298" t="s">
        <v>857</v>
      </c>
      <c r="B542" s="296">
        <v>903</v>
      </c>
      <c r="C542" s="299" t="s">
        <v>203</v>
      </c>
      <c r="D542" s="299" t="s">
        <v>139</v>
      </c>
      <c r="E542" s="299" t="s">
        <v>223</v>
      </c>
      <c r="F542" s="299"/>
      <c r="G542" s="297">
        <f t="shared" si="33"/>
        <v>187</v>
      </c>
      <c r="H542" s="532"/>
      <c r="I542" s="532"/>
      <c r="J542" s="302"/>
      <c r="K542" s="129"/>
    </row>
    <row r="543" spans="1:11" s="129" customFormat="1" ht="31.5" x14ac:dyDescent="0.25">
      <c r="A543" s="298" t="s">
        <v>558</v>
      </c>
      <c r="B543" s="296">
        <v>903</v>
      </c>
      <c r="C543" s="299" t="s">
        <v>203</v>
      </c>
      <c r="D543" s="299" t="s">
        <v>139</v>
      </c>
      <c r="E543" s="299" t="s">
        <v>755</v>
      </c>
      <c r="F543" s="299"/>
      <c r="G543" s="297">
        <f t="shared" si="33"/>
        <v>187</v>
      </c>
      <c r="H543" s="532"/>
      <c r="I543" s="532"/>
      <c r="J543" s="302"/>
    </row>
    <row r="544" spans="1:11" ht="15.75" x14ac:dyDescent="0.25">
      <c r="A544" s="345" t="s">
        <v>557</v>
      </c>
      <c r="B544" s="591">
        <v>903</v>
      </c>
      <c r="C544" s="346" t="s">
        <v>203</v>
      </c>
      <c r="D544" s="346" t="s">
        <v>139</v>
      </c>
      <c r="E544" s="346" t="s">
        <v>756</v>
      </c>
      <c r="F544" s="346"/>
      <c r="G544" s="300">
        <f t="shared" si="33"/>
        <v>187</v>
      </c>
      <c r="H544" s="532"/>
      <c r="I544" s="532"/>
      <c r="J544" s="302"/>
      <c r="K544" s="129"/>
    </row>
    <row r="545" spans="1:11" ht="31.5" x14ac:dyDescent="0.25">
      <c r="A545" s="345" t="s">
        <v>123</v>
      </c>
      <c r="B545" s="591">
        <v>903</v>
      </c>
      <c r="C545" s="346" t="s">
        <v>203</v>
      </c>
      <c r="D545" s="346" t="s">
        <v>139</v>
      </c>
      <c r="E545" s="346" t="s">
        <v>756</v>
      </c>
      <c r="F545" s="346" t="s">
        <v>124</v>
      </c>
      <c r="G545" s="300">
        <f t="shared" si="33"/>
        <v>187</v>
      </c>
      <c r="H545" s="532"/>
      <c r="I545" s="532"/>
      <c r="J545" s="302"/>
      <c r="K545" s="129"/>
    </row>
    <row r="546" spans="1:11" ht="31.5" x14ac:dyDescent="0.25">
      <c r="A546" s="345" t="s">
        <v>125</v>
      </c>
      <c r="B546" s="591">
        <v>903</v>
      </c>
      <c r="C546" s="346" t="s">
        <v>203</v>
      </c>
      <c r="D546" s="346" t="s">
        <v>139</v>
      </c>
      <c r="E546" s="346" t="s">
        <v>756</v>
      </c>
      <c r="F546" s="346" t="s">
        <v>126</v>
      </c>
      <c r="G546" s="300">
        <f>260-73</f>
        <v>187</v>
      </c>
      <c r="H546" s="532"/>
      <c r="I546" s="532"/>
      <c r="J546" s="302"/>
      <c r="K546" s="129"/>
    </row>
    <row r="547" spans="1:11" s="129" customFormat="1" ht="47.25" hidden="1" x14ac:dyDescent="0.25">
      <c r="A547" s="24" t="s">
        <v>860</v>
      </c>
      <c r="B547" s="296">
        <v>903</v>
      </c>
      <c r="C547" s="299" t="s">
        <v>203</v>
      </c>
      <c r="D547" s="299" t="s">
        <v>139</v>
      </c>
      <c r="E547" s="299" t="s">
        <v>206</v>
      </c>
      <c r="F547" s="299"/>
      <c r="G547" s="297">
        <f>G549</f>
        <v>0</v>
      </c>
      <c r="H547" s="532"/>
      <c r="I547" s="532"/>
      <c r="J547" s="302"/>
    </row>
    <row r="548" spans="1:11" s="129" customFormat="1" ht="47.25" hidden="1" x14ac:dyDescent="0.25">
      <c r="A548" s="24" t="s">
        <v>586</v>
      </c>
      <c r="B548" s="296">
        <v>903</v>
      </c>
      <c r="C548" s="299" t="s">
        <v>203</v>
      </c>
      <c r="D548" s="299" t="s">
        <v>139</v>
      </c>
      <c r="E548" s="299" t="s">
        <v>502</v>
      </c>
      <c r="F548" s="299"/>
      <c r="G548" s="297">
        <f>G551</f>
        <v>0</v>
      </c>
      <c r="H548" s="532"/>
      <c r="I548" s="532"/>
      <c r="J548" s="302"/>
    </row>
    <row r="549" spans="1:11" s="129" customFormat="1" ht="47.25" hidden="1" x14ac:dyDescent="0.25">
      <c r="A549" s="22" t="s">
        <v>632</v>
      </c>
      <c r="B549" s="591">
        <v>903</v>
      </c>
      <c r="C549" s="346" t="s">
        <v>203</v>
      </c>
      <c r="D549" s="346" t="s">
        <v>139</v>
      </c>
      <c r="E549" s="346" t="s">
        <v>587</v>
      </c>
      <c r="F549" s="346"/>
      <c r="G549" s="300">
        <f>G550</f>
        <v>0</v>
      </c>
      <c r="H549" s="532"/>
      <c r="I549" s="532"/>
      <c r="J549" s="302"/>
    </row>
    <row r="550" spans="1:11" s="129" customFormat="1" ht="31.5" hidden="1" x14ac:dyDescent="0.25">
      <c r="A550" s="345" t="s">
        <v>123</v>
      </c>
      <c r="B550" s="591">
        <v>903</v>
      </c>
      <c r="C550" s="346" t="s">
        <v>203</v>
      </c>
      <c r="D550" s="346" t="s">
        <v>139</v>
      </c>
      <c r="E550" s="346" t="s">
        <v>587</v>
      </c>
      <c r="F550" s="346" t="s">
        <v>124</v>
      </c>
      <c r="G550" s="300">
        <f>G551</f>
        <v>0</v>
      </c>
      <c r="H550" s="532"/>
      <c r="I550" s="532"/>
      <c r="J550" s="302"/>
    </row>
    <row r="551" spans="1:11" s="129" customFormat="1" ht="31.5" hidden="1" x14ac:dyDescent="0.25">
      <c r="A551" s="345" t="s">
        <v>125</v>
      </c>
      <c r="B551" s="591">
        <v>903</v>
      </c>
      <c r="C551" s="346" t="s">
        <v>203</v>
      </c>
      <c r="D551" s="346" t="s">
        <v>139</v>
      </c>
      <c r="E551" s="346" t="s">
        <v>587</v>
      </c>
      <c r="F551" s="346" t="s">
        <v>126</v>
      </c>
      <c r="G551" s="300"/>
      <c r="H551" s="532"/>
      <c r="I551" s="532"/>
      <c r="J551" s="302"/>
    </row>
    <row r="552" spans="1:11" ht="15.75" x14ac:dyDescent="0.25">
      <c r="A552" s="298" t="s">
        <v>173</v>
      </c>
      <c r="B552" s="296">
        <v>903</v>
      </c>
      <c r="C552" s="299" t="s">
        <v>174</v>
      </c>
      <c r="D552" s="299"/>
      <c r="E552" s="299"/>
      <c r="F552" s="299"/>
      <c r="G552" s="297">
        <f>G553</f>
        <v>1359.2878900000001</v>
      </c>
      <c r="H552" s="532"/>
      <c r="I552" s="532"/>
      <c r="J552" s="302"/>
      <c r="K552" s="129"/>
    </row>
    <row r="553" spans="1:11" ht="15.75" x14ac:dyDescent="0.25">
      <c r="A553" s="298" t="s">
        <v>181</v>
      </c>
      <c r="B553" s="296">
        <v>903</v>
      </c>
      <c r="C553" s="299" t="s">
        <v>174</v>
      </c>
      <c r="D553" s="299" t="s">
        <v>159</v>
      </c>
      <c r="E553" s="299"/>
      <c r="F553" s="299"/>
      <c r="G553" s="297">
        <f>G554</f>
        <v>1359.2878900000001</v>
      </c>
      <c r="H553" s="532"/>
      <c r="I553" s="532"/>
      <c r="J553" s="302"/>
      <c r="K553" s="129"/>
    </row>
    <row r="554" spans="1:11" ht="45" customHeight="1" x14ac:dyDescent="0.25">
      <c r="A554" s="298" t="s">
        <v>851</v>
      </c>
      <c r="B554" s="296">
        <v>903</v>
      </c>
      <c r="C554" s="299" t="s">
        <v>174</v>
      </c>
      <c r="D554" s="299" t="s">
        <v>159</v>
      </c>
      <c r="E554" s="299" t="s">
        <v>213</v>
      </c>
      <c r="F554" s="299"/>
      <c r="G554" s="297">
        <f>G555+G560</f>
        <v>1359.2878900000001</v>
      </c>
      <c r="H554" s="532"/>
      <c r="I554" s="532"/>
      <c r="J554" s="302"/>
      <c r="K554" s="129"/>
    </row>
    <row r="555" spans="1:11" ht="16.5" hidden="1" customHeight="1" x14ac:dyDescent="0.25">
      <c r="A555" s="298" t="s">
        <v>218</v>
      </c>
      <c r="B555" s="296">
        <v>903</v>
      </c>
      <c r="C555" s="299" t="s">
        <v>174</v>
      </c>
      <c r="D555" s="299" t="s">
        <v>159</v>
      </c>
      <c r="E555" s="299" t="s">
        <v>219</v>
      </c>
      <c r="F555" s="299"/>
      <c r="G555" s="297">
        <f t="shared" ref="G555:G558" si="34">G556</f>
        <v>-1.1041514924592377E-14</v>
      </c>
      <c r="H555" s="532"/>
      <c r="I555" s="532"/>
      <c r="J555" s="302"/>
      <c r="K555" s="129"/>
    </row>
    <row r="556" spans="1:11" s="129" customFormat="1" ht="33.75" hidden="1" customHeight="1" x14ac:dyDescent="0.25">
      <c r="A556" s="298" t="s">
        <v>474</v>
      </c>
      <c r="B556" s="296">
        <v>903</v>
      </c>
      <c r="C556" s="299" t="s">
        <v>174</v>
      </c>
      <c r="D556" s="299" t="s">
        <v>159</v>
      </c>
      <c r="E556" s="299" t="s">
        <v>473</v>
      </c>
      <c r="F556" s="299"/>
      <c r="G556" s="297">
        <f t="shared" si="34"/>
        <v>-1.1041514924592377E-14</v>
      </c>
      <c r="H556" s="532"/>
      <c r="I556" s="532"/>
      <c r="J556" s="302"/>
    </row>
    <row r="557" spans="1:11" ht="31.5" hidden="1" x14ac:dyDescent="0.25">
      <c r="A557" s="345" t="s">
        <v>399</v>
      </c>
      <c r="B557" s="591">
        <v>903</v>
      </c>
      <c r="C557" s="346" t="s">
        <v>174</v>
      </c>
      <c r="D557" s="346" t="s">
        <v>159</v>
      </c>
      <c r="E557" s="346" t="s">
        <v>475</v>
      </c>
      <c r="F557" s="346"/>
      <c r="G557" s="300">
        <f t="shared" si="34"/>
        <v>-1.1041514924592377E-14</v>
      </c>
      <c r="H557" s="532"/>
      <c r="I557" s="532"/>
      <c r="J557" s="302"/>
      <c r="K557" s="129"/>
    </row>
    <row r="558" spans="1:11" ht="15.75" hidden="1" x14ac:dyDescent="0.25">
      <c r="A558" s="345" t="s">
        <v>177</v>
      </c>
      <c r="B558" s="591">
        <v>903</v>
      </c>
      <c r="C558" s="346" t="s">
        <v>174</v>
      </c>
      <c r="D558" s="346" t="s">
        <v>159</v>
      </c>
      <c r="E558" s="346" t="s">
        <v>475</v>
      </c>
      <c r="F558" s="346" t="s">
        <v>178</v>
      </c>
      <c r="G558" s="300">
        <f t="shared" si="34"/>
        <v>-1.1041514924592377E-14</v>
      </c>
      <c r="H558" s="532"/>
      <c r="I558" s="532"/>
      <c r="J558" s="302"/>
      <c r="K558" s="129"/>
    </row>
    <row r="559" spans="1:11" ht="31.5" hidden="1" x14ac:dyDescent="0.25">
      <c r="A559" s="345" t="s">
        <v>179</v>
      </c>
      <c r="B559" s="591">
        <v>903</v>
      </c>
      <c r="C559" s="346" t="s">
        <v>174</v>
      </c>
      <c r="D559" s="346" t="s">
        <v>159</v>
      </c>
      <c r="E559" s="346" t="s">
        <v>475</v>
      </c>
      <c r="F559" s="346" t="s">
        <v>180</v>
      </c>
      <c r="G559" s="300">
        <f>183.86511+75.03489-21.53-25-183.86511-28.5-0.00489</f>
        <v>-1.1041514924592377E-14</v>
      </c>
      <c r="H559" s="532"/>
      <c r="I559" s="532"/>
      <c r="J559" s="302"/>
      <c r="K559" s="129"/>
    </row>
    <row r="560" spans="1:11" ht="31.5" x14ac:dyDescent="0.25">
      <c r="A560" s="298" t="s">
        <v>857</v>
      </c>
      <c r="B560" s="296">
        <v>903</v>
      </c>
      <c r="C560" s="296">
        <v>10</v>
      </c>
      <c r="D560" s="299" t="s">
        <v>159</v>
      </c>
      <c r="E560" s="299" t="s">
        <v>223</v>
      </c>
      <c r="F560" s="299"/>
      <c r="G560" s="297">
        <f>G561+G567+G573</f>
        <v>1359.2878900000001</v>
      </c>
      <c r="H560" s="532"/>
      <c r="I560" s="532"/>
      <c r="J560" s="302"/>
      <c r="K560" s="129"/>
    </row>
    <row r="561" spans="1:11" s="129" customFormat="1" ht="31.5" x14ac:dyDescent="0.25">
      <c r="A561" s="298" t="s">
        <v>598</v>
      </c>
      <c r="B561" s="296">
        <v>903</v>
      </c>
      <c r="C561" s="299" t="s">
        <v>174</v>
      </c>
      <c r="D561" s="299" t="s">
        <v>159</v>
      </c>
      <c r="E561" s="299" t="s">
        <v>482</v>
      </c>
      <c r="F561" s="299"/>
      <c r="G561" s="297">
        <f>G562</f>
        <v>774.98788999999999</v>
      </c>
      <c r="H561" s="532"/>
      <c r="I561" s="532"/>
      <c r="J561" s="302"/>
    </row>
    <row r="562" spans="1:11" s="129" customFormat="1" ht="39.75" customHeight="1" x14ac:dyDescent="0.25">
      <c r="A562" s="67" t="s">
        <v>599</v>
      </c>
      <c r="B562" s="591">
        <v>903</v>
      </c>
      <c r="C562" s="346" t="s">
        <v>174</v>
      </c>
      <c r="D562" s="346" t="s">
        <v>159</v>
      </c>
      <c r="E562" s="346" t="s">
        <v>758</v>
      </c>
      <c r="F562" s="346"/>
      <c r="G562" s="300">
        <f>G565+G564</f>
        <v>774.98788999999999</v>
      </c>
      <c r="H562" s="532"/>
      <c r="I562" s="532"/>
      <c r="J562" s="302"/>
    </row>
    <row r="563" spans="1:11" s="129" customFormat="1" ht="31.5" x14ac:dyDescent="0.25">
      <c r="A563" s="345" t="s">
        <v>123</v>
      </c>
      <c r="B563" s="591">
        <v>903</v>
      </c>
      <c r="C563" s="346" t="s">
        <v>174</v>
      </c>
      <c r="D563" s="346" t="s">
        <v>159</v>
      </c>
      <c r="E563" s="346" t="s">
        <v>758</v>
      </c>
      <c r="F563" s="346" t="s">
        <v>124</v>
      </c>
      <c r="G563" s="300">
        <f>G564</f>
        <v>125.18789000000001</v>
      </c>
      <c r="H563" s="532"/>
      <c r="I563" s="532"/>
      <c r="J563" s="302"/>
    </row>
    <row r="564" spans="1:11" s="129" customFormat="1" ht="31.5" x14ac:dyDescent="0.25">
      <c r="A564" s="345" t="s">
        <v>125</v>
      </c>
      <c r="B564" s="591">
        <v>903</v>
      </c>
      <c r="C564" s="346" t="s">
        <v>174</v>
      </c>
      <c r="D564" s="346" t="s">
        <v>159</v>
      </c>
      <c r="E564" s="346" t="s">
        <v>758</v>
      </c>
      <c r="F564" s="346" t="s">
        <v>126</v>
      </c>
      <c r="G564" s="300">
        <f>65+21.53489+5.153+32.4-34.9+36</f>
        <v>125.18789000000001</v>
      </c>
      <c r="H564" s="532"/>
      <c r="I564" s="532"/>
      <c r="J564" s="302"/>
    </row>
    <row r="565" spans="1:11" s="129" customFormat="1" ht="15.75" x14ac:dyDescent="0.25">
      <c r="A565" s="345" t="s">
        <v>177</v>
      </c>
      <c r="B565" s="591">
        <v>903</v>
      </c>
      <c r="C565" s="346" t="s">
        <v>174</v>
      </c>
      <c r="D565" s="346" t="s">
        <v>159</v>
      </c>
      <c r="E565" s="346" t="s">
        <v>758</v>
      </c>
      <c r="F565" s="346" t="s">
        <v>178</v>
      </c>
      <c r="G565" s="300">
        <f>G566</f>
        <v>649.79999999999995</v>
      </c>
      <c r="H565" s="532"/>
      <c r="I565" s="532"/>
      <c r="J565" s="302"/>
    </row>
    <row r="566" spans="1:11" s="129" customFormat="1" ht="15.75" x14ac:dyDescent="0.25">
      <c r="A566" s="345" t="s">
        <v>216</v>
      </c>
      <c r="B566" s="591">
        <v>903</v>
      </c>
      <c r="C566" s="346" t="s">
        <v>174</v>
      </c>
      <c r="D566" s="346" t="s">
        <v>159</v>
      </c>
      <c r="E566" s="346" t="s">
        <v>758</v>
      </c>
      <c r="F566" s="346" t="s">
        <v>217</v>
      </c>
      <c r="G566" s="300">
        <f>630+19.8</f>
        <v>649.79999999999995</v>
      </c>
      <c r="H566" s="532"/>
      <c r="I566" s="532"/>
      <c r="J566" s="302"/>
    </row>
    <row r="567" spans="1:11" s="129" customFormat="1" ht="31.5" x14ac:dyDescent="0.25">
      <c r="A567" s="298" t="s">
        <v>762</v>
      </c>
      <c r="B567" s="296">
        <v>903</v>
      </c>
      <c r="C567" s="296">
        <v>10</v>
      </c>
      <c r="D567" s="299" t="s">
        <v>159</v>
      </c>
      <c r="E567" s="299" t="s">
        <v>760</v>
      </c>
      <c r="F567" s="299"/>
      <c r="G567" s="297">
        <f>G568</f>
        <v>192.1</v>
      </c>
      <c r="H567" s="532"/>
      <c r="I567" s="532"/>
      <c r="J567" s="302"/>
    </row>
    <row r="568" spans="1:11" s="129" customFormat="1" ht="15.75" x14ac:dyDescent="0.25">
      <c r="A568" s="345" t="s">
        <v>759</v>
      </c>
      <c r="B568" s="591">
        <v>903</v>
      </c>
      <c r="C568" s="346" t="s">
        <v>174</v>
      </c>
      <c r="D568" s="346" t="s">
        <v>159</v>
      </c>
      <c r="E568" s="346" t="s">
        <v>761</v>
      </c>
      <c r="F568" s="346"/>
      <c r="G568" s="300">
        <f>G570+G572</f>
        <v>192.1</v>
      </c>
      <c r="H568" s="532"/>
      <c r="I568" s="532"/>
      <c r="J568" s="302"/>
    </row>
    <row r="569" spans="1:11" s="129" customFormat="1" ht="31.5" hidden="1" x14ac:dyDescent="0.25">
      <c r="A569" s="345" t="s">
        <v>123</v>
      </c>
      <c r="B569" s="591">
        <v>903</v>
      </c>
      <c r="C569" s="346" t="s">
        <v>174</v>
      </c>
      <c r="D569" s="346" t="s">
        <v>159</v>
      </c>
      <c r="E569" s="346" t="s">
        <v>761</v>
      </c>
      <c r="F569" s="346" t="s">
        <v>124</v>
      </c>
      <c r="G569" s="300">
        <f>G570</f>
        <v>0</v>
      </c>
      <c r="H569" s="532"/>
      <c r="I569" s="532"/>
      <c r="J569" s="302"/>
    </row>
    <row r="570" spans="1:11" s="129" customFormat="1" ht="31.5" hidden="1" x14ac:dyDescent="0.25">
      <c r="A570" s="345" t="s">
        <v>125</v>
      </c>
      <c r="B570" s="591">
        <v>903</v>
      </c>
      <c r="C570" s="346" t="s">
        <v>174</v>
      </c>
      <c r="D570" s="346" t="s">
        <v>159</v>
      </c>
      <c r="E570" s="346" t="s">
        <v>761</v>
      </c>
      <c r="F570" s="346" t="s">
        <v>126</v>
      </c>
      <c r="G570" s="300"/>
      <c r="H570" s="532"/>
      <c r="I570" s="532"/>
      <c r="J570" s="302"/>
    </row>
    <row r="571" spans="1:11" s="129" customFormat="1" ht="15.75" x14ac:dyDescent="0.25">
      <c r="A571" s="345" t="s">
        <v>177</v>
      </c>
      <c r="B571" s="591">
        <v>903</v>
      </c>
      <c r="C571" s="346" t="s">
        <v>174</v>
      </c>
      <c r="D571" s="346" t="s">
        <v>159</v>
      </c>
      <c r="E571" s="346" t="s">
        <v>761</v>
      </c>
      <c r="F571" s="346" t="s">
        <v>178</v>
      </c>
      <c r="G571" s="300">
        <f>G572</f>
        <v>192.1</v>
      </c>
      <c r="H571" s="532"/>
      <c r="I571" s="532"/>
      <c r="J571" s="302"/>
    </row>
    <row r="572" spans="1:11" s="129" customFormat="1" ht="15.75" x14ac:dyDescent="0.25">
      <c r="A572" s="345" t="s">
        <v>216</v>
      </c>
      <c r="B572" s="591">
        <v>903</v>
      </c>
      <c r="C572" s="346" t="s">
        <v>174</v>
      </c>
      <c r="D572" s="346" t="s">
        <v>159</v>
      </c>
      <c r="E572" s="346" t="s">
        <v>761</v>
      </c>
      <c r="F572" s="346" t="s">
        <v>217</v>
      </c>
      <c r="G572" s="300">
        <f>257-44-20.9</f>
        <v>192.1</v>
      </c>
      <c r="H572" s="532"/>
      <c r="I572" s="532"/>
      <c r="J572" s="302"/>
    </row>
    <row r="573" spans="1:11" s="129" customFormat="1" ht="31.5" x14ac:dyDescent="0.25">
      <c r="A573" s="298" t="s">
        <v>558</v>
      </c>
      <c r="B573" s="296">
        <v>903</v>
      </c>
      <c r="C573" s="296">
        <v>10</v>
      </c>
      <c r="D573" s="299" t="s">
        <v>159</v>
      </c>
      <c r="E573" s="299" t="s">
        <v>755</v>
      </c>
      <c r="F573" s="299"/>
      <c r="G573" s="297">
        <f t="shared" ref="G573:G575" si="35">G574</f>
        <v>392.2</v>
      </c>
      <c r="H573" s="532"/>
      <c r="I573" s="532"/>
      <c r="J573" s="302"/>
    </row>
    <row r="574" spans="1:11" ht="15.75" x14ac:dyDescent="0.25">
      <c r="A574" s="345" t="s">
        <v>596</v>
      </c>
      <c r="B574" s="591">
        <v>903</v>
      </c>
      <c r="C574" s="346" t="s">
        <v>174</v>
      </c>
      <c r="D574" s="346" t="s">
        <v>159</v>
      </c>
      <c r="E574" s="346" t="s">
        <v>757</v>
      </c>
      <c r="F574" s="346"/>
      <c r="G574" s="300">
        <f t="shared" si="35"/>
        <v>392.2</v>
      </c>
      <c r="H574" s="532"/>
      <c r="I574" s="532"/>
      <c r="J574" s="302"/>
      <c r="K574" s="129"/>
    </row>
    <row r="575" spans="1:11" ht="15.75" x14ac:dyDescent="0.25">
      <c r="A575" s="345" t="s">
        <v>177</v>
      </c>
      <c r="B575" s="591">
        <v>903</v>
      </c>
      <c r="C575" s="346" t="s">
        <v>174</v>
      </c>
      <c r="D575" s="346" t="s">
        <v>159</v>
      </c>
      <c r="E575" s="346" t="s">
        <v>757</v>
      </c>
      <c r="F575" s="346" t="s">
        <v>178</v>
      </c>
      <c r="G575" s="300">
        <f t="shared" si="35"/>
        <v>392.2</v>
      </c>
      <c r="H575" s="532"/>
      <c r="I575" s="532"/>
      <c r="J575" s="302"/>
      <c r="K575" s="129"/>
    </row>
    <row r="576" spans="1:11" ht="15.75" x14ac:dyDescent="0.25">
      <c r="A576" s="345" t="s">
        <v>216</v>
      </c>
      <c r="B576" s="591">
        <v>903</v>
      </c>
      <c r="C576" s="346" t="s">
        <v>174</v>
      </c>
      <c r="D576" s="346" t="s">
        <v>159</v>
      </c>
      <c r="E576" s="346" t="s">
        <v>757</v>
      </c>
      <c r="F576" s="346" t="s">
        <v>217</v>
      </c>
      <c r="G576" s="300">
        <f>420-27.8</f>
        <v>392.2</v>
      </c>
      <c r="H576" s="532"/>
      <c r="I576" s="532"/>
      <c r="J576" s="302"/>
      <c r="K576" s="129"/>
    </row>
    <row r="577" spans="1:10" s="129" customFormat="1" ht="15.75" x14ac:dyDescent="0.25">
      <c r="A577" s="298" t="s">
        <v>288</v>
      </c>
      <c r="B577" s="296">
        <v>903</v>
      </c>
      <c r="C577" s="299" t="s">
        <v>171</v>
      </c>
      <c r="D577" s="346"/>
      <c r="E577" s="346"/>
      <c r="F577" s="346"/>
      <c r="G577" s="297">
        <f>G578</f>
        <v>5749.9749700000011</v>
      </c>
      <c r="H577" s="532"/>
      <c r="I577" s="532"/>
      <c r="J577" s="302"/>
    </row>
    <row r="578" spans="1:10" s="129" customFormat="1" ht="15.75" x14ac:dyDescent="0.25">
      <c r="A578" s="298" t="s">
        <v>289</v>
      </c>
      <c r="B578" s="296">
        <v>903</v>
      </c>
      <c r="C578" s="299" t="s">
        <v>171</v>
      </c>
      <c r="D578" s="299" t="s">
        <v>158</v>
      </c>
      <c r="E578" s="299"/>
      <c r="F578" s="299"/>
      <c r="G578" s="297">
        <f>G579+G592</f>
        <v>5749.9749700000011</v>
      </c>
      <c r="H578" s="532"/>
      <c r="I578" s="532"/>
      <c r="J578" s="302"/>
    </row>
    <row r="579" spans="1:10" s="129" customFormat="1" ht="31.5" x14ac:dyDescent="0.25">
      <c r="A579" s="298" t="s">
        <v>855</v>
      </c>
      <c r="B579" s="296">
        <v>903</v>
      </c>
      <c r="C579" s="299" t="s">
        <v>171</v>
      </c>
      <c r="D579" s="299" t="s">
        <v>158</v>
      </c>
      <c r="E579" s="299" t="s">
        <v>189</v>
      </c>
      <c r="F579" s="299"/>
      <c r="G579" s="297">
        <f>G580+G588</f>
        <v>5671.9749700000011</v>
      </c>
      <c r="H579" s="532"/>
      <c r="I579" s="532"/>
      <c r="J579" s="302"/>
    </row>
    <row r="580" spans="1:10" s="129" customFormat="1" ht="31.5" x14ac:dyDescent="0.25">
      <c r="A580" s="298" t="s">
        <v>816</v>
      </c>
      <c r="B580" s="296">
        <v>903</v>
      </c>
      <c r="C580" s="299" t="s">
        <v>171</v>
      </c>
      <c r="D580" s="299" t="s">
        <v>158</v>
      </c>
      <c r="E580" s="299" t="s">
        <v>741</v>
      </c>
      <c r="F580" s="299"/>
      <c r="G580" s="297">
        <f>G581</f>
        <v>5671.9749700000011</v>
      </c>
      <c r="H580" s="532"/>
      <c r="I580" s="532"/>
      <c r="J580" s="302"/>
    </row>
    <row r="581" spans="1:10" s="129" customFormat="1" ht="15.75" x14ac:dyDescent="0.25">
      <c r="A581" s="345" t="s">
        <v>377</v>
      </c>
      <c r="B581" s="591">
        <v>903</v>
      </c>
      <c r="C581" s="346" t="s">
        <v>171</v>
      </c>
      <c r="D581" s="346" t="s">
        <v>158</v>
      </c>
      <c r="E581" s="346" t="s">
        <v>742</v>
      </c>
      <c r="F581" s="346"/>
      <c r="G581" s="300">
        <f>G582+G584+G586</f>
        <v>5671.9749700000011</v>
      </c>
      <c r="H581" s="532"/>
      <c r="I581" s="532"/>
      <c r="J581" s="302"/>
    </row>
    <row r="582" spans="1:10" s="129" customFormat="1" ht="63" x14ac:dyDescent="0.25">
      <c r="A582" s="345" t="s">
        <v>119</v>
      </c>
      <c r="B582" s="591">
        <v>903</v>
      </c>
      <c r="C582" s="346" t="s">
        <v>171</v>
      </c>
      <c r="D582" s="346" t="s">
        <v>158</v>
      </c>
      <c r="E582" s="346" t="s">
        <v>742</v>
      </c>
      <c r="F582" s="346" t="s">
        <v>120</v>
      </c>
      <c r="G582" s="300">
        <f>G583</f>
        <v>4735.3232400000006</v>
      </c>
      <c r="H582" s="532"/>
      <c r="I582" s="532"/>
      <c r="J582" s="302"/>
    </row>
    <row r="583" spans="1:10" s="129" customFormat="1" ht="15.75" x14ac:dyDescent="0.25">
      <c r="A583" s="345" t="s">
        <v>155</v>
      </c>
      <c r="B583" s="591">
        <v>903</v>
      </c>
      <c r="C583" s="346" t="s">
        <v>171</v>
      </c>
      <c r="D583" s="346" t="s">
        <v>158</v>
      </c>
      <c r="E583" s="346" t="s">
        <v>742</v>
      </c>
      <c r="F583" s="346" t="s">
        <v>156</v>
      </c>
      <c r="G583" s="18">
        <f>4894.5-218-312.4-237.8+12+0.1-80+84-0.07676+293+300</f>
        <v>4735.3232400000006</v>
      </c>
      <c r="H583" s="532"/>
      <c r="I583" s="532"/>
      <c r="J583" s="310"/>
    </row>
    <row r="584" spans="1:10" s="129" customFormat="1" ht="31.5" x14ac:dyDescent="0.25">
      <c r="A584" s="345" t="s">
        <v>123</v>
      </c>
      <c r="B584" s="591">
        <v>903</v>
      </c>
      <c r="C584" s="346" t="s">
        <v>171</v>
      </c>
      <c r="D584" s="346" t="s">
        <v>158</v>
      </c>
      <c r="E584" s="346" t="s">
        <v>742</v>
      </c>
      <c r="F584" s="346" t="s">
        <v>124</v>
      </c>
      <c r="G584" s="300">
        <f>G585</f>
        <v>753.14800000000002</v>
      </c>
      <c r="H584" s="532"/>
      <c r="I584" s="532"/>
      <c r="J584" s="302"/>
    </row>
    <row r="585" spans="1:10" s="129" customFormat="1" ht="31.5" x14ac:dyDescent="0.25">
      <c r="A585" s="345" t="s">
        <v>125</v>
      </c>
      <c r="B585" s="591">
        <v>903</v>
      </c>
      <c r="C585" s="346" t="s">
        <v>171</v>
      </c>
      <c r="D585" s="346" t="s">
        <v>158</v>
      </c>
      <c r="E585" s="346" t="s">
        <v>742</v>
      </c>
      <c r="F585" s="346" t="s">
        <v>126</v>
      </c>
      <c r="G585" s="18">
        <f>890.25+30+0.3+18.1-12-65-84-6.5-3-20-0.002+5</f>
        <v>753.14800000000002</v>
      </c>
      <c r="H585" s="532"/>
      <c r="I585" s="532"/>
      <c r="J585" s="302"/>
    </row>
    <row r="586" spans="1:10" s="129" customFormat="1" ht="15.75" x14ac:dyDescent="0.25">
      <c r="A586" s="345" t="s">
        <v>127</v>
      </c>
      <c r="B586" s="591">
        <v>903</v>
      </c>
      <c r="C586" s="346" t="s">
        <v>171</v>
      </c>
      <c r="D586" s="346" t="s">
        <v>158</v>
      </c>
      <c r="E586" s="346" t="s">
        <v>742</v>
      </c>
      <c r="F586" s="346" t="s">
        <v>134</v>
      </c>
      <c r="G586" s="300">
        <f>G587</f>
        <v>183.50372999999999</v>
      </c>
      <c r="H586" s="532"/>
      <c r="I586" s="532"/>
      <c r="J586" s="302"/>
    </row>
    <row r="587" spans="1:10" s="129" customFormat="1" ht="15.75" x14ac:dyDescent="0.25">
      <c r="A587" s="345" t="s">
        <v>280</v>
      </c>
      <c r="B587" s="591">
        <v>903</v>
      </c>
      <c r="C587" s="346" t="s">
        <v>171</v>
      </c>
      <c r="D587" s="346" t="s">
        <v>158</v>
      </c>
      <c r="E587" s="346" t="s">
        <v>742</v>
      </c>
      <c r="F587" s="346" t="s">
        <v>130</v>
      </c>
      <c r="G587" s="300">
        <f>10.5+0.1+65+80+3+20-0.09627+10-5</f>
        <v>183.50372999999999</v>
      </c>
      <c r="H587" s="532"/>
      <c r="I587" s="532"/>
      <c r="J587" s="302"/>
    </row>
    <row r="588" spans="1:10" s="129" customFormat="1" ht="31.5" hidden="1" x14ac:dyDescent="0.25">
      <c r="A588" s="298" t="s">
        <v>512</v>
      </c>
      <c r="B588" s="296">
        <v>903</v>
      </c>
      <c r="C588" s="299" t="s">
        <v>171</v>
      </c>
      <c r="D588" s="299" t="s">
        <v>158</v>
      </c>
      <c r="E588" s="299" t="s">
        <v>746</v>
      </c>
      <c r="F588" s="299"/>
      <c r="G588" s="297">
        <f t="shared" ref="G588:G590" si="36">G589</f>
        <v>0</v>
      </c>
      <c r="H588" s="532"/>
      <c r="I588" s="532"/>
      <c r="J588" s="302"/>
    </row>
    <row r="589" spans="1:10" s="129" customFormat="1" ht="31.5" hidden="1" x14ac:dyDescent="0.25">
      <c r="A589" s="345" t="s">
        <v>414</v>
      </c>
      <c r="B589" s="591">
        <v>903</v>
      </c>
      <c r="C589" s="346" t="s">
        <v>171</v>
      </c>
      <c r="D589" s="346" t="s">
        <v>158</v>
      </c>
      <c r="E589" s="346" t="s">
        <v>747</v>
      </c>
      <c r="F589" s="346"/>
      <c r="G589" s="300">
        <f t="shared" si="36"/>
        <v>0</v>
      </c>
      <c r="H589" s="532"/>
      <c r="I589" s="532"/>
      <c r="J589" s="302"/>
    </row>
    <row r="590" spans="1:10" s="129" customFormat="1" ht="63" hidden="1" x14ac:dyDescent="0.25">
      <c r="A590" s="345" t="s">
        <v>119</v>
      </c>
      <c r="B590" s="591">
        <v>903</v>
      </c>
      <c r="C590" s="346" t="s">
        <v>171</v>
      </c>
      <c r="D590" s="346" t="s">
        <v>158</v>
      </c>
      <c r="E590" s="346" t="s">
        <v>747</v>
      </c>
      <c r="F590" s="346" t="s">
        <v>120</v>
      </c>
      <c r="G590" s="300">
        <f t="shared" si="36"/>
        <v>0</v>
      </c>
      <c r="H590" s="532"/>
      <c r="I590" s="532"/>
      <c r="J590" s="302"/>
    </row>
    <row r="591" spans="1:10" s="129" customFormat="1" ht="15.75" hidden="1" x14ac:dyDescent="0.25">
      <c r="A591" s="345" t="s">
        <v>155</v>
      </c>
      <c r="B591" s="591">
        <v>903</v>
      </c>
      <c r="C591" s="346" t="s">
        <v>171</v>
      </c>
      <c r="D591" s="346" t="s">
        <v>158</v>
      </c>
      <c r="E591" s="346" t="s">
        <v>747</v>
      </c>
      <c r="F591" s="346" t="s">
        <v>156</v>
      </c>
      <c r="G591" s="300">
        <f>258-258</f>
        <v>0</v>
      </c>
      <c r="H591" s="532"/>
      <c r="I591" s="532"/>
      <c r="J591" s="302"/>
    </row>
    <row r="592" spans="1:10" s="129" customFormat="1" ht="47.25" x14ac:dyDescent="0.25">
      <c r="A592" s="340" t="s">
        <v>845</v>
      </c>
      <c r="B592" s="296">
        <v>903</v>
      </c>
      <c r="C592" s="299" t="s">
        <v>171</v>
      </c>
      <c r="D592" s="299" t="s">
        <v>158</v>
      </c>
      <c r="E592" s="299" t="s">
        <v>339</v>
      </c>
      <c r="F592" s="304"/>
      <c r="G592" s="297">
        <f>G594</f>
        <v>78</v>
      </c>
      <c r="H592" s="532"/>
      <c r="I592" s="532"/>
      <c r="J592" s="302"/>
    </row>
    <row r="593" spans="1:10" s="129" customFormat="1" ht="47.25" x14ac:dyDescent="0.25">
      <c r="A593" s="340" t="s">
        <v>461</v>
      </c>
      <c r="B593" s="296">
        <v>903</v>
      </c>
      <c r="C593" s="299" t="s">
        <v>171</v>
      </c>
      <c r="D593" s="299" t="s">
        <v>158</v>
      </c>
      <c r="E593" s="299" t="s">
        <v>459</v>
      </c>
      <c r="F593" s="304"/>
      <c r="G593" s="297">
        <f t="shared" ref="G593:G595" si="37">G594</f>
        <v>78</v>
      </c>
      <c r="H593" s="532"/>
      <c r="I593" s="532"/>
      <c r="J593" s="302"/>
    </row>
    <row r="594" spans="1:10" s="129" customFormat="1" ht="31.5" x14ac:dyDescent="0.25">
      <c r="A594" s="67" t="s">
        <v>565</v>
      </c>
      <c r="B594" s="591">
        <v>903</v>
      </c>
      <c r="C594" s="346" t="s">
        <v>171</v>
      </c>
      <c r="D594" s="346" t="s">
        <v>158</v>
      </c>
      <c r="E594" s="346" t="s">
        <v>460</v>
      </c>
      <c r="F594" s="301"/>
      <c r="G594" s="300">
        <f t="shared" si="37"/>
        <v>78</v>
      </c>
      <c r="H594" s="532"/>
      <c r="I594" s="532"/>
      <c r="J594" s="302"/>
    </row>
    <row r="595" spans="1:10" s="129" customFormat="1" ht="31.5" x14ac:dyDescent="0.25">
      <c r="A595" s="345" t="s">
        <v>123</v>
      </c>
      <c r="B595" s="591">
        <v>903</v>
      </c>
      <c r="C595" s="346" t="s">
        <v>171</v>
      </c>
      <c r="D595" s="346" t="s">
        <v>158</v>
      </c>
      <c r="E595" s="346" t="s">
        <v>460</v>
      </c>
      <c r="F595" s="301" t="s">
        <v>124</v>
      </c>
      <c r="G595" s="300">
        <f t="shared" si="37"/>
        <v>78</v>
      </c>
      <c r="H595" s="532"/>
      <c r="I595" s="532"/>
      <c r="J595" s="302"/>
    </row>
    <row r="596" spans="1:10" s="129" customFormat="1" ht="31.5" x14ac:dyDescent="0.25">
      <c r="A596" s="345" t="s">
        <v>125</v>
      </c>
      <c r="B596" s="591">
        <v>903</v>
      </c>
      <c r="C596" s="346" t="s">
        <v>171</v>
      </c>
      <c r="D596" s="346" t="s">
        <v>158</v>
      </c>
      <c r="E596" s="346" t="s">
        <v>460</v>
      </c>
      <c r="F596" s="301" t="s">
        <v>126</v>
      </c>
      <c r="G596" s="300">
        <f>74.9+3.1</f>
        <v>78</v>
      </c>
      <c r="H596" s="532"/>
      <c r="I596" s="532"/>
      <c r="J596" s="302"/>
    </row>
    <row r="597" spans="1:10" s="129" customFormat="1" ht="31.5" x14ac:dyDescent="0.25">
      <c r="A597" s="296" t="s">
        <v>1116</v>
      </c>
      <c r="B597" s="296">
        <v>904</v>
      </c>
      <c r="C597" s="299"/>
      <c r="D597" s="299"/>
      <c r="E597" s="299"/>
      <c r="F597" s="304"/>
      <c r="G597" s="297">
        <f>G598</f>
        <v>3475.85</v>
      </c>
      <c r="H597" s="532"/>
      <c r="I597" s="532"/>
      <c r="J597" s="302"/>
    </row>
    <row r="598" spans="1:10" s="344" customFormat="1" ht="15.75" x14ac:dyDescent="0.25">
      <c r="A598" s="298" t="s">
        <v>115</v>
      </c>
      <c r="B598" s="296">
        <v>904</v>
      </c>
      <c r="C598" s="299" t="s">
        <v>116</v>
      </c>
      <c r="D598" s="299"/>
      <c r="E598" s="299"/>
      <c r="F598" s="304"/>
      <c r="G598" s="297">
        <f>G599</f>
        <v>3475.85</v>
      </c>
      <c r="H598" s="532"/>
      <c r="I598" s="532"/>
      <c r="J598" s="302"/>
    </row>
    <row r="599" spans="1:10" s="129" customFormat="1" ht="47.25" x14ac:dyDescent="0.25">
      <c r="A599" s="298" t="s">
        <v>117</v>
      </c>
      <c r="B599" s="296">
        <v>904</v>
      </c>
      <c r="C599" s="299" t="s">
        <v>116</v>
      </c>
      <c r="D599" s="299" t="s">
        <v>118</v>
      </c>
      <c r="E599" s="299"/>
      <c r="F599" s="299"/>
      <c r="G599" s="297">
        <f t="shared" ref="G599:G600" si="38">G600</f>
        <v>3475.85</v>
      </c>
      <c r="H599" s="532"/>
      <c r="I599" s="532"/>
      <c r="J599" s="302"/>
    </row>
    <row r="600" spans="1:10" s="129" customFormat="1" ht="31.5" x14ac:dyDescent="0.25">
      <c r="A600" s="298" t="s">
        <v>486</v>
      </c>
      <c r="B600" s="296">
        <v>904</v>
      </c>
      <c r="C600" s="299" t="s">
        <v>116</v>
      </c>
      <c r="D600" s="299" t="s">
        <v>118</v>
      </c>
      <c r="E600" s="299" t="s">
        <v>432</v>
      </c>
      <c r="F600" s="299"/>
      <c r="G600" s="297">
        <f t="shared" si="38"/>
        <v>3475.85</v>
      </c>
      <c r="H600" s="532"/>
      <c r="I600" s="532"/>
      <c r="J600" s="302"/>
    </row>
    <row r="601" spans="1:10" s="129" customFormat="1" ht="31.5" x14ac:dyDescent="0.25">
      <c r="A601" s="298" t="s">
        <v>1107</v>
      </c>
      <c r="B601" s="296">
        <v>904</v>
      </c>
      <c r="C601" s="299" t="s">
        <v>116</v>
      </c>
      <c r="D601" s="299" t="s">
        <v>118</v>
      </c>
      <c r="E601" s="299" t="s">
        <v>1108</v>
      </c>
      <c r="F601" s="299"/>
      <c r="G601" s="297">
        <f>G602+G609</f>
        <v>3475.85</v>
      </c>
      <c r="H601" s="532"/>
      <c r="I601" s="532"/>
      <c r="J601" s="302"/>
    </row>
    <row r="602" spans="1:10" s="129" customFormat="1" ht="31.5" x14ac:dyDescent="0.25">
      <c r="A602" s="345" t="s">
        <v>466</v>
      </c>
      <c r="B602" s="591">
        <v>904</v>
      </c>
      <c r="C602" s="346" t="s">
        <v>116</v>
      </c>
      <c r="D602" s="346" t="s">
        <v>118</v>
      </c>
      <c r="E602" s="346" t="s">
        <v>1111</v>
      </c>
      <c r="F602" s="346"/>
      <c r="G602" s="300">
        <f>G603+G605+G607</f>
        <v>787.56</v>
      </c>
      <c r="H602" s="532"/>
      <c r="I602" s="532"/>
      <c r="J602" s="302"/>
    </row>
    <row r="603" spans="1:10" s="129" customFormat="1" ht="63" x14ac:dyDescent="0.25">
      <c r="A603" s="345" t="s">
        <v>119</v>
      </c>
      <c r="B603" s="591">
        <v>904</v>
      </c>
      <c r="C603" s="346" t="s">
        <v>116</v>
      </c>
      <c r="D603" s="346" t="s">
        <v>118</v>
      </c>
      <c r="E603" s="346" t="s">
        <v>1111</v>
      </c>
      <c r="F603" s="346" t="s">
        <v>120</v>
      </c>
      <c r="G603" s="300">
        <f>G604</f>
        <v>773.51</v>
      </c>
      <c r="H603" s="532"/>
      <c r="I603" s="532"/>
      <c r="J603" s="302"/>
    </row>
    <row r="604" spans="1:10" s="129" customFormat="1" ht="31.5" x14ac:dyDescent="0.25">
      <c r="A604" s="345" t="s">
        <v>121</v>
      </c>
      <c r="B604" s="591">
        <v>904</v>
      </c>
      <c r="C604" s="346" t="s">
        <v>116</v>
      </c>
      <c r="D604" s="346" t="s">
        <v>118</v>
      </c>
      <c r="E604" s="346" t="s">
        <v>1111</v>
      </c>
      <c r="F604" s="346" t="s">
        <v>122</v>
      </c>
      <c r="G604" s="300">
        <f>596.05+177.51-0.05</f>
        <v>773.51</v>
      </c>
      <c r="H604" s="532"/>
      <c r="I604" s="532"/>
      <c r="J604" s="302"/>
    </row>
    <row r="605" spans="1:10" s="129" customFormat="1" ht="31.5" x14ac:dyDescent="0.25">
      <c r="A605" s="345" t="s">
        <v>153</v>
      </c>
      <c r="B605" s="591">
        <v>904</v>
      </c>
      <c r="C605" s="346" t="s">
        <v>116</v>
      </c>
      <c r="D605" s="346" t="s">
        <v>118</v>
      </c>
      <c r="E605" s="346" t="s">
        <v>1111</v>
      </c>
      <c r="F605" s="346" t="s">
        <v>124</v>
      </c>
      <c r="G605" s="300">
        <f>G606</f>
        <v>13</v>
      </c>
      <c r="H605" s="532"/>
      <c r="I605" s="532"/>
      <c r="J605" s="302"/>
    </row>
    <row r="606" spans="1:10" s="129" customFormat="1" ht="31.5" x14ac:dyDescent="0.25">
      <c r="A606" s="345" t="s">
        <v>125</v>
      </c>
      <c r="B606" s="591">
        <v>904</v>
      </c>
      <c r="C606" s="346" t="s">
        <v>116</v>
      </c>
      <c r="D606" s="346" t="s">
        <v>118</v>
      </c>
      <c r="E606" s="346" t="s">
        <v>1111</v>
      </c>
      <c r="F606" s="346" t="s">
        <v>126</v>
      </c>
      <c r="G606" s="300">
        <f>93-80</f>
        <v>13</v>
      </c>
      <c r="H606" s="532"/>
      <c r="I606" s="532"/>
      <c r="J606" s="302"/>
    </row>
    <row r="607" spans="1:10" s="344" customFormat="1" ht="15.75" x14ac:dyDescent="0.25">
      <c r="A607" s="345" t="s">
        <v>127</v>
      </c>
      <c r="B607" s="591">
        <v>904</v>
      </c>
      <c r="C607" s="346" t="s">
        <v>116</v>
      </c>
      <c r="D607" s="346" t="s">
        <v>118</v>
      </c>
      <c r="E607" s="346" t="s">
        <v>1111</v>
      </c>
      <c r="F607" s="346" t="s">
        <v>134</v>
      </c>
      <c r="G607" s="300">
        <f>G608</f>
        <v>1.05</v>
      </c>
      <c r="H607" s="532"/>
      <c r="I607" s="532"/>
      <c r="J607" s="302"/>
    </row>
    <row r="608" spans="1:10" s="344" customFormat="1" ht="15.75" x14ac:dyDescent="0.25">
      <c r="A608" s="345" t="s">
        <v>280</v>
      </c>
      <c r="B608" s="591">
        <v>904</v>
      </c>
      <c r="C608" s="346" t="s">
        <v>116</v>
      </c>
      <c r="D608" s="346" t="s">
        <v>118</v>
      </c>
      <c r="E608" s="346" t="s">
        <v>1111</v>
      </c>
      <c r="F608" s="346" t="s">
        <v>130</v>
      </c>
      <c r="G608" s="300">
        <f>1+0.05</f>
        <v>1.05</v>
      </c>
      <c r="H608" s="532"/>
      <c r="I608" s="532"/>
      <c r="J608" s="302"/>
    </row>
    <row r="609" spans="1:11" s="129" customFormat="1" ht="47.25" x14ac:dyDescent="0.25">
      <c r="A609" s="345" t="s">
        <v>1109</v>
      </c>
      <c r="B609" s="591">
        <v>904</v>
      </c>
      <c r="C609" s="346" t="s">
        <v>116</v>
      </c>
      <c r="D609" s="346" t="s">
        <v>118</v>
      </c>
      <c r="E609" s="346" t="s">
        <v>1110</v>
      </c>
      <c r="F609" s="346"/>
      <c r="G609" s="300">
        <f>G610</f>
        <v>2688.29</v>
      </c>
      <c r="H609" s="532"/>
      <c r="I609" s="532"/>
      <c r="J609" s="302"/>
    </row>
    <row r="610" spans="1:11" s="129" customFormat="1" ht="63" x14ac:dyDescent="0.25">
      <c r="A610" s="345" t="s">
        <v>119</v>
      </c>
      <c r="B610" s="591">
        <v>904</v>
      </c>
      <c r="C610" s="346" t="s">
        <v>116</v>
      </c>
      <c r="D610" s="346" t="s">
        <v>118</v>
      </c>
      <c r="E610" s="346" t="s">
        <v>1110</v>
      </c>
      <c r="F610" s="346" t="s">
        <v>120</v>
      </c>
      <c r="G610" s="300">
        <f>G611</f>
        <v>2688.29</v>
      </c>
      <c r="H610" s="532"/>
      <c r="I610" s="532"/>
      <c r="J610" s="302"/>
    </row>
    <row r="611" spans="1:11" s="129" customFormat="1" ht="31.5" x14ac:dyDescent="0.25">
      <c r="A611" s="345" t="s">
        <v>121</v>
      </c>
      <c r="B611" s="591">
        <v>904</v>
      </c>
      <c r="C611" s="346" t="s">
        <v>116</v>
      </c>
      <c r="D611" s="346" t="s">
        <v>118</v>
      </c>
      <c r="E611" s="346" t="s">
        <v>1110</v>
      </c>
      <c r="F611" s="346" t="s">
        <v>122</v>
      </c>
      <c r="G611" s="300">
        <f>2133.12+27.8-1+80+448.37</f>
        <v>2688.29</v>
      </c>
      <c r="H611" s="532"/>
      <c r="I611" s="532"/>
      <c r="J611" s="302"/>
    </row>
    <row r="612" spans="1:11" s="344" customFormat="1" ht="31.5" hidden="1" x14ac:dyDescent="0.25">
      <c r="A612" s="345" t="s">
        <v>414</v>
      </c>
      <c r="B612" s="591">
        <v>901</v>
      </c>
      <c r="C612" s="346" t="s">
        <v>116</v>
      </c>
      <c r="D612" s="346" t="s">
        <v>118</v>
      </c>
      <c r="E612" s="346" t="s">
        <v>1175</v>
      </c>
      <c r="F612" s="346"/>
      <c r="G612" s="300">
        <f>G613</f>
        <v>0</v>
      </c>
      <c r="H612" s="532"/>
      <c r="I612" s="532"/>
      <c r="J612" s="302"/>
    </row>
    <row r="613" spans="1:11" s="344" customFormat="1" ht="63" hidden="1" x14ac:dyDescent="0.25">
      <c r="A613" s="345" t="s">
        <v>119</v>
      </c>
      <c r="B613" s="591">
        <v>901</v>
      </c>
      <c r="C613" s="346" t="s">
        <v>116</v>
      </c>
      <c r="D613" s="346" t="s">
        <v>118</v>
      </c>
      <c r="E613" s="346" t="s">
        <v>1175</v>
      </c>
      <c r="F613" s="346" t="s">
        <v>120</v>
      </c>
      <c r="G613" s="300">
        <f>G614</f>
        <v>0</v>
      </c>
      <c r="H613" s="532"/>
      <c r="I613" s="532"/>
      <c r="J613" s="302"/>
    </row>
    <row r="614" spans="1:11" s="344" customFormat="1" ht="31.5" hidden="1" x14ac:dyDescent="0.25">
      <c r="A614" s="345" t="s">
        <v>121</v>
      </c>
      <c r="B614" s="591">
        <v>904</v>
      </c>
      <c r="C614" s="346" t="s">
        <v>116</v>
      </c>
      <c r="D614" s="346" t="s">
        <v>118</v>
      </c>
      <c r="E614" s="346" t="s">
        <v>1175</v>
      </c>
      <c r="F614" s="346" t="s">
        <v>122</v>
      </c>
      <c r="G614" s="300"/>
      <c r="H614" s="532"/>
      <c r="I614" s="532"/>
      <c r="J614" s="302"/>
    </row>
    <row r="615" spans="1:11" ht="31.5" x14ac:dyDescent="0.25">
      <c r="A615" s="296" t="s">
        <v>229</v>
      </c>
      <c r="B615" s="296">
        <v>905</v>
      </c>
      <c r="C615" s="346"/>
      <c r="D615" s="346"/>
      <c r="E615" s="346"/>
      <c r="F615" s="346"/>
      <c r="G615" s="297">
        <f>G616+G658+G668</f>
        <v>30531.423510000001</v>
      </c>
      <c r="H615" s="533"/>
      <c r="I615" s="533"/>
      <c r="J615" s="302"/>
      <c r="K615" s="129"/>
    </row>
    <row r="616" spans="1:11" ht="15.75" x14ac:dyDescent="0.25">
      <c r="A616" s="298" t="s">
        <v>115</v>
      </c>
      <c r="B616" s="296">
        <v>905</v>
      </c>
      <c r="C616" s="299" t="s">
        <v>116</v>
      </c>
      <c r="D616" s="346"/>
      <c r="E616" s="346"/>
      <c r="F616" s="346"/>
      <c r="G616" s="297">
        <f>G617+G636</f>
        <v>29999.836510000001</v>
      </c>
      <c r="H616" s="532"/>
      <c r="I616" s="532"/>
      <c r="J616" s="302"/>
      <c r="K616" s="129"/>
    </row>
    <row r="617" spans="1:11" ht="65.25" customHeight="1" x14ac:dyDescent="0.25">
      <c r="A617" s="298" t="s">
        <v>138</v>
      </c>
      <c r="B617" s="296">
        <v>905</v>
      </c>
      <c r="C617" s="299" t="s">
        <v>116</v>
      </c>
      <c r="D617" s="299" t="s">
        <v>139</v>
      </c>
      <c r="E617" s="299"/>
      <c r="F617" s="299"/>
      <c r="G617" s="297">
        <f>G618</f>
        <v>15391.44296</v>
      </c>
      <c r="H617" s="532"/>
      <c r="I617" s="532"/>
      <c r="J617" s="302"/>
      <c r="K617" s="129"/>
    </row>
    <row r="618" spans="1:11" ht="31.5" x14ac:dyDescent="0.25">
      <c r="A618" s="298" t="s">
        <v>486</v>
      </c>
      <c r="B618" s="296">
        <v>905</v>
      </c>
      <c r="C618" s="299" t="s">
        <v>116</v>
      </c>
      <c r="D618" s="299" t="s">
        <v>139</v>
      </c>
      <c r="E618" s="299" t="s">
        <v>432</v>
      </c>
      <c r="F618" s="299"/>
      <c r="G618" s="297">
        <f>G619+G630</f>
        <v>15391.44296</v>
      </c>
      <c r="H618" s="532"/>
      <c r="I618" s="532"/>
      <c r="J618" s="302"/>
      <c r="K618" s="129"/>
    </row>
    <row r="619" spans="1:11" ht="15.75" x14ac:dyDescent="0.25">
      <c r="A619" s="298" t="s">
        <v>487</v>
      </c>
      <c r="B619" s="296">
        <v>905</v>
      </c>
      <c r="C619" s="299" t="s">
        <v>116</v>
      </c>
      <c r="D619" s="299" t="s">
        <v>139</v>
      </c>
      <c r="E619" s="299" t="s">
        <v>433</v>
      </c>
      <c r="F619" s="299"/>
      <c r="G619" s="297">
        <f>G620+G627</f>
        <v>15391.44296</v>
      </c>
      <c r="H619" s="532"/>
      <c r="I619" s="532"/>
      <c r="J619" s="302"/>
      <c r="K619" s="129"/>
    </row>
    <row r="620" spans="1:11" ht="28.5" customHeight="1" x14ac:dyDescent="0.25">
      <c r="A620" s="345" t="s">
        <v>466</v>
      </c>
      <c r="B620" s="591">
        <v>905</v>
      </c>
      <c r="C620" s="346" t="s">
        <v>116</v>
      </c>
      <c r="D620" s="346" t="s">
        <v>139</v>
      </c>
      <c r="E620" s="346" t="s">
        <v>434</v>
      </c>
      <c r="F620" s="346"/>
      <c r="G620" s="300">
        <f>G621+G623+G625</f>
        <v>15096.24296</v>
      </c>
      <c r="H620" s="532"/>
      <c r="I620" s="532"/>
      <c r="J620" s="302"/>
      <c r="K620" s="129"/>
    </row>
    <row r="621" spans="1:11" ht="63" x14ac:dyDescent="0.25">
      <c r="A621" s="345" t="s">
        <v>119</v>
      </c>
      <c r="B621" s="591">
        <v>905</v>
      </c>
      <c r="C621" s="346" t="s">
        <v>116</v>
      </c>
      <c r="D621" s="346" t="s">
        <v>139</v>
      </c>
      <c r="E621" s="346" t="s">
        <v>434</v>
      </c>
      <c r="F621" s="346" t="s">
        <v>120</v>
      </c>
      <c r="G621" s="300">
        <f>G622</f>
        <v>14393.43</v>
      </c>
      <c r="H621" s="532"/>
      <c r="I621" s="532"/>
      <c r="J621" s="302"/>
      <c r="K621" s="129"/>
    </row>
    <row r="622" spans="1:11" ht="31.5" x14ac:dyDescent="0.25">
      <c r="A622" s="345" t="s">
        <v>121</v>
      </c>
      <c r="B622" s="591">
        <v>905</v>
      </c>
      <c r="C622" s="346" t="s">
        <v>116</v>
      </c>
      <c r="D622" s="346" t="s">
        <v>139</v>
      </c>
      <c r="E622" s="346" t="s">
        <v>434</v>
      </c>
      <c r="F622" s="346" t="s">
        <v>122</v>
      </c>
      <c r="G622" s="18">
        <f>11821.6+16.4+2546.63+3.8+5</f>
        <v>14393.43</v>
      </c>
      <c r="H622" s="532"/>
      <c r="I622" s="532"/>
      <c r="J622" s="310"/>
      <c r="K622" s="311"/>
    </row>
    <row r="623" spans="1:11" ht="31.5" x14ac:dyDescent="0.25">
      <c r="A623" s="345" t="s">
        <v>123</v>
      </c>
      <c r="B623" s="591">
        <v>905</v>
      </c>
      <c r="C623" s="346" t="s">
        <v>116</v>
      </c>
      <c r="D623" s="346" t="s">
        <v>139</v>
      </c>
      <c r="E623" s="346" t="s">
        <v>434</v>
      </c>
      <c r="F623" s="346" t="s">
        <v>124</v>
      </c>
      <c r="G623" s="300">
        <f>G624</f>
        <v>548.18895999999995</v>
      </c>
      <c r="H623" s="532"/>
      <c r="I623" s="532"/>
      <c r="J623" s="302"/>
      <c r="K623" s="129"/>
    </row>
    <row r="624" spans="1:11" ht="31.5" x14ac:dyDescent="0.25">
      <c r="A624" s="345" t="s">
        <v>125</v>
      </c>
      <c r="B624" s="591">
        <v>905</v>
      </c>
      <c r="C624" s="346" t="s">
        <v>116</v>
      </c>
      <c r="D624" s="346" t="s">
        <v>139</v>
      </c>
      <c r="E624" s="346" t="s">
        <v>434</v>
      </c>
      <c r="F624" s="346" t="s">
        <v>126</v>
      </c>
      <c r="G624" s="18">
        <f>410+200+50-7.187+34+6.37596-94.569-135.431+10+25+50</f>
        <v>548.18895999999995</v>
      </c>
      <c r="H624" s="532"/>
      <c r="I624" s="532"/>
      <c r="J624" s="310"/>
      <c r="K624" s="129"/>
    </row>
    <row r="625" spans="1:11" ht="15.75" x14ac:dyDescent="0.25">
      <c r="A625" s="345" t="s">
        <v>127</v>
      </c>
      <c r="B625" s="591">
        <v>905</v>
      </c>
      <c r="C625" s="346" t="s">
        <v>116</v>
      </c>
      <c r="D625" s="346" t="s">
        <v>139</v>
      </c>
      <c r="E625" s="346" t="s">
        <v>434</v>
      </c>
      <c r="F625" s="346" t="s">
        <v>134</v>
      </c>
      <c r="G625" s="300">
        <f>G626</f>
        <v>154.624</v>
      </c>
      <c r="H625" s="532"/>
      <c r="I625" s="532"/>
      <c r="J625" s="302"/>
      <c r="K625" s="129"/>
    </row>
    <row r="626" spans="1:11" ht="15.75" x14ac:dyDescent="0.25">
      <c r="A626" s="345" t="s">
        <v>280</v>
      </c>
      <c r="B626" s="591">
        <v>905</v>
      </c>
      <c r="C626" s="346" t="s">
        <v>116</v>
      </c>
      <c r="D626" s="346" t="s">
        <v>139</v>
      </c>
      <c r="E626" s="346" t="s">
        <v>434</v>
      </c>
      <c r="F626" s="346" t="s">
        <v>130</v>
      </c>
      <c r="G626" s="300">
        <f>131+23.624</f>
        <v>154.624</v>
      </c>
      <c r="H626" s="532"/>
      <c r="I626" s="532"/>
      <c r="J626" s="310"/>
      <c r="K626" s="311"/>
    </row>
    <row r="627" spans="1:11" s="129" customFormat="1" ht="31.5" x14ac:dyDescent="0.25">
      <c r="A627" s="345" t="s">
        <v>414</v>
      </c>
      <c r="B627" s="591">
        <v>905</v>
      </c>
      <c r="C627" s="346" t="s">
        <v>116</v>
      </c>
      <c r="D627" s="346" t="s">
        <v>139</v>
      </c>
      <c r="E627" s="346" t="s">
        <v>436</v>
      </c>
      <c r="F627" s="346"/>
      <c r="G627" s="300">
        <f>G628</f>
        <v>295.2</v>
      </c>
      <c r="H627" s="532"/>
      <c r="I627" s="532"/>
      <c r="J627" s="302"/>
    </row>
    <row r="628" spans="1:11" s="129" customFormat="1" ht="63" x14ac:dyDescent="0.25">
      <c r="A628" s="345" t="s">
        <v>119</v>
      </c>
      <c r="B628" s="591">
        <v>905</v>
      </c>
      <c r="C628" s="346" t="s">
        <v>116</v>
      </c>
      <c r="D628" s="346" t="s">
        <v>139</v>
      </c>
      <c r="E628" s="346" t="s">
        <v>436</v>
      </c>
      <c r="F628" s="346" t="s">
        <v>120</v>
      </c>
      <c r="G628" s="300">
        <f>G629</f>
        <v>295.2</v>
      </c>
      <c r="H628" s="532"/>
      <c r="I628" s="532"/>
      <c r="J628" s="302"/>
    </row>
    <row r="629" spans="1:11" s="129" customFormat="1" ht="31.5" x14ac:dyDescent="0.25">
      <c r="A629" s="345" t="s">
        <v>121</v>
      </c>
      <c r="B629" s="591">
        <v>905</v>
      </c>
      <c r="C629" s="346" t="s">
        <v>116</v>
      </c>
      <c r="D629" s="346" t="s">
        <v>139</v>
      </c>
      <c r="E629" s="346" t="s">
        <v>436</v>
      </c>
      <c r="F629" s="346" t="s">
        <v>122</v>
      </c>
      <c r="G629" s="300">
        <f>473-11.62404-162.37596-3.8</f>
        <v>295.2</v>
      </c>
      <c r="H629" s="532"/>
      <c r="I629" s="532"/>
      <c r="J629" s="302"/>
    </row>
    <row r="630" spans="1:11" s="129" customFormat="1" ht="31.5" hidden="1" x14ac:dyDescent="0.25">
      <c r="A630" s="298" t="s">
        <v>458</v>
      </c>
      <c r="B630" s="296">
        <v>905</v>
      </c>
      <c r="C630" s="299" t="s">
        <v>116</v>
      </c>
      <c r="D630" s="299" t="s">
        <v>139</v>
      </c>
      <c r="E630" s="299" t="s">
        <v>437</v>
      </c>
      <c r="F630" s="299"/>
      <c r="G630" s="297">
        <f t="shared" ref="G630:G632" si="39">G631</f>
        <v>0</v>
      </c>
      <c r="H630" s="532"/>
      <c r="I630" s="532"/>
      <c r="J630" s="302"/>
    </row>
    <row r="631" spans="1:11" s="129" customFormat="1" ht="77.45" hidden="1" customHeight="1" x14ac:dyDescent="0.25">
      <c r="A631" s="22" t="s">
        <v>717</v>
      </c>
      <c r="B631" s="591">
        <v>905</v>
      </c>
      <c r="C631" s="346" t="s">
        <v>116</v>
      </c>
      <c r="D631" s="346" t="s">
        <v>139</v>
      </c>
      <c r="E631" s="346" t="s">
        <v>716</v>
      </c>
      <c r="F631" s="346"/>
      <c r="G631" s="300">
        <f>G632+G634</f>
        <v>0</v>
      </c>
      <c r="H631" s="532"/>
      <c r="I631" s="532"/>
      <c r="J631" s="302"/>
    </row>
    <row r="632" spans="1:11" s="129" customFormat="1" ht="63" hidden="1" x14ac:dyDescent="0.25">
      <c r="A632" s="345" t="s">
        <v>119</v>
      </c>
      <c r="B632" s="591">
        <v>905</v>
      </c>
      <c r="C632" s="346" t="s">
        <v>116</v>
      </c>
      <c r="D632" s="346" t="s">
        <v>139</v>
      </c>
      <c r="E632" s="346" t="s">
        <v>716</v>
      </c>
      <c r="F632" s="346" t="s">
        <v>120</v>
      </c>
      <c r="G632" s="300">
        <f t="shared" si="39"/>
        <v>0</v>
      </c>
      <c r="H632" s="532"/>
      <c r="I632" s="532"/>
      <c r="J632" s="302"/>
    </row>
    <row r="633" spans="1:11" s="129" customFormat="1" ht="31.5" hidden="1" x14ac:dyDescent="0.25">
      <c r="A633" s="345" t="s">
        <v>121</v>
      </c>
      <c r="B633" s="591">
        <v>905</v>
      </c>
      <c r="C633" s="346" t="s">
        <v>116</v>
      </c>
      <c r="D633" s="346" t="s">
        <v>139</v>
      </c>
      <c r="E633" s="346" t="s">
        <v>716</v>
      </c>
      <c r="F633" s="346" t="s">
        <v>122</v>
      </c>
      <c r="G633" s="300">
        <f>16.6-16.6</f>
        <v>0</v>
      </c>
      <c r="H633" s="532"/>
      <c r="I633" s="532"/>
      <c r="J633" s="302"/>
    </row>
    <row r="634" spans="1:11" s="344" customFormat="1" ht="31.5" hidden="1" x14ac:dyDescent="0.25">
      <c r="A634" s="345" t="s">
        <v>123</v>
      </c>
      <c r="B634" s="591">
        <v>905</v>
      </c>
      <c r="C634" s="346" t="s">
        <v>116</v>
      </c>
      <c r="D634" s="346" t="s">
        <v>139</v>
      </c>
      <c r="E634" s="346" t="s">
        <v>716</v>
      </c>
      <c r="F634" s="346" t="s">
        <v>124</v>
      </c>
      <c r="G634" s="300">
        <f>G635</f>
        <v>0</v>
      </c>
      <c r="H634" s="532"/>
      <c r="I634" s="532"/>
      <c r="J634" s="302"/>
    </row>
    <row r="635" spans="1:11" s="344" customFormat="1" ht="31.5" hidden="1" x14ac:dyDescent="0.25">
      <c r="A635" s="345" t="s">
        <v>125</v>
      </c>
      <c r="B635" s="591">
        <v>905</v>
      </c>
      <c r="C635" s="346" t="s">
        <v>116</v>
      </c>
      <c r="D635" s="346" t="s">
        <v>139</v>
      </c>
      <c r="E635" s="346" t="s">
        <v>716</v>
      </c>
      <c r="F635" s="346" t="s">
        <v>126</v>
      </c>
      <c r="G635" s="300"/>
      <c r="H635" s="532"/>
      <c r="I635" s="532"/>
      <c r="J635" s="302"/>
    </row>
    <row r="636" spans="1:11" ht="15.75" x14ac:dyDescent="0.25">
      <c r="A636" s="298" t="s">
        <v>131</v>
      </c>
      <c r="B636" s="296">
        <v>905</v>
      </c>
      <c r="C636" s="299" t="s">
        <v>116</v>
      </c>
      <c r="D636" s="299" t="s">
        <v>132</v>
      </c>
      <c r="E636" s="299"/>
      <c r="F636" s="299"/>
      <c r="G636" s="297">
        <f>G637+G653</f>
        <v>14608.393549999999</v>
      </c>
      <c r="H636" s="532"/>
      <c r="I636" s="532"/>
      <c r="J636" s="302"/>
      <c r="K636" s="129"/>
    </row>
    <row r="637" spans="1:11" s="129" customFormat="1" ht="15.75" x14ac:dyDescent="0.25">
      <c r="A637" s="298" t="s">
        <v>133</v>
      </c>
      <c r="B637" s="296">
        <v>905</v>
      </c>
      <c r="C637" s="299" t="s">
        <v>116</v>
      </c>
      <c r="D637" s="299" t="s">
        <v>132</v>
      </c>
      <c r="E637" s="299" t="s">
        <v>440</v>
      </c>
      <c r="F637" s="299"/>
      <c r="G637" s="297">
        <f>G638+G647</f>
        <v>13983.180039999999</v>
      </c>
      <c r="H637" s="532"/>
      <c r="I637" s="532"/>
      <c r="J637" s="302"/>
    </row>
    <row r="638" spans="1:11" s="129" customFormat="1" ht="31.5" x14ac:dyDescent="0.25">
      <c r="A638" s="298" t="s">
        <v>444</v>
      </c>
      <c r="B638" s="296">
        <v>905</v>
      </c>
      <c r="C638" s="299" t="s">
        <v>116</v>
      </c>
      <c r="D638" s="299" t="s">
        <v>132</v>
      </c>
      <c r="E638" s="299" t="s">
        <v>439</v>
      </c>
      <c r="F638" s="299"/>
      <c r="G638" s="297">
        <f>G639+G644</f>
        <v>7583.1800399999993</v>
      </c>
      <c r="H638" s="532"/>
      <c r="I638" s="532"/>
      <c r="J638" s="302"/>
    </row>
    <row r="639" spans="1:11" s="129" customFormat="1" ht="47.25" x14ac:dyDescent="0.25">
      <c r="A639" s="345" t="s">
        <v>230</v>
      </c>
      <c r="B639" s="591">
        <v>905</v>
      </c>
      <c r="C639" s="346" t="s">
        <v>116</v>
      </c>
      <c r="D639" s="346" t="s">
        <v>132</v>
      </c>
      <c r="E639" s="346" t="s">
        <v>572</v>
      </c>
      <c r="F639" s="346"/>
      <c r="G639" s="300">
        <f>G640+G642</f>
        <v>7583.1800399999993</v>
      </c>
      <c r="H639" s="532"/>
      <c r="I639" s="532"/>
      <c r="J639" s="302"/>
    </row>
    <row r="640" spans="1:11" s="129" customFormat="1" ht="31.5" x14ac:dyDescent="0.25">
      <c r="A640" s="345" t="s">
        <v>123</v>
      </c>
      <c r="B640" s="591">
        <v>905</v>
      </c>
      <c r="C640" s="346" t="s">
        <v>116</v>
      </c>
      <c r="D640" s="346" t="s">
        <v>132</v>
      </c>
      <c r="E640" s="346" t="s">
        <v>572</v>
      </c>
      <c r="F640" s="346" t="s">
        <v>124</v>
      </c>
      <c r="G640" s="300">
        <f>G641</f>
        <v>6390.6799999999994</v>
      </c>
      <c r="H640" s="532"/>
      <c r="I640" s="532"/>
      <c r="J640" s="302"/>
    </row>
    <row r="641" spans="1:36" s="129" customFormat="1" ht="31.5" x14ac:dyDescent="0.25">
      <c r="A641" s="345" t="s">
        <v>125</v>
      </c>
      <c r="B641" s="591">
        <v>905</v>
      </c>
      <c r="C641" s="346" t="s">
        <v>116</v>
      </c>
      <c r="D641" s="346" t="s">
        <v>132</v>
      </c>
      <c r="E641" s="346" t="s">
        <v>572</v>
      </c>
      <c r="F641" s="346" t="s">
        <v>126</v>
      </c>
      <c r="G641" s="300">
        <f>5928.7-50-90-42-576-0.02+1120+100</f>
        <v>6390.6799999999994</v>
      </c>
      <c r="H641" s="530"/>
      <c r="I641" s="530"/>
      <c r="J641" s="310"/>
    </row>
    <row r="642" spans="1:36" s="129" customFormat="1" ht="15.75" x14ac:dyDescent="0.25">
      <c r="A642" s="345" t="s">
        <v>127</v>
      </c>
      <c r="B642" s="591">
        <v>905</v>
      </c>
      <c r="C642" s="346" t="s">
        <v>116</v>
      </c>
      <c r="D642" s="346" t="s">
        <v>132</v>
      </c>
      <c r="E642" s="346" t="s">
        <v>572</v>
      </c>
      <c r="F642" s="346" t="s">
        <v>134</v>
      </c>
      <c r="G642" s="300">
        <f>G643</f>
        <v>1192.5000399999999</v>
      </c>
      <c r="H642" s="537"/>
      <c r="I642" s="537"/>
      <c r="J642" s="310"/>
    </row>
    <row r="643" spans="1:36" s="129" customFormat="1" ht="31.5" x14ac:dyDescent="0.25">
      <c r="A643" s="345" t="s">
        <v>411</v>
      </c>
      <c r="B643" s="591">
        <v>905</v>
      </c>
      <c r="C643" s="346" t="s">
        <v>116</v>
      </c>
      <c r="D643" s="346" t="s">
        <v>132</v>
      </c>
      <c r="E643" s="346" t="s">
        <v>572</v>
      </c>
      <c r="F643" s="346" t="s">
        <v>136</v>
      </c>
      <c r="G643" s="300">
        <f>894.5-11.99996+230+80</f>
        <v>1192.5000399999999</v>
      </c>
      <c r="H643" s="537"/>
      <c r="I643" s="537"/>
      <c r="J643" s="310"/>
    </row>
    <row r="644" spans="1:36" s="129" customFormat="1" ht="31.5" hidden="1" x14ac:dyDescent="0.25">
      <c r="A644" s="345" t="s">
        <v>500</v>
      </c>
      <c r="B644" s="591">
        <v>905</v>
      </c>
      <c r="C644" s="346" t="s">
        <v>116</v>
      </c>
      <c r="D644" s="346" t="s">
        <v>132</v>
      </c>
      <c r="E644" s="346" t="s">
        <v>573</v>
      </c>
      <c r="F644" s="346"/>
      <c r="G644" s="300">
        <f>G645</f>
        <v>0</v>
      </c>
      <c r="H644" s="532"/>
      <c r="I644" s="532"/>
      <c r="J644" s="302"/>
    </row>
    <row r="645" spans="1:36" s="129" customFormat="1" ht="31.5" hidden="1" x14ac:dyDescent="0.25">
      <c r="A645" s="345" t="s">
        <v>123</v>
      </c>
      <c r="B645" s="591">
        <v>905</v>
      </c>
      <c r="C645" s="346" t="s">
        <v>116</v>
      </c>
      <c r="D645" s="346" t="s">
        <v>132</v>
      </c>
      <c r="E645" s="346" t="s">
        <v>573</v>
      </c>
      <c r="F645" s="346" t="s">
        <v>124</v>
      </c>
      <c r="G645" s="300">
        <f>G646</f>
        <v>0</v>
      </c>
      <c r="H645" s="532"/>
      <c r="I645" s="532"/>
      <c r="J645" s="302"/>
    </row>
    <row r="646" spans="1:36" s="129" customFormat="1" ht="31.5" hidden="1" x14ac:dyDescent="0.25">
      <c r="A646" s="345" t="s">
        <v>125</v>
      </c>
      <c r="B646" s="591">
        <v>905</v>
      </c>
      <c r="C646" s="346" t="s">
        <v>116</v>
      </c>
      <c r="D646" s="346" t="s">
        <v>132</v>
      </c>
      <c r="E646" s="346" t="s">
        <v>573</v>
      </c>
      <c r="F646" s="346" t="s">
        <v>126</v>
      </c>
      <c r="G646" s="300">
        <f>100-100</f>
        <v>0</v>
      </c>
      <c r="H646" s="532"/>
      <c r="I646" s="532"/>
      <c r="J646" s="302"/>
    </row>
    <row r="647" spans="1:36" s="344" customFormat="1" ht="31.5" x14ac:dyDescent="0.25">
      <c r="A647" s="345" t="s">
        <v>444</v>
      </c>
      <c r="B647" s="591">
        <v>905</v>
      </c>
      <c r="C647" s="346" t="s">
        <v>116</v>
      </c>
      <c r="D647" s="346" t="s">
        <v>132</v>
      </c>
      <c r="E647" s="346" t="s">
        <v>439</v>
      </c>
      <c r="F647" s="346"/>
      <c r="G647" s="300">
        <f>G648</f>
        <v>6400</v>
      </c>
      <c r="H647" s="532"/>
      <c r="I647" s="532"/>
      <c r="J647" s="302"/>
    </row>
    <row r="648" spans="1:36" s="344" customFormat="1" ht="15.75" x14ac:dyDescent="0.25">
      <c r="A648" s="345" t="s">
        <v>154</v>
      </c>
      <c r="B648" s="591">
        <v>905</v>
      </c>
      <c r="C648" s="346" t="s">
        <v>116</v>
      </c>
      <c r="D648" s="346" t="s">
        <v>132</v>
      </c>
      <c r="E648" s="346" t="s">
        <v>695</v>
      </c>
      <c r="F648" s="346"/>
      <c r="G648" s="300">
        <f>G649</f>
        <v>6400</v>
      </c>
      <c r="H648" s="532"/>
      <c r="I648" s="532"/>
      <c r="J648" s="302"/>
    </row>
    <row r="649" spans="1:36" s="344" customFormat="1" ht="31.5" x14ac:dyDescent="0.25">
      <c r="A649" s="345" t="s">
        <v>153</v>
      </c>
      <c r="B649" s="591">
        <v>905</v>
      </c>
      <c r="C649" s="346" t="s">
        <v>116</v>
      </c>
      <c r="D649" s="346" t="s">
        <v>132</v>
      </c>
      <c r="E649" s="346" t="s">
        <v>695</v>
      </c>
      <c r="F649" s="346" t="s">
        <v>124</v>
      </c>
      <c r="G649" s="300">
        <f>G650</f>
        <v>6400</v>
      </c>
      <c r="H649" s="532"/>
      <c r="I649" s="532"/>
      <c r="J649" s="302"/>
    </row>
    <row r="650" spans="1:36" s="344" customFormat="1" ht="31.5" x14ac:dyDescent="0.25">
      <c r="A650" s="345" t="s">
        <v>125</v>
      </c>
      <c r="B650" s="591">
        <v>905</v>
      </c>
      <c r="C650" s="346" t="s">
        <v>116</v>
      </c>
      <c r="D650" s="346" t="s">
        <v>132</v>
      </c>
      <c r="E650" s="346" t="s">
        <v>695</v>
      </c>
      <c r="F650" s="346" t="s">
        <v>126</v>
      </c>
      <c r="G650" s="300">
        <f>G651</f>
        <v>6400</v>
      </c>
      <c r="H650" s="532"/>
      <c r="I650" s="532"/>
      <c r="J650" s="302"/>
    </row>
    <row r="651" spans="1:36" s="344" customFormat="1" ht="15.75" x14ac:dyDescent="0.25">
      <c r="A651" s="345" t="s">
        <v>127</v>
      </c>
      <c r="B651" s="591">
        <v>905</v>
      </c>
      <c r="C651" s="346" t="s">
        <v>116</v>
      </c>
      <c r="D651" s="346" t="s">
        <v>132</v>
      </c>
      <c r="E651" s="346" t="s">
        <v>695</v>
      </c>
      <c r="F651" s="346" t="s">
        <v>134</v>
      </c>
      <c r="G651" s="300">
        <f>G652</f>
        <v>6400</v>
      </c>
      <c r="H651" s="532"/>
      <c r="I651" s="532"/>
      <c r="J651" s="302"/>
    </row>
    <row r="652" spans="1:36" s="344" customFormat="1" ht="15.75" x14ac:dyDescent="0.25">
      <c r="A652" s="345" t="s">
        <v>1321</v>
      </c>
      <c r="B652" s="591">
        <v>905</v>
      </c>
      <c r="C652" s="346" t="s">
        <v>116</v>
      </c>
      <c r="D652" s="346" t="s">
        <v>132</v>
      </c>
      <c r="E652" s="346" t="s">
        <v>695</v>
      </c>
      <c r="F652" s="346" t="s">
        <v>136</v>
      </c>
      <c r="G652" s="300">
        <v>6400</v>
      </c>
      <c r="H652" s="532"/>
      <c r="I652" s="532"/>
      <c r="J652" s="302"/>
    </row>
    <row r="653" spans="1:36" s="69" customFormat="1" ht="69" customHeight="1" x14ac:dyDescent="0.25">
      <c r="A653" s="298" t="s">
        <v>985</v>
      </c>
      <c r="B653" s="296">
        <v>905</v>
      </c>
      <c r="C653" s="299" t="s">
        <v>116</v>
      </c>
      <c r="D653" s="299" t="s">
        <v>132</v>
      </c>
      <c r="E653" s="299" t="s">
        <v>358</v>
      </c>
      <c r="F653" s="299"/>
      <c r="G653" s="297">
        <f t="shared" ref="G653:G656" si="40">G654</f>
        <v>625.21350999999993</v>
      </c>
      <c r="H653" s="532"/>
      <c r="I653" s="532"/>
      <c r="J653" s="75"/>
      <c r="K653" s="131"/>
      <c r="AD653" s="131"/>
      <c r="AE653" s="131"/>
      <c r="AG653" s="131"/>
      <c r="AH653" s="131"/>
      <c r="AJ653" s="131"/>
    </row>
    <row r="654" spans="1:36" s="131" customFormat="1" ht="29.25" customHeight="1" x14ac:dyDescent="0.25">
      <c r="A654" s="298" t="s">
        <v>499</v>
      </c>
      <c r="B654" s="296">
        <v>905</v>
      </c>
      <c r="C654" s="299" t="s">
        <v>116</v>
      </c>
      <c r="D654" s="299" t="s">
        <v>132</v>
      </c>
      <c r="E654" s="299" t="s">
        <v>581</v>
      </c>
      <c r="F654" s="299"/>
      <c r="G654" s="297">
        <f t="shared" si="40"/>
        <v>625.21350999999993</v>
      </c>
      <c r="H654" s="532"/>
      <c r="I654" s="532"/>
      <c r="J654" s="75"/>
    </row>
    <row r="655" spans="1:36" s="69" customFormat="1" ht="15.75" x14ac:dyDescent="0.25">
      <c r="A655" s="345" t="s">
        <v>981</v>
      </c>
      <c r="B655" s="591">
        <v>905</v>
      </c>
      <c r="C655" s="346" t="s">
        <v>116</v>
      </c>
      <c r="D655" s="346" t="s">
        <v>132</v>
      </c>
      <c r="E655" s="346" t="s">
        <v>582</v>
      </c>
      <c r="F655" s="346"/>
      <c r="G655" s="300">
        <f t="shared" si="40"/>
        <v>625.21350999999993</v>
      </c>
      <c r="H655" s="532"/>
      <c r="I655" s="532"/>
      <c r="J655" s="75"/>
      <c r="K655" s="131"/>
      <c r="AD655" s="131"/>
      <c r="AE655" s="131"/>
      <c r="AG655" s="131"/>
      <c r="AH655" s="131"/>
      <c r="AJ655" s="131"/>
    </row>
    <row r="656" spans="1:36" s="69" customFormat="1" ht="31.5" x14ac:dyDescent="0.25">
      <c r="A656" s="345" t="s">
        <v>123</v>
      </c>
      <c r="B656" s="591">
        <v>905</v>
      </c>
      <c r="C656" s="346" t="s">
        <v>116</v>
      </c>
      <c r="D656" s="346" t="s">
        <v>132</v>
      </c>
      <c r="E656" s="346" t="s">
        <v>582</v>
      </c>
      <c r="F656" s="346" t="s">
        <v>124</v>
      </c>
      <c r="G656" s="300">
        <f t="shared" si="40"/>
        <v>625.21350999999993</v>
      </c>
      <c r="H656" s="532"/>
      <c r="I656" s="532"/>
      <c r="J656" s="75"/>
      <c r="K656" s="131"/>
      <c r="AD656" s="131"/>
      <c r="AE656" s="131"/>
      <c r="AG656" s="131"/>
      <c r="AH656" s="131"/>
      <c r="AJ656" s="131"/>
    </row>
    <row r="657" spans="1:36" s="69" customFormat="1" ht="31.5" x14ac:dyDescent="0.25">
      <c r="A657" s="345" t="s">
        <v>125</v>
      </c>
      <c r="B657" s="591">
        <v>905</v>
      </c>
      <c r="C657" s="346" t="s">
        <v>116</v>
      </c>
      <c r="D657" s="346" t="s">
        <v>132</v>
      </c>
      <c r="E657" s="346" t="s">
        <v>582</v>
      </c>
      <c r="F657" s="346" t="s">
        <v>126</v>
      </c>
      <c r="G657" s="300">
        <f>599.57823+25.61528+0.02</f>
        <v>625.21350999999993</v>
      </c>
      <c r="H657" s="535"/>
      <c r="I657" s="535"/>
      <c r="J657" s="75"/>
      <c r="K657" s="131"/>
      <c r="AD657" s="131"/>
      <c r="AE657" s="131"/>
      <c r="AG657" s="131"/>
      <c r="AH657" s="131"/>
      <c r="AJ657" s="131"/>
    </row>
    <row r="658" spans="1:36" ht="15.75" x14ac:dyDescent="0.25">
      <c r="A658" s="340" t="s">
        <v>231</v>
      </c>
      <c r="B658" s="296">
        <v>905</v>
      </c>
      <c r="C658" s="299" t="s">
        <v>168</v>
      </c>
      <c r="D658" s="299"/>
      <c r="E658" s="299"/>
      <c r="F658" s="299"/>
      <c r="G658" s="297">
        <f t="shared" ref="G658:G660" si="41">G659</f>
        <v>531.58699999999999</v>
      </c>
      <c r="H658" s="538"/>
      <c r="I658" s="538"/>
      <c r="J658" s="302"/>
      <c r="K658" s="129"/>
    </row>
    <row r="659" spans="1:36" ht="15.75" x14ac:dyDescent="0.25">
      <c r="A659" s="340" t="s">
        <v>232</v>
      </c>
      <c r="B659" s="296">
        <v>905</v>
      </c>
      <c r="C659" s="299" t="s">
        <v>168</v>
      </c>
      <c r="D659" s="299" t="s">
        <v>116</v>
      </c>
      <c r="E659" s="299"/>
      <c r="F659" s="299"/>
      <c r="G659" s="297">
        <f t="shared" si="41"/>
        <v>531.58699999999999</v>
      </c>
      <c r="H659" s="535"/>
      <c r="I659" s="535"/>
      <c r="J659" s="302"/>
      <c r="K659" s="129"/>
    </row>
    <row r="660" spans="1:36" s="129" customFormat="1" ht="15.75" x14ac:dyDescent="0.25">
      <c r="A660" s="298" t="s">
        <v>133</v>
      </c>
      <c r="B660" s="296">
        <v>905</v>
      </c>
      <c r="C660" s="299" t="s">
        <v>168</v>
      </c>
      <c r="D660" s="299" t="s">
        <v>116</v>
      </c>
      <c r="E660" s="299" t="s">
        <v>440</v>
      </c>
      <c r="F660" s="299"/>
      <c r="G660" s="297">
        <f t="shared" si="41"/>
        <v>531.58699999999999</v>
      </c>
      <c r="H660" s="532"/>
      <c r="I660" s="532"/>
      <c r="J660" s="302"/>
    </row>
    <row r="661" spans="1:36" s="129" customFormat="1" ht="31.5" x14ac:dyDescent="0.25">
      <c r="A661" s="298" t="s">
        <v>444</v>
      </c>
      <c r="B661" s="296">
        <v>905</v>
      </c>
      <c r="C661" s="299" t="s">
        <v>168</v>
      </c>
      <c r="D661" s="299" t="s">
        <v>116</v>
      </c>
      <c r="E661" s="299" t="s">
        <v>439</v>
      </c>
      <c r="F661" s="299"/>
      <c r="G661" s="297">
        <f>G662+G665</f>
        <v>531.58699999999999</v>
      </c>
      <c r="H661" s="532"/>
      <c r="I661" s="532"/>
      <c r="J661" s="302"/>
    </row>
    <row r="662" spans="1:36" ht="31.5" x14ac:dyDescent="0.25">
      <c r="A662" s="20" t="s">
        <v>233</v>
      </c>
      <c r="B662" s="591">
        <v>905</v>
      </c>
      <c r="C662" s="346" t="s">
        <v>168</v>
      </c>
      <c r="D662" s="346" t="s">
        <v>116</v>
      </c>
      <c r="E662" s="346" t="s">
        <v>524</v>
      </c>
      <c r="F662" s="346"/>
      <c r="G662" s="300">
        <f>G663</f>
        <v>375.58699999999999</v>
      </c>
      <c r="H662" s="532"/>
      <c r="I662" s="532"/>
      <c r="J662" s="302"/>
      <c r="K662" s="129"/>
    </row>
    <row r="663" spans="1:36" ht="31.5" x14ac:dyDescent="0.25">
      <c r="A663" s="345" t="s">
        <v>123</v>
      </c>
      <c r="B663" s="591">
        <v>905</v>
      </c>
      <c r="C663" s="346" t="s">
        <v>168</v>
      </c>
      <c r="D663" s="346" t="s">
        <v>116</v>
      </c>
      <c r="E663" s="346" t="s">
        <v>524</v>
      </c>
      <c r="F663" s="346" t="s">
        <v>124</v>
      </c>
      <c r="G663" s="300">
        <f>G664</f>
        <v>375.58699999999999</v>
      </c>
      <c r="H663" s="532"/>
      <c r="I663" s="532"/>
      <c r="J663" s="302"/>
      <c r="K663" s="129"/>
    </row>
    <row r="664" spans="1:36" ht="31.5" x14ac:dyDescent="0.25">
      <c r="A664" s="345" t="s">
        <v>125</v>
      </c>
      <c r="B664" s="591">
        <v>905</v>
      </c>
      <c r="C664" s="346" t="s">
        <v>168</v>
      </c>
      <c r="D664" s="346" t="s">
        <v>116</v>
      </c>
      <c r="E664" s="346" t="s">
        <v>524</v>
      </c>
      <c r="F664" s="346" t="s">
        <v>126</v>
      </c>
      <c r="G664" s="300">
        <f>270.4+63.187+42</f>
        <v>375.58699999999999</v>
      </c>
      <c r="H664" s="532"/>
      <c r="I664" s="532"/>
      <c r="J664" s="302"/>
      <c r="K664" s="129"/>
    </row>
    <row r="665" spans="1:36" ht="31.5" x14ac:dyDescent="0.25">
      <c r="A665" s="20" t="s">
        <v>501</v>
      </c>
      <c r="B665" s="591">
        <v>905</v>
      </c>
      <c r="C665" s="346" t="s">
        <v>168</v>
      </c>
      <c r="D665" s="346" t="s">
        <v>116</v>
      </c>
      <c r="E665" s="346" t="s">
        <v>525</v>
      </c>
      <c r="F665" s="346"/>
      <c r="G665" s="300">
        <f>G666</f>
        <v>156</v>
      </c>
      <c r="H665" s="532"/>
      <c r="I665" s="532"/>
      <c r="J665" s="302"/>
      <c r="K665" s="129"/>
    </row>
    <row r="666" spans="1:36" ht="31.5" x14ac:dyDescent="0.25">
      <c r="A666" s="345" t="s">
        <v>123</v>
      </c>
      <c r="B666" s="591">
        <v>905</v>
      </c>
      <c r="C666" s="346" t="s">
        <v>168</v>
      </c>
      <c r="D666" s="346" t="s">
        <v>116</v>
      </c>
      <c r="E666" s="346" t="s">
        <v>525</v>
      </c>
      <c r="F666" s="346" t="s">
        <v>124</v>
      </c>
      <c r="G666" s="300">
        <f>G667</f>
        <v>156</v>
      </c>
      <c r="H666" s="532"/>
      <c r="I666" s="532"/>
      <c r="J666" s="302"/>
      <c r="K666" s="129"/>
    </row>
    <row r="667" spans="1:36" ht="31.5" x14ac:dyDescent="0.25">
      <c r="A667" s="345" t="s">
        <v>125</v>
      </c>
      <c r="B667" s="591">
        <v>905</v>
      </c>
      <c r="C667" s="346" t="s">
        <v>168</v>
      </c>
      <c r="D667" s="346" t="s">
        <v>116</v>
      </c>
      <c r="E667" s="346" t="s">
        <v>525</v>
      </c>
      <c r="F667" s="346" t="s">
        <v>126</v>
      </c>
      <c r="G667" s="300">
        <v>156</v>
      </c>
      <c r="H667" s="532"/>
      <c r="I667" s="532"/>
      <c r="J667" s="302"/>
      <c r="K667" s="129"/>
    </row>
    <row r="668" spans="1:36" s="129" customFormat="1" ht="15.75" hidden="1" x14ac:dyDescent="0.25">
      <c r="A668" s="298" t="s">
        <v>173</v>
      </c>
      <c r="B668" s="296">
        <v>905</v>
      </c>
      <c r="C668" s="299" t="s">
        <v>174</v>
      </c>
      <c r="D668" s="346"/>
      <c r="E668" s="346"/>
      <c r="F668" s="346"/>
      <c r="G668" s="297">
        <f t="shared" ref="G668:G672" si="42">G669</f>
        <v>0</v>
      </c>
      <c r="H668" s="532"/>
      <c r="I668" s="532"/>
      <c r="J668" s="302"/>
    </row>
    <row r="669" spans="1:36" s="129" customFormat="1" ht="15.75" hidden="1" x14ac:dyDescent="0.25">
      <c r="A669" s="298" t="s">
        <v>234</v>
      </c>
      <c r="B669" s="296">
        <v>905</v>
      </c>
      <c r="C669" s="299" t="s">
        <v>174</v>
      </c>
      <c r="D669" s="299" t="s">
        <v>139</v>
      </c>
      <c r="E669" s="346"/>
      <c r="F669" s="346"/>
      <c r="G669" s="297">
        <f t="shared" si="42"/>
        <v>0</v>
      </c>
      <c r="H669" s="532"/>
      <c r="I669" s="532"/>
      <c r="J669" s="302"/>
    </row>
    <row r="670" spans="1:36" s="129" customFormat="1" ht="31.5" hidden="1" x14ac:dyDescent="0.25">
      <c r="A670" s="298" t="s">
        <v>458</v>
      </c>
      <c r="B670" s="296">
        <v>905</v>
      </c>
      <c r="C670" s="299" t="s">
        <v>174</v>
      </c>
      <c r="D670" s="299" t="s">
        <v>139</v>
      </c>
      <c r="E670" s="299" t="s">
        <v>437</v>
      </c>
      <c r="F670" s="346"/>
      <c r="G670" s="297">
        <f t="shared" si="42"/>
        <v>0</v>
      </c>
      <c r="H670" s="532"/>
      <c r="I670" s="532"/>
      <c r="J670" s="302"/>
    </row>
    <row r="671" spans="1:36" s="129" customFormat="1" ht="48" hidden="1" customHeight="1" x14ac:dyDescent="0.25">
      <c r="A671" s="345" t="s">
        <v>839</v>
      </c>
      <c r="B671" s="591">
        <v>905</v>
      </c>
      <c r="C671" s="346" t="s">
        <v>174</v>
      </c>
      <c r="D671" s="346" t="s">
        <v>139</v>
      </c>
      <c r="E671" s="346" t="s">
        <v>718</v>
      </c>
      <c r="F671" s="346"/>
      <c r="G671" s="300">
        <f t="shared" si="42"/>
        <v>0</v>
      </c>
      <c r="H671" s="532"/>
      <c r="I671" s="532"/>
      <c r="J671" s="302"/>
    </row>
    <row r="672" spans="1:36" s="129" customFormat="1" ht="31.5" hidden="1" x14ac:dyDescent="0.25">
      <c r="A672" s="345" t="s">
        <v>123</v>
      </c>
      <c r="B672" s="591">
        <v>905</v>
      </c>
      <c r="C672" s="346" t="s">
        <v>174</v>
      </c>
      <c r="D672" s="346" t="s">
        <v>139</v>
      </c>
      <c r="E672" s="346" t="s">
        <v>718</v>
      </c>
      <c r="F672" s="346" t="s">
        <v>124</v>
      </c>
      <c r="G672" s="300">
        <f t="shared" si="42"/>
        <v>0</v>
      </c>
      <c r="H672" s="532"/>
      <c r="I672" s="532"/>
      <c r="J672" s="302"/>
    </row>
    <row r="673" spans="1:11" s="129" customFormat="1" ht="31.5" hidden="1" x14ac:dyDescent="0.25">
      <c r="A673" s="345" t="s">
        <v>125</v>
      </c>
      <c r="B673" s="591">
        <v>905</v>
      </c>
      <c r="C673" s="346" t="s">
        <v>174</v>
      </c>
      <c r="D673" s="346" t="s">
        <v>139</v>
      </c>
      <c r="E673" s="346" t="s">
        <v>718</v>
      </c>
      <c r="F673" s="346" t="s">
        <v>126</v>
      </c>
      <c r="G673" s="300">
        <f>1975.4-1975.4</f>
        <v>0</v>
      </c>
      <c r="H673" s="532"/>
      <c r="I673" s="532"/>
      <c r="J673" s="302"/>
    </row>
    <row r="674" spans="1:11" ht="31.5" x14ac:dyDescent="0.25">
      <c r="A674" s="296" t="s">
        <v>235</v>
      </c>
      <c r="B674" s="296">
        <v>906</v>
      </c>
      <c r="C674" s="299"/>
      <c r="D674" s="299"/>
      <c r="E674" s="299"/>
      <c r="F674" s="299"/>
      <c r="G674" s="297">
        <f>G687+G675</f>
        <v>373875.20210000005</v>
      </c>
      <c r="H674" s="533"/>
      <c r="I674" s="533"/>
      <c r="J674" s="302"/>
      <c r="K674" s="129"/>
    </row>
    <row r="675" spans="1:11" ht="15.75" x14ac:dyDescent="0.25">
      <c r="A675" s="298" t="s">
        <v>115</v>
      </c>
      <c r="B675" s="296">
        <v>906</v>
      </c>
      <c r="C675" s="299" t="s">
        <v>116</v>
      </c>
      <c r="D675" s="299"/>
      <c r="E675" s="299"/>
      <c r="F675" s="299"/>
      <c r="G675" s="297">
        <f>G676</f>
        <v>24.8</v>
      </c>
      <c r="H675" s="532"/>
      <c r="I675" s="532"/>
      <c r="J675" s="302"/>
      <c r="K675" s="129"/>
    </row>
    <row r="676" spans="1:11" ht="15.75" x14ac:dyDescent="0.25">
      <c r="A676" s="24" t="s">
        <v>131</v>
      </c>
      <c r="B676" s="296">
        <v>906</v>
      </c>
      <c r="C676" s="299" t="s">
        <v>116</v>
      </c>
      <c r="D676" s="299" t="s">
        <v>132</v>
      </c>
      <c r="E676" s="299"/>
      <c r="F676" s="299"/>
      <c r="G676" s="297">
        <f>G682</f>
        <v>24.8</v>
      </c>
      <c r="H676" s="532"/>
      <c r="I676" s="532"/>
      <c r="J676" s="302"/>
      <c r="K676" s="129"/>
    </row>
    <row r="677" spans="1:11" ht="31.5" hidden="1" x14ac:dyDescent="0.25">
      <c r="A677" s="298" t="s">
        <v>858</v>
      </c>
      <c r="B677" s="296">
        <v>906</v>
      </c>
      <c r="C677" s="299" t="s">
        <v>116</v>
      </c>
      <c r="D677" s="299" t="s">
        <v>132</v>
      </c>
      <c r="E677" s="299" t="s">
        <v>209</v>
      </c>
      <c r="F677" s="299"/>
      <c r="G677" s="297">
        <f t="shared" ref="G677:G680" si="43">G678</f>
        <v>0</v>
      </c>
      <c r="H677" s="532"/>
      <c r="I677" s="532"/>
      <c r="J677" s="302"/>
      <c r="K677" s="129"/>
    </row>
    <row r="678" spans="1:11" s="129" customFormat="1" ht="31.5" hidden="1" x14ac:dyDescent="0.25">
      <c r="A678" s="134" t="s">
        <v>608</v>
      </c>
      <c r="B678" s="296">
        <v>906</v>
      </c>
      <c r="C678" s="299" t="s">
        <v>116</v>
      </c>
      <c r="D678" s="299" t="s">
        <v>132</v>
      </c>
      <c r="E678" s="299" t="s">
        <v>609</v>
      </c>
      <c r="F678" s="299"/>
      <c r="G678" s="297">
        <f t="shared" si="43"/>
        <v>0</v>
      </c>
      <c r="H678" s="532"/>
      <c r="I678" s="532"/>
      <c r="J678" s="302"/>
    </row>
    <row r="679" spans="1:11" ht="31.5" hidden="1" x14ac:dyDescent="0.25">
      <c r="A679" s="66" t="s">
        <v>210</v>
      </c>
      <c r="B679" s="591">
        <v>906</v>
      </c>
      <c r="C679" s="346" t="s">
        <v>116</v>
      </c>
      <c r="D679" s="346" t="s">
        <v>132</v>
      </c>
      <c r="E679" s="346" t="s">
        <v>610</v>
      </c>
      <c r="F679" s="346"/>
      <c r="G679" s="300">
        <f t="shared" si="43"/>
        <v>0</v>
      </c>
      <c r="H679" s="532"/>
      <c r="I679" s="532"/>
      <c r="J679" s="302"/>
      <c r="K679" s="129"/>
    </row>
    <row r="680" spans="1:11" ht="31.5" hidden="1" x14ac:dyDescent="0.25">
      <c r="A680" s="345" t="s">
        <v>123</v>
      </c>
      <c r="B680" s="591">
        <v>906</v>
      </c>
      <c r="C680" s="346" t="s">
        <v>116</v>
      </c>
      <c r="D680" s="346" t="s">
        <v>132</v>
      </c>
      <c r="E680" s="346" t="s">
        <v>610</v>
      </c>
      <c r="F680" s="346" t="s">
        <v>124</v>
      </c>
      <c r="G680" s="300">
        <f t="shared" si="43"/>
        <v>0</v>
      </c>
      <c r="H680" s="532"/>
      <c r="I680" s="532"/>
      <c r="J680" s="302"/>
      <c r="K680" s="129"/>
    </row>
    <row r="681" spans="1:11" ht="31.5" hidden="1" x14ac:dyDescent="0.25">
      <c r="A681" s="345" t="s">
        <v>125</v>
      </c>
      <c r="B681" s="591">
        <v>906</v>
      </c>
      <c r="C681" s="346" t="s">
        <v>116</v>
      </c>
      <c r="D681" s="346" t="s">
        <v>132</v>
      </c>
      <c r="E681" s="346" t="s">
        <v>610</v>
      </c>
      <c r="F681" s="346" t="s">
        <v>126</v>
      </c>
      <c r="G681" s="300"/>
      <c r="H681" s="532"/>
      <c r="I681" s="532"/>
      <c r="J681" s="302"/>
      <c r="K681" s="129"/>
    </row>
    <row r="682" spans="1:11" s="344" customFormat="1" ht="63" x14ac:dyDescent="0.25">
      <c r="A682" s="298" t="s">
        <v>846</v>
      </c>
      <c r="B682" s="296">
        <v>906</v>
      </c>
      <c r="C682" s="299" t="s">
        <v>116</v>
      </c>
      <c r="D682" s="299" t="s">
        <v>132</v>
      </c>
      <c r="E682" s="299" t="s">
        <v>393</v>
      </c>
      <c r="F682" s="346"/>
      <c r="G682" s="300">
        <f>G683</f>
        <v>24.8</v>
      </c>
      <c r="H682" s="532"/>
      <c r="I682" s="532"/>
      <c r="J682" s="302"/>
    </row>
    <row r="683" spans="1:11" s="344" customFormat="1" ht="31.5" x14ac:dyDescent="0.25">
      <c r="A683" s="298" t="s">
        <v>428</v>
      </c>
      <c r="B683" s="296">
        <v>906</v>
      </c>
      <c r="C683" s="299" t="s">
        <v>116</v>
      </c>
      <c r="D683" s="299" t="s">
        <v>132</v>
      </c>
      <c r="E683" s="299" t="s">
        <v>628</v>
      </c>
      <c r="F683" s="346"/>
      <c r="G683" s="300">
        <f>G684</f>
        <v>24.8</v>
      </c>
      <c r="H683" s="532"/>
      <c r="I683" s="532"/>
      <c r="J683" s="302"/>
    </row>
    <row r="684" spans="1:11" s="344" customFormat="1" ht="31.5" x14ac:dyDescent="0.25">
      <c r="A684" s="345" t="s">
        <v>145</v>
      </c>
      <c r="B684" s="591">
        <v>906</v>
      </c>
      <c r="C684" s="346" t="s">
        <v>116</v>
      </c>
      <c r="D684" s="346" t="s">
        <v>132</v>
      </c>
      <c r="E684" s="346" t="s">
        <v>429</v>
      </c>
      <c r="F684" s="346"/>
      <c r="G684" s="300">
        <f>G685</f>
        <v>24.8</v>
      </c>
      <c r="H684" s="532"/>
      <c r="I684" s="532"/>
      <c r="J684" s="302"/>
    </row>
    <row r="685" spans="1:11" s="344" customFormat="1" ht="31.5" x14ac:dyDescent="0.25">
      <c r="A685" s="345" t="s">
        <v>123</v>
      </c>
      <c r="B685" s="591">
        <v>906</v>
      </c>
      <c r="C685" s="346" t="s">
        <v>116</v>
      </c>
      <c r="D685" s="346" t="s">
        <v>132</v>
      </c>
      <c r="E685" s="346" t="s">
        <v>429</v>
      </c>
      <c r="F685" s="346" t="s">
        <v>124</v>
      </c>
      <c r="G685" s="300">
        <f>G686</f>
        <v>24.8</v>
      </c>
      <c r="H685" s="532"/>
      <c r="I685" s="532"/>
      <c r="J685" s="302"/>
    </row>
    <row r="686" spans="1:11" s="344" customFormat="1" ht="31.5" x14ac:dyDescent="0.25">
      <c r="A686" s="345" t="s">
        <v>125</v>
      </c>
      <c r="B686" s="591">
        <v>906</v>
      </c>
      <c r="C686" s="346" t="s">
        <v>116</v>
      </c>
      <c r="D686" s="346" t="s">
        <v>132</v>
      </c>
      <c r="E686" s="346" t="s">
        <v>429</v>
      </c>
      <c r="F686" s="346" t="s">
        <v>126</v>
      </c>
      <c r="G686" s="300">
        <f>24.8</f>
        <v>24.8</v>
      </c>
      <c r="H686" s="532"/>
      <c r="I686" s="532"/>
      <c r="J686" s="302"/>
    </row>
    <row r="687" spans="1:11" ht="15.75" x14ac:dyDescent="0.25">
      <c r="A687" s="298" t="s">
        <v>186</v>
      </c>
      <c r="B687" s="296">
        <v>906</v>
      </c>
      <c r="C687" s="299" t="s">
        <v>187</v>
      </c>
      <c r="D687" s="299"/>
      <c r="E687" s="299"/>
      <c r="F687" s="299"/>
      <c r="G687" s="297">
        <f>G688+G753+G878+G888+G845</f>
        <v>373850.40210000006</v>
      </c>
      <c r="H687" s="532"/>
      <c r="I687" s="532"/>
      <c r="J687" s="302"/>
      <c r="K687" s="129"/>
    </row>
    <row r="688" spans="1:11" ht="15.75" x14ac:dyDescent="0.25">
      <c r="A688" s="298" t="s">
        <v>236</v>
      </c>
      <c r="B688" s="296">
        <v>906</v>
      </c>
      <c r="C688" s="299" t="s">
        <v>187</v>
      </c>
      <c r="D688" s="299" t="s">
        <v>116</v>
      </c>
      <c r="E688" s="299"/>
      <c r="F688" s="299"/>
      <c r="G688" s="297">
        <f>G689+G743+G748</f>
        <v>99155.607000000004</v>
      </c>
      <c r="H688" s="533"/>
      <c r="I688" s="533"/>
      <c r="J688" s="302"/>
      <c r="K688" s="129"/>
    </row>
    <row r="689" spans="1:11" ht="36" customHeight="1" x14ac:dyDescent="0.25">
      <c r="A689" s="298" t="s">
        <v>859</v>
      </c>
      <c r="B689" s="296">
        <v>906</v>
      </c>
      <c r="C689" s="299" t="s">
        <v>187</v>
      </c>
      <c r="D689" s="299" t="s">
        <v>116</v>
      </c>
      <c r="E689" s="299" t="s">
        <v>237</v>
      </c>
      <c r="F689" s="299"/>
      <c r="G689" s="297">
        <f>G690+G694+G701+G711+G724+G728+G735+G739</f>
        <v>98454.607000000004</v>
      </c>
      <c r="H689" s="532"/>
      <c r="I689" s="532"/>
      <c r="J689" s="302"/>
      <c r="K689" s="129"/>
    </row>
    <row r="690" spans="1:11" s="129" customFormat="1" ht="38.25" customHeight="1" x14ac:dyDescent="0.25">
      <c r="A690" s="298" t="s">
        <v>505</v>
      </c>
      <c r="B690" s="296">
        <v>906</v>
      </c>
      <c r="C690" s="299" t="s">
        <v>187</v>
      </c>
      <c r="D690" s="299" t="s">
        <v>116</v>
      </c>
      <c r="E690" s="299" t="s">
        <v>764</v>
      </c>
      <c r="F690" s="299"/>
      <c r="G690" s="297">
        <f t="shared" ref="G690:G692" si="44">G691</f>
        <v>17453.150000000001</v>
      </c>
      <c r="H690" s="532"/>
      <c r="I690" s="532"/>
      <c r="J690" s="302"/>
    </row>
    <row r="691" spans="1:11" ht="31.5" x14ac:dyDescent="0.25">
      <c r="A691" s="345" t="s">
        <v>763</v>
      </c>
      <c r="B691" s="591">
        <v>906</v>
      </c>
      <c r="C691" s="346" t="s">
        <v>187</v>
      </c>
      <c r="D691" s="346" t="s">
        <v>116</v>
      </c>
      <c r="E691" s="346" t="s">
        <v>765</v>
      </c>
      <c r="F691" s="346"/>
      <c r="G691" s="300">
        <f t="shared" si="44"/>
        <v>17453.150000000001</v>
      </c>
      <c r="H691" s="532"/>
      <c r="I691" s="532"/>
      <c r="J691" s="302"/>
      <c r="K691" s="129"/>
    </row>
    <row r="692" spans="1:11" ht="31.5" x14ac:dyDescent="0.25">
      <c r="A692" s="345" t="s">
        <v>191</v>
      </c>
      <c r="B692" s="591">
        <v>906</v>
      </c>
      <c r="C692" s="346" t="s">
        <v>187</v>
      </c>
      <c r="D692" s="346" t="s">
        <v>116</v>
      </c>
      <c r="E692" s="346" t="s">
        <v>765</v>
      </c>
      <c r="F692" s="346" t="s">
        <v>192</v>
      </c>
      <c r="G692" s="300">
        <f t="shared" si="44"/>
        <v>17453.150000000001</v>
      </c>
      <c r="H692" s="532"/>
      <c r="I692" s="532"/>
      <c r="J692" s="302"/>
      <c r="K692" s="129"/>
    </row>
    <row r="693" spans="1:11" ht="15.75" x14ac:dyDescent="0.25">
      <c r="A693" s="345" t="s">
        <v>193</v>
      </c>
      <c r="B693" s="591">
        <v>906</v>
      </c>
      <c r="C693" s="346" t="s">
        <v>187</v>
      </c>
      <c r="D693" s="346" t="s">
        <v>116</v>
      </c>
      <c r="E693" s="346" t="s">
        <v>765</v>
      </c>
      <c r="F693" s="346" t="s">
        <v>194</v>
      </c>
      <c r="G693" s="18">
        <f>16777.19+40.4+80+80+30+315.24+88+42.32</f>
        <v>17453.150000000001</v>
      </c>
      <c r="H693" s="532"/>
      <c r="I693" s="532"/>
      <c r="J693" s="302"/>
      <c r="K693" s="129"/>
    </row>
    <row r="694" spans="1:11" s="129" customFormat="1" ht="31.7" customHeight="1" x14ac:dyDescent="0.25">
      <c r="A694" s="298" t="s">
        <v>469</v>
      </c>
      <c r="B694" s="296">
        <v>906</v>
      </c>
      <c r="C694" s="299" t="s">
        <v>187</v>
      </c>
      <c r="D694" s="299" t="s">
        <v>116</v>
      </c>
      <c r="E694" s="299" t="s">
        <v>766</v>
      </c>
      <c r="F694" s="299"/>
      <c r="G694" s="28">
        <f>G695+G698</f>
        <v>71195.937000000005</v>
      </c>
      <c r="H694" s="533"/>
      <c r="I694" s="533"/>
      <c r="J694" s="302"/>
    </row>
    <row r="695" spans="1:11" s="129" customFormat="1" ht="78.75" x14ac:dyDescent="0.25">
      <c r="A695" s="22" t="s">
        <v>200</v>
      </c>
      <c r="B695" s="591">
        <v>906</v>
      </c>
      <c r="C695" s="346" t="s">
        <v>187</v>
      </c>
      <c r="D695" s="346" t="s">
        <v>116</v>
      </c>
      <c r="E695" s="346" t="s">
        <v>885</v>
      </c>
      <c r="F695" s="346"/>
      <c r="G695" s="300">
        <f>G696</f>
        <v>2629</v>
      </c>
      <c r="H695" s="533"/>
      <c r="I695" s="533"/>
      <c r="J695" s="302"/>
    </row>
    <row r="696" spans="1:11" s="129" customFormat="1" ht="31.7" customHeight="1" x14ac:dyDescent="0.25">
      <c r="A696" s="345" t="s">
        <v>191</v>
      </c>
      <c r="B696" s="591">
        <v>906</v>
      </c>
      <c r="C696" s="346" t="s">
        <v>187</v>
      </c>
      <c r="D696" s="346" t="s">
        <v>116</v>
      </c>
      <c r="E696" s="346" t="s">
        <v>885</v>
      </c>
      <c r="F696" s="346" t="s">
        <v>192</v>
      </c>
      <c r="G696" s="300">
        <f>G697</f>
        <v>2629</v>
      </c>
      <c r="H696" s="533"/>
      <c r="I696" s="533"/>
      <c r="J696" s="302"/>
    </row>
    <row r="697" spans="1:11" s="129" customFormat="1" ht="18.399999999999999" customHeight="1" x14ac:dyDescent="0.25">
      <c r="A697" s="345" t="s">
        <v>193</v>
      </c>
      <c r="B697" s="591">
        <v>906</v>
      </c>
      <c r="C697" s="346" t="s">
        <v>187</v>
      </c>
      <c r="D697" s="346" t="s">
        <v>116</v>
      </c>
      <c r="E697" s="346" t="s">
        <v>885</v>
      </c>
      <c r="F697" s="346" t="s">
        <v>194</v>
      </c>
      <c r="G697" s="18">
        <f>3050+100+280-150-130-141-380</f>
        <v>2629</v>
      </c>
      <c r="H697" s="533"/>
      <c r="I697" s="533"/>
      <c r="J697" s="302"/>
    </row>
    <row r="698" spans="1:11" s="129" customFormat="1" ht="31.5" x14ac:dyDescent="0.25">
      <c r="A698" s="345" t="s">
        <v>1165</v>
      </c>
      <c r="B698" s="591">
        <v>906</v>
      </c>
      <c r="C698" s="346" t="s">
        <v>187</v>
      </c>
      <c r="D698" s="346" t="s">
        <v>116</v>
      </c>
      <c r="E698" s="346" t="s">
        <v>1166</v>
      </c>
      <c r="F698" s="346"/>
      <c r="G698" s="300">
        <f>G699</f>
        <v>68566.937000000005</v>
      </c>
      <c r="H698" s="532"/>
      <c r="I698" s="532"/>
      <c r="J698" s="302"/>
    </row>
    <row r="699" spans="1:11" s="129" customFormat="1" ht="31.5" x14ac:dyDescent="0.25">
      <c r="A699" s="345" t="s">
        <v>191</v>
      </c>
      <c r="B699" s="591">
        <v>906</v>
      </c>
      <c r="C699" s="346" t="s">
        <v>187</v>
      </c>
      <c r="D699" s="346" t="s">
        <v>116</v>
      </c>
      <c r="E699" s="346" t="s">
        <v>1166</v>
      </c>
      <c r="F699" s="346" t="s">
        <v>192</v>
      </c>
      <c r="G699" s="300">
        <f>G700</f>
        <v>68566.937000000005</v>
      </c>
      <c r="H699" s="532"/>
      <c r="I699" s="532"/>
      <c r="J699" s="302"/>
    </row>
    <row r="700" spans="1:11" s="129" customFormat="1" ht="15.75" x14ac:dyDescent="0.25">
      <c r="A700" s="345" t="s">
        <v>193</v>
      </c>
      <c r="B700" s="591">
        <v>906</v>
      </c>
      <c r="C700" s="346" t="s">
        <v>187</v>
      </c>
      <c r="D700" s="346" t="s">
        <v>116</v>
      </c>
      <c r="E700" s="346" t="s">
        <v>1166</v>
      </c>
      <c r="F700" s="346" t="s">
        <v>194</v>
      </c>
      <c r="G700" s="18">
        <f>59700.2+478.51+2400+724.8+270+246.1+1769.194-1250+4228.133</f>
        <v>68566.937000000005</v>
      </c>
      <c r="H700" s="532"/>
      <c r="I700" s="532"/>
      <c r="J700" s="302"/>
    </row>
    <row r="701" spans="1:11" s="129" customFormat="1" ht="30.2" customHeight="1" x14ac:dyDescent="0.25">
      <c r="A701" s="298" t="s">
        <v>780</v>
      </c>
      <c r="B701" s="296">
        <v>906</v>
      </c>
      <c r="C701" s="299" t="s">
        <v>187</v>
      </c>
      <c r="D701" s="299" t="s">
        <v>116</v>
      </c>
      <c r="E701" s="299" t="s">
        <v>768</v>
      </c>
      <c r="F701" s="299"/>
      <c r="G701" s="297">
        <f>G702+G705+G708</f>
        <v>5053.4000000000005</v>
      </c>
      <c r="H701" s="532"/>
      <c r="I701" s="532"/>
      <c r="J701" s="302"/>
    </row>
    <row r="702" spans="1:11" ht="35.450000000000003" hidden="1" customHeight="1" x14ac:dyDescent="0.25">
      <c r="A702" s="345" t="s">
        <v>195</v>
      </c>
      <c r="B702" s="591">
        <v>906</v>
      </c>
      <c r="C702" s="346" t="s">
        <v>187</v>
      </c>
      <c r="D702" s="346" t="s">
        <v>116</v>
      </c>
      <c r="E702" s="346" t="s">
        <v>827</v>
      </c>
      <c r="F702" s="346"/>
      <c r="G702" s="300">
        <f>G703</f>
        <v>0</v>
      </c>
      <c r="H702" s="532"/>
      <c r="I702" s="532"/>
      <c r="J702" s="302"/>
      <c r="K702" s="129"/>
    </row>
    <row r="703" spans="1:11" ht="35.450000000000003" hidden="1" customHeight="1" x14ac:dyDescent="0.25">
      <c r="A703" s="345" t="s">
        <v>191</v>
      </c>
      <c r="B703" s="591">
        <v>906</v>
      </c>
      <c r="C703" s="346" t="s">
        <v>187</v>
      </c>
      <c r="D703" s="346" t="s">
        <v>116</v>
      </c>
      <c r="E703" s="346" t="s">
        <v>827</v>
      </c>
      <c r="F703" s="346" t="s">
        <v>192</v>
      </c>
      <c r="G703" s="300">
        <f>G704</f>
        <v>0</v>
      </c>
      <c r="H703" s="532"/>
      <c r="I703" s="532"/>
      <c r="J703" s="302"/>
      <c r="K703" s="129"/>
    </row>
    <row r="704" spans="1:11" ht="15.75" hidden="1" customHeight="1" x14ac:dyDescent="0.25">
      <c r="A704" s="345" t="s">
        <v>193</v>
      </c>
      <c r="B704" s="591">
        <v>906</v>
      </c>
      <c r="C704" s="346" t="s">
        <v>187</v>
      </c>
      <c r="D704" s="346" t="s">
        <v>116</v>
      </c>
      <c r="E704" s="346" t="s">
        <v>827</v>
      </c>
      <c r="F704" s="346" t="s">
        <v>194</v>
      </c>
      <c r="G704" s="300"/>
      <c r="H704" s="532"/>
      <c r="I704" s="532"/>
      <c r="J704" s="302"/>
      <c r="K704" s="129"/>
    </row>
    <row r="705" spans="1:11" ht="37.5" hidden="1" customHeight="1" x14ac:dyDescent="0.25">
      <c r="A705" s="345" t="s">
        <v>196</v>
      </c>
      <c r="B705" s="591">
        <v>906</v>
      </c>
      <c r="C705" s="346" t="s">
        <v>187</v>
      </c>
      <c r="D705" s="346" t="s">
        <v>116</v>
      </c>
      <c r="E705" s="346" t="s">
        <v>828</v>
      </c>
      <c r="F705" s="346"/>
      <c r="G705" s="300">
        <f>G706</f>
        <v>0</v>
      </c>
      <c r="H705" s="532"/>
      <c r="I705" s="532"/>
      <c r="J705" s="302"/>
      <c r="K705" s="129"/>
    </row>
    <row r="706" spans="1:11" ht="31.5" hidden="1" x14ac:dyDescent="0.25">
      <c r="A706" s="345" t="s">
        <v>191</v>
      </c>
      <c r="B706" s="591">
        <v>906</v>
      </c>
      <c r="C706" s="346" t="s">
        <v>187</v>
      </c>
      <c r="D706" s="346" t="s">
        <v>116</v>
      </c>
      <c r="E706" s="346" t="s">
        <v>828</v>
      </c>
      <c r="F706" s="346" t="s">
        <v>192</v>
      </c>
      <c r="G706" s="300">
        <f>G707</f>
        <v>0</v>
      </c>
      <c r="H706" s="532"/>
      <c r="I706" s="532"/>
      <c r="J706" s="302"/>
      <c r="K706" s="129"/>
    </row>
    <row r="707" spans="1:11" ht="15.75" hidden="1" x14ac:dyDescent="0.25">
      <c r="A707" s="345" t="s">
        <v>193</v>
      </c>
      <c r="B707" s="591">
        <v>906</v>
      </c>
      <c r="C707" s="346" t="s">
        <v>187</v>
      </c>
      <c r="D707" s="346" t="s">
        <v>116</v>
      </c>
      <c r="E707" s="346" t="s">
        <v>828</v>
      </c>
      <c r="F707" s="346" t="s">
        <v>194</v>
      </c>
      <c r="G707" s="300"/>
      <c r="H707" s="532"/>
      <c r="I707" s="532"/>
      <c r="J707" s="302"/>
      <c r="K707" s="129"/>
    </row>
    <row r="708" spans="1:11" ht="31.5" x14ac:dyDescent="0.25">
      <c r="A708" s="20" t="s">
        <v>238</v>
      </c>
      <c r="B708" s="591">
        <v>906</v>
      </c>
      <c r="C708" s="346" t="s">
        <v>187</v>
      </c>
      <c r="D708" s="346" t="s">
        <v>116</v>
      </c>
      <c r="E708" s="346" t="s">
        <v>769</v>
      </c>
      <c r="F708" s="346"/>
      <c r="G708" s="300">
        <f>G709</f>
        <v>5053.4000000000005</v>
      </c>
      <c r="H708" s="532"/>
      <c r="I708" s="532"/>
      <c r="J708" s="302"/>
      <c r="K708" s="129"/>
    </row>
    <row r="709" spans="1:11" ht="31.5" x14ac:dyDescent="0.25">
      <c r="A709" s="345" t="s">
        <v>191</v>
      </c>
      <c r="B709" s="591">
        <v>906</v>
      </c>
      <c r="C709" s="346" t="s">
        <v>187</v>
      </c>
      <c r="D709" s="346" t="s">
        <v>116</v>
      </c>
      <c r="E709" s="346" t="s">
        <v>769</v>
      </c>
      <c r="F709" s="346" t="s">
        <v>192</v>
      </c>
      <c r="G709" s="300">
        <f>G710</f>
        <v>5053.4000000000005</v>
      </c>
      <c r="H709" s="532"/>
      <c r="I709" s="532"/>
      <c r="J709" s="302"/>
      <c r="K709" s="129"/>
    </row>
    <row r="710" spans="1:11" ht="15.75" x14ac:dyDescent="0.25">
      <c r="A710" s="345" t="s">
        <v>193</v>
      </c>
      <c r="B710" s="591">
        <v>906</v>
      </c>
      <c r="C710" s="346" t="s">
        <v>187</v>
      </c>
      <c r="D710" s="346" t="s">
        <v>116</v>
      </c>
      <c r="E710" s="346" t="s">
        <v>769</v>
      </c>
      <c r="F710" s="346" t="s">
        <v>194</v>
      </c>
      <c r="G710" s="18">
        <f>4766-200-9.4-3.2+500</f>
        <v>5053.4000000000005</v>
      </c>
      <c r="H710" s="532"/>
      <c r="I710" s="532"/>
      <c r="J710" s="302"/>
      <c r="K710" s="129"/>
    </row>
    <row r="711" spans="1:11" s="129" customFormat="1" ht="31.5" x14ac:dyDescent="0.25">
      <c r="A711" s="140" t="s">
        <v>513</v>
      </c>
      <c r="B711" s="296">
        <v>906</v>
      </c>
      <c r="C711" s="299" t="s">
        <v>187</v>
      </c>
      <c r="D711" s="299" t="s">
        <v>116</v>
      </c>
      <c r="E711" s="299" t="s">
        <v>771</v>
      </c>
      <c r="F711" s="299"/>
      <c r="G711" s="28">
        <f>G712+G718+G721+G715</f>
        <v>3062.2080000000005</v>
      </c>
      <c r="H711" s="532"/>
      <c r="I711" s="532"/>
      <c r="J711" s="302"/>
    </row>
    <row r="712" spans="1:11" ht="31.7" hidden="1" customHeight="1" x14ac:dyDescent="0.25">
      <c r="A712" s="345" t="s">
        <v>198</v>
      </c>
      <c r="B712" s="591">
        <v>906</v>
      </c>
      <c r="C712" s="346" t="s">
        <v>187</v>
      </c>
      <c r="D712" s="346" t="s">
        <v>116</v>
      </c>
      <c r="E712" s="346" t="s">
        <v>784</v>
      </c>
      <c r="F712" s="346"/>
      <c r="G712" s="300">
        <f>G713</f>
        <v>0</v>
      </c>
      <c r="H712" s="532"/>
      <c r="I712" s="532"/>
      <c r="J712" s="302"/>
      <c r="K712" s="129"/>
    </row>
    <row r="713" spans="1:11" ht="38.25" hidden="1" customHeight="1" x14ac:dyDescent="0.25">
      <c r="A713" s="345" t="s">
        <v>191</v>
      </c>
      <c r="B713" s="591">
        <v>906</v>
      </c>
      <c r="C713" s="346" t="s">
        <v>187</v>
      </c>
      <c r="D713" s="346" t="s">
        <v>116</v>
      </c>
      <c r="E713" s="346" t="s">
        <v>784</v>
      </c>
      <c r="F713" s="346" t="s">
        <v>192</v>
      </c>
      <c r="G713" s="300">
        <f>G714</f>
        <v>0</v>
      </c>
      <c r="H713" s="532"/>
      <c r="I713" s="532"/>
      <c r="J713" s="302"/>
      <c r="K713" s="129"/>
    </row>
    <row r="714" spans="1:11" ht="15.75" hidden="1" customHeight="1" x14ac:dyDescent="0.25">
      <c r="A714" s="345" t="s">
        <v>193</v>
      </c>
      <c r="B714" s="591">
        <v>906</v>
      </c>
      <c r="C714" s="346" t="s">
        <v>187</v>
      </c>
      <c r="D714" s="346" t="s">
        <v>116</v>
      </c>
      <c r="E714" s="346" t="s">
        <v>784</v>
      </c>
      <c r="F714" s="346" t="s">
        <v>194</v>
      </c>
      <c r="G714" s="300">
        <v>0</v>
      </c>
      <c r="H714" s="532"/>
      <c r="I714" s="532"/>
      <c r="J714" s="302"/>
      <c r="K714" s="129"/>
    </row>
    <row r="715" spans="1:11" s="344" customFormat="1" ht="39.75" customHeight="1" x14ac:dyDescent="0.25">
      <c r="A715" s="624" t="s">
        <v>367</v>
      </c>
      <c r="B715" s="591">
        <v>906</v>
      </c>
      <c r="C715" s="346" t="s">
        <v>187</v>
      </c>
      <c r="D715" s="346" t="s">
        <v>116</v>
      </c>
      <c r="E715" s="346" t="s">
        <v>784</v>
      </c>
      <c r="F715" s="346"/>
      <c r="G715" s="300">
        <f>G716</f>
        <v>28.84</v>
      </c>
      <c r="H715" s="532"/>
      <c r="I715" s="532"/>
      <c r="J715" s="302"/>
    </row>
    <row r="716" spans="1:11" s="344" customFormat="1" ht="34.5" customHeight="1" x14ac:dyDescent="0.25">
      <c r="A716" s="20" t="s">
        <v>191</v>
      </c>
      <c r="B716" s="591">
        <v>906</v>
      </c>
      <c r="C716" s="346" t="s">
        <v>187</v>
      </c>
      <c r="D716" s="346" t="s">
        <v>116</v>
      </c>
      <c r="E716" s="346" t="s">
        <v>784</v>
      </c>
      <c r="F716" s="346" t="s">
        <v>192</v>
      </c>
      <c r="G716" s="300">
        <f>G717</f>
        <v>28.84</v>
      </c>
      <c r="H716" s="532"/>
      <c r="I716" s="532"/>
      <c r="J716" s="302"/>
    </row>
    <row r="717" spans="1:11" s="344" customFormat="1" ht="28.5" customHeight="1" x14ac:dyDescent="0.25">
      <c r="A717" s="108" t="s">
        <v>193</v>
      </c>
      <c r="B717" s="591">
        <v>906</v>
      </c>
      <c r="C717" s="346" t="s">
        <v>187</v>
      </c>
      <c r="D717" s="346" t="s">
        <v>116</v>
      </c>
      <c r="E717" s="346" t="s">
        <v>784</v>
      </c>
      <c r="F717" s="346" t="s">
        <v>194</v>
      </c>
      <c r="G717" s="300">
        <v>28.84</v>
      </c>
      <c r="H717" s="532"/>
      <c r="I717" s="532"/>
      <c r="J717" s="302"/>
    </row>
    <row r="718" spans="1:11" ht="34.5" customHeight="1" x14ac:dyDescent="0.25">
      <c r="A718" s="36" t="s">
        <v>342</v>
      </c>
      <c r="B718" s="591">
        <v>906</v>
      </c>
      <c r="C718" s="346" t="s">
        <v>187</v>
      </c>
      <c r="D718" s="346" t="s">
        <v>116</v>
      </c>
      <c r="E718" s="346" t="s">
        <v>772</v>
      </c>
      <c r="F718" s="346"/>
      <c r="G718" s="300">
        <f>G719</f>
        <v>2066.7600000000002</v>
      </c>
      <c r="H718" s="532"/>
      <c r="I718" s="532"/>
      <c r="J718" s="302"/>
      <c r="K718" s="129"/>
    </row>
    <row r="719" spans="1:11" ht="32.25" customHeight="1" x14ac:dyDescent="0.25">
      <c r="A719" s="20" t="s">
        <v>191</v>
      </c>
      <c r="B719" s="591">
        <v>906</v>
      </c>
      <c r="C719" s="346" t="s">
        <v>187</v>
      </c>
      <c r="D719" s="346" t="s">
        <v>116</v>
      </c>
      <c r="E719" s="346" t="s">
        <v>772</v>
      </c>
      <c r="F719" s="346" t="s">
        <v>192</v>
      </c>
      <c r="G719" s="300">
        <f>G720</f>
        <v>2066.7600000000002</v>
      </c>
      <c r="H719" s="532"/>
      <c r="I719" s="532"/>
      <c r="J719" s="302"/>
      <c r="K719" s="129"/>
    </row>
    <row r="720" spans="1:11" ht="15.75" customHeight="1" x14ac:dyDescent="0.25">
      <c r="A720" s="108" t="s">
        <v>193</v>
      </c>
      <c r="B720" s="591">
        <v>906</v>
      </c>
      <c r="C720" s="346" t="s">
        <v>187</v>
      </c>
      <c r="D720" s="346" t="s">
        <v>116</v>
      </c>
      <c r="E720" s="346" t="s">
        <v>772</v>
      </c>
      <c r="F720" s="346" t="s">
        <v>194</v>
      </c>
      <c r="G720" s="300">
        <f>2882-315.24-500</f>
        <v>2066.7600000000002</v>
      </c>
      <c r="H720" s="532"/>
      <c r="I720" s="532"/>
      <c r="J720" s="302"/>
      <c r="K720" s="129"/>
    </row>
    <row r="721" spans="1:11" ht="50.25" customHeight="1" x14ac:dyDescent="0.25">
      <c r="A721" s="36" t="s">
        <v>343</v>
      </c>
      <c r="B721" s="591">
        <v>906</v>
      </c>
      <c r="C721" s="346" t="s">
        <v>187</v>
      </c>
      <c r="D721" s="346" t="s">
        <v>116</v>
      </c>
      <c r="E721" s="346" t="s">
        <v>773</v>
      </c>
      <c r="F721" s="346"/>
      <c r="G721" s="300">
        <f>G722</f>
        <v>966.60800000000006</v>
      </c>
      <c r="H721" s="532"/>
      <c r="I721" s="532"/>
      <c r="J721" s="302"/>
      <c r="K721" s="129"/>
    </row>
    <row r="722" spans="1:11" ht="31.5" x14ac:dyDescent="0.25">
      <c r="A722" s="20" t="s">
        <v>191</v>
      </c>
      <c r="B722" s="591">
        <v>906</v>
      </c>
      <c r="C722" s="346" t="s">
        <v>187</v>
      </c>
      <c r="D722" s="346" t="s">
        <v>116</v>
      </c>
      <c r="E722" s="346" t="s">
        <v>773</v>
      </c>
      <c r="F722" s="346" t="s">
        <v>192</v>
      </c>
      <c r="G722" s="300">
        <f>G723</f>
        <v>966.60800000000006</v>
      </c>
      <c r="H722" s="532"/>
      <c r="I722" s="532"/>
      <c r="J722" s="302"/>
      <c r="K722" s="129"/>
    </row>
    <row r="723" spans="1:11" ht="15.75" x14ac:dyDescent="0.25">
      <c r="A723" s="108" t="s">
        <v>193</v>
      </c>
      <c r="B723" s="591">
        <v>906</v>
      </c>
      <c r="C723" s="346" t="s">
        <v>187</v>
      </c>
      <c r="D723" s="346" t="s">
        <v>116</v>
      </c>
      <c r="E723" s="346" t="s">
        <v>773</v>
      </c>
      <c r="F723" s="346" t="s">
        <v>194</v>
      </c>
      <c r="G723" s="300">
        <f>1260-49.2-55.032-28.84-30-60-28-32.5-9.82</f>
        <v>966.60800000000006</v>
      </c>
      <c r="H723" s="532"/>
      <c r="I723" s="532"/>
      <c r="J723" s="302"/>
      <c r="K723" s="129"/>
    </row>
    <row r="724" spans="1:11" s="129" customFormat="1" ht="36" customHeight="1" x14ac:dyDescent="0.25">
      <c r="A724" s="298" t="s">
        <v>1117</v>
      </c>
      <c r="B724" s="296">
        <v>906</v>
      </c>
      <c r="C724" s="299" t="s">
        <v>187</v>
      </c>
      <c r="D724" s="299" t="s">
        <v>116</v>
      </c>
      <c r="E724" s="299" t="s">
        <v>774</v>
      </c>
      <c r="F724" s="299"/>
      <c r="G724" s="297">
        <f t="shared" ref="G724:G726" si="45">G725</f>
        <v>202.59999999999997</v>
      </c>
      <c r="H724" s="532"/>
      <c r="I724" s="532"/>
      <c r="J724" s="302"/>
    </row>
    <row r="725" spans="1:11" ht="31.5" x14ac:dyDescent="0.25">
      <c r="A725" s="345" t="s">
        <v>1118</v>
      </c>
      <c r="B725" s="591">
        <v>906</v>
      </c>
      <c r="C725" s="346" t="s">
        <v>187</v>
      </c>
      <c r="D725" s="346" t="s">
        <v>116</v>
      </c>
      <c r="E725" s="346" t="s">
        <v>1119</v>
      </c>
      <c r="F725" s="346"/>
      <c r="G725" s="300">
        <f t="shared" si="45"/>
        <v>202.59999999999997</v>
      </c>
      <c r="H725" s="532"/>
      <c r="I725" s="532"/>
      <c r="J725" s="302"/>
      <c r="K725" s="129"/>
    </row>
    <row r="726" spans="1:11" ht="31.5" x14ac:dyDescent="0.25">
      <c r="A726" s="20" t="s">
        <v>191</v>
      </c>
      <c r="B726" s="591">
        <v>906</v>
      </c>
      <c r="C726" s="346" t="s">
        <v>187</v>
      </c>
      <c r="D726" s="346" t="s">
        <v>116</v>
      </c>
      <c r="E726" s="346" t="s">
        <v>1119</v>
      </c>
      <c r="F726" s="346" t="s">
        <v>192</v>
      </c>
      <c r="G726" s="300">
        <f t="shared" si="45"/>
        <v>202.59999999999997</v>
      </c>
      <c r="H726" s="532"/>
      <c r="I726" s="532"/>
      <c r="J726" s="302"/>
      <c r="K726" s="129"/>
    </row>
    <row r="727" spans="1:11" ht="18.75" customHeight="1" x14ac:dyDescent="0.25">
      <c r="A727" s="108" t="s">
        <v>193</v>
      </c>
      <c r="B727" s="591">
        <v>906</v>
      </c>
      <c r="C727" s="346" t="s">
        <v>187</v>
      </c>
      <c r="D727" s="346" t="s">
        <v>116</v>
      </c>
      <c r="E727" s="346" t="s">
        <v>1119</v>
      </c>
      <c r="F727" s="346" t="s">
        <v>194</v>
      </c>
      <c r="G727" s="300">
        <f>166.7+12.6+90-66.7</f>
        <v>202.59999999999997</v>
      </c>
      <c r="H727" s="532"/>
      <c r="I727" s="532"/>
      <c r="J727" s="302"/>
      <c r="K727" s="129"/>
    </row>
    <row r="728" spans="1:11" s="129" customFormat="1" ht="84.2" customHeight="1" x14ac:dyDescent="0.25">
      <c r="A728" s="298" t="s">
        <v>715</v>
      </c>
      <c r="B728" s="296">
        <v>906</v>
      </c>
      <c r="C728" s="299" t="s">
        <v>187</v>
      </c>
      <c r="D728" s="299" t="s">
        <v>116</v>
      </c>
      <c r="E728" s="299" t="s">
        <v>775</v>
      </c>
      <c r="F728" s="299"/>
      <c r="G728" s="297">
        <f>G729+G732</f>
        <v>1487.3119999999999</v>
      </c>
      <c r="H728" s="532"/>
      <c r="I728" s="532"/>
      <c r="J728" s="302"/>
    </row>
    <row r="729" spans="1:11" s="129" customFormat="1" ht="79.5" customHeight="1" x14ac:dyDescent="0.25">
      <c r="A729" s="96" t="s">
        <v>975</v>
      </c>
      <c r="B729" s="591">
        <v>906</v>
      </c>
      <c r="C729" s="346" t="s">
        <v>187</v>
      </c>
      <c r="D729" s="346" t="s">
        <v>116</v>
      </c>
      <c r="E729" s="346" t="s">
        <v>776</v>
      </c>
      <c r="F729" s="346"/>
      <c r="G729" s="300">
        <f>G730</f>
        <v>1487.3119999999999</v>
      </c>
      <c r="H729" s="532"/>
      <c r="I729" s="532"/>
      <c r="J729" s="302"/>
    </row>
    <row r="730" spans="1:11" s="129" customFormat="1" ht="33.75" customHeight="1" x14ac:dyDescent="0.25">
      <c r="A730" s="345" t="s">
        <v>191</v>
      </c>
      <c r="B730" s="591">
        <v>906</v>
      </c>
      <c r="C730" s="346" t="s">
        <v>187</v>
      </c>
      <c r="D730" s="346" t="s">
        <v>116</v>
      </c>
      <c r="E730" s="346" t="s">
        <v>776</v>
      </c>
      <c r="F730" s="346" t="s">
        <v>192</v>
      </c>
      <c r="G730" s="300">
        <f>G731</f>
        <v>1487.3119999999999</v>
      </c>
      <c r="H730" s="532"/>
      <c r="I730" s="532"/>
      <c r="J730" s="302"/>
    </row>
    <row r="731" spans="1:11" s="129" customFormat="1" ht="18.75" customHeight="1" x14ac:dyDescent="0.25">
      <c r="A731" s="345" t="s">
        <v>193</v>
      </c>
      <c r="B731" s="591">
        <v>906</v>
      </c>
      <c r="C731" s="346" t="s">
        <v>187</v>
      </c>
      <c r="D731" s="346" t="s">
        <v>116</v>
      </c>
      <c r="E731" s="346" t="s">
        <v>776</v>
      </c>
      <c r="F731" s="346" t="s">
        <v>194</v>
      </c>
      <c r="G731" s="300">
        <f>652+27.9+21.18+731.2+55.032</f>
        <v>1487.3119999999999</v>
      </c>
      <c r="H731" s="532"/>
      <c r="I731" s="532"/>
      <c r="J731" s="302"/>
    </row>
    <row r="732" spans="1:11" s="129" customFormat="1" ht="82.5" hidden="1" customHeight="1" x14ac:dyDescent="0.25">
      <c r="A732" s="96" t="s">
        <v>724</v>
      </c>
      <c r="B732" s="591">
        <v>906</v>
      </c>
      <c r="C732" s="346" t="s">
        <v>187</v>
      </c>
      <c r="D732" s="346" t="s">
        <v>116</v>
      </c>
      <c r="E732" s="346" t="s">
        <v>777</v>
      </c>
      <c r="F732" s="346"/>
      <c r="G732" s="300">
        <f>G733</f>
        <v>0</v>
      </c>
      <c r="H732" s="532"/>
      <c r="I732" s="532"/>
      <c r="J732" s="302"/>
    </row>
    <row r="733" spans="1:11" s="129" customFormat="1" ht="36.75" hidden="1" customHeight="1" x14ac:dyDescent="0.25">
      <c r="A733" s="345" t="s">
        <v>191</v>
      </c>
      <c r="B733" s="591">
        <v>906</v>
      </c>
      <c r="C733" s="346" t="s">
        <v>187</v>
      </c>
      <c r="D733" s="346" t="s">
        <v>116</v>
      </c>
      <c r="E733" s="346" t="s">
        <v>777</v>
      </c>
      <c r="F733" s="346" t="s">
        <v>192</v>
      </c>
      <c r="G733" s="300">
        <f>G734</f>
        <v>0</v>
      </c>
      <c r="H733" s="532"/>
      <c r="I733" s="532"/>
      <c r="J733" s="302"/>
    </row>
    <row r="734" spans="1:11" s="129" customFormat="1" ht="18.75" hidden="1" customHeight="1" x14ac:dyDescent="0.25">
      <c r="A734" s="345" t="s">
        <v>193</v>
      </c>
      <c r="B734" s="591">
        <v>906</v>
      </c>
      <c r="C734" s="346" t="s">
        <v>187</v>
      </c>
      <c r="D734" s="346" t="s">
        <v>116</v>
      </c>
      <c r="E734" s="346" t="s">
        <v>777</v>
      </c>
      <c r="F734" s="346" t="s">
        <v>194</v>
      </c>
      <c r="G734" s="300"/>
      <c r="H734" s="532"/>
      <c r="I734" s="532"/>
      <c r="J734" s="302"/>
    </row>
    <row r="735" spans="1:11" s="129" customFormat="1" ht="31.5" hidden="1" x14ac:dyDescent="0.25">
      <c r="A735" s="195" t="s">
        <v>1034</v>
      </c>
      <c r="B735" s="296">
        <v>906</v>
      </c>
      <c r="C735" s="299" t="s">
        <v>187</v>
      </c>
      <c r="D735" s="299" t="s">
        <v>116</v>
      </c>
      <c r="E735" s="299" t="s">
        <v>1036</v>
      </c>
      <c r="F735" s="299"/>
      <c r="G735" s="300">
        <f t="shared" ref="G735:G737" si="46">G736</f>
        <v>0</v>
      </c>
      <c r="H735" s="532"/>
      <c r="I735" s="532"/>
      <c r="J735" s="302"/>
    </row>
    <row r="736" spans="1:11" s="129" customFormat="1" ht="31.5" hidden="1" x14ac:dyDescent="0.25">
      <c r="A736" s="194" t="s">
        <v>1035</v>
      </c>
      <c r="B736" s="591">
        <v>906</v>
      </c>
      <c r="C736" s="346" t="s">
        <v>187</v>
      </c>
      <c r="D736" s="346" t="s">
        <v>116</v>
      </c>
      <c r="E736" s="346" t="s">
        <v>1037</v>
      </c>
      <c r="F736" s="346"/>
      <c r="G736" s="300">
        <f t="shared" si="46"/>
        <v>0</v>
      </c>
      <c r="H736" s="532"/>
      <c r="I736" s="532"/>
      <c r="J736" s="302"/>
    </row>
    <row r="737" spans="1:12" s="129" customFormat="1" ht="31.5" hidden="1" x14ac:dyDescent="0.25">
      <c r="A737" s="22" t="s">
        <v>191</v>
      </c>
      <c r="B737" s="591">
        <v>906</v>
      </c>
      <c r="C737" s="346" t="s">
        <v>187</v>
      </c>
      <c r="D737" s="346" t="s">
        <v>116</v>
      </c>
      <c r="E737" s="346" t="s">
        <v>1037</v>
      </c>
      <c r="F737" s="346" t="s">
        <v>192</v>
      </c>
      <c r="G737" s="300">
        <f t="shared" si="46"/>
        <v>0</v>
      </c>
      <c r="H737" s="532"/>
      <c r="I737" s="532"/>
      <c r="J737" s="302"/>
    </row>
    <row r="738" spans="1:12" s="129" customFormat="1" ht="18.75" hidden="1" customHeight="1" x14ac:dyDescent="0.25">
      <c r="A738" s="22" t="s">
        <v>193</v>
      </c>
      <c r="B738" s="591">
        <v>906</v>
      </c>
      <c r="C738" s="346" t="s">
        <v>187</v>
      </c>
      <c r="D738" s="346" t="s">
        <v>116</v>
      </c>
      <c r="E738" s="346" t="s">
        <v>1037</v>
      </c>
      <c r="F738" s="346" t="s">
        <v>194</v>
      </c>
      <c r="G738" s="300"/>
      <c r="H738" s="530"/>
      <c r="I738" s="530"/>
      <c r="J738" s="302"/>
    </row>
    <row r="739" spans="1:12" s="129" customFormat="1" ht="33" hidden="1" customHeight="1" x14ac:dyDescent="0.25">
      <c r="A739" s="195" t="s">
        <v>1038</v>
      </c>
      <c r="B739" s="296">
        <v>906</v>
      </c>
      <c r="C739" s="299" t="s">
        <v>187</v>
      </c>
      <c r="D739" s="299" t="s">
        <v>116</v>
      </c>
      <c r="E739" s="299" t="s">
        <v>1041</v>
      </c>
      <c r="F739" s="299"/>
      <c r="G739" s="297">
        <f t="shared" ref="G739:G741" si="47">G740</f>
        <v>0</v>
      </c>
      <c r="H739" s="532"/>
      <c r="I739" s="532"/>
      <c r="J739" s="302"/>
    </row>
    <row r="740" spans="1:12" s="129" customFormat="1" ht="33" hidden="1" customHeight="1" x14ac:dyDescent="0.25">
      <c r="A740" s="194" t="s">
        <v>1039</v>
      </c>
      <c r="B740" s="591">
        <v>906</v>
      </c>
      <c r="C740" s="346" t="s">
        <v>187</v>
      </c>
      <c r="D740" s="346" t="s">
        <v>116</v>
      </c>
      <c r="E740" s="346" t="s">
        <v>1040</v>
      </c>
      <c r="F740" s="346"/>
      <c r="G740" s="300">
        <f t="shared" si="47"/>
        <v>0</v>
      </c>
      <c r="H740" s="537"/>
      <c r="I740" s="537"/>
      <c r="J740" s="302"/>
    </row>
    <row r="741" spans="1:12" s="129" customFormat="1" ht="31.5" hidden="1" x14ac:dyDescent="0.25">
      <c r="A741" s="22" t="s">
        <v>191</v>
      </c>
      <c r="B741" s="591">
        <v>906</v>
      </c>
      <c r="C741" s="346" t="s">
        <v>187</v>
      </c>
      <c r="D741" s="346" t="s">
        <v>116</v>
      </c>
      <c r="E741" s="346" t="s">
        <v>1040</v>
      </c>
      <c r="F741" s="346" t="s">
        <v>192</v>
      </c>
      <c r="G741" s="300">
        <f t="shared" si="47"/>
        <v>0</v>
      </c>
      <c r="H741" s="537"/>
      <c r="I741" s="537"/>
      <c r="J741" s="302"/>
    </row>
    <row r="742" spans="1:12" s="129" customFormat="1" ht="18.75" hidden="1" customHeight="1" x14ac:dyDescent="0.25">
      <c r="A742" s="22" t="s">
        <v>193</v>
      </c>
      <c r="B742" s="591">
        <v>906</v>
      </c>
      <c r="C742" s="346" t="s">
        <v>187</v>
      </c>
      <c r="D742" s="346" t="s">
        <v>116</v>
      </c>
      <c r="E742" s="346" t="s">
        <v>1040</v>
      </c>
      <c r="F742" s="346" t="s">
        <v>194</v>
      </c>
      <c r="G742" s="300"/>
      <c r="H742" s="537"/>
      <c r="I742" s="537"/>
      <c r="J742" s="302"/>
      <c r="L742" s="307"/>
    </row>
    <row r="743" spans="1:12" ht="46.9" customHeight="1" x14ac:dyDescent="0.25">
      <c r="A743" s="24" t="s">
        <v>860</v>
      </c>
      <c r="B743" s="296">
        <v>906</v>
      </c>
      <c r="C743" s="299" t="s">
        <v>187</v>
      </c>
      <c r="D743" s="299" t="s">
        <v>116</v>
      </c>
      <c r="E743" s="299" t="s">
        <v>206</v>
      </c>
      <c r="F743" s="299"/>
      <c r="G743" s="297">
        <f t="shared" ref="G743:G746" si="48">G744</f>
        <v>80</v>
      </c>
      <c r="H743" s="532"/>
      <c r="I743" s="532"/>
      <c r="J743" s="302"/>
      <c r="K743" s="129"/>
    </row>
    <row r="744" spans="1:12" s="129" customFormat="1" ht="49.7" customHeight="1" x14ac:dyDescent="0.25">
      <c r="A744" s="24" t="s">
        <v>570</v>
      </c>
      <c r="B744" s="296">
        <v>906</v>
      </c>
      <c r="C744" s="299" t="s">
        <v>187</v>
      </c>
      <c r="D744" s="299" t="s">
        <v>116</v>
      </c>
      <c r="E744" s="299" t="s">
        <v>502</v>
      </c>
      <c r="F744" s="299"/>
      <c r="G744" s="297">
        <f t="shared" si="48"/>
        <v>80</v>
      </c>
      <c r="H744" s="532"/>
      <c r="I744" s="532"/>
      <c r="J744" s="302"/>
    </row>
    <row r="745" spans="1:12" ht="48.95" customHeight="1" x14ac:dyDescent="0.25">
      <c r="A745" s="22" t="s">
        <v>633</v>
      </c>
      <c r="B745" s="591">
        <v>906</v>
      </c>
      <c r="C745" s="346" t="s">
        <v>187</v>
      </c>
      <c r="D745" s="346" t="s">
        <v>116</v>
      </c>
      <c r="E745" s="346" t="s">
        <v>503</v>
      </c>
      <c r="F745" s="346"/>
      <c r="G745" s="300">
        <f t="shared" si="48"/>
        <v>80</v>
      </c>
      <c r="H745" s="532"/>
      <c r="I745" s="532"/>
      <c r="J745" s="302"/>
      <c r="K745" s="129"/>
    </row>
    <row r="746" spans="1:12" ht="42" customHeight="1" x14ac:dyDescent="0.25">
      <c r="A746" s="22" t="s">
        <v>191</v>
      </c>
      <c r="B746" s="591">
        <v>906</v>
      </c>
      <c r="C746" s="346" t="s">
        <v>187</v>
      </c>
      <c r="D746" s="346" t="s">
        <v>116</v>
      </c>
      <c r="E746" s="346" t="s">
        <v>503</v>
      </c>
      <c r="F746" s="346" t="s">
        <v>192</v>
      </c>
      <c r="G746" s="300">
        <f t="shared" si="48"/>
        <v>80</v>
      </c>
      <c r="H746" s="532"/>
      <c r="I746" s="532"/>
      <c r="J746" s="302"/>
      <c r="K746" s="129"/>
    </row>
    <row r="747" spans="1:12" ht="16.5" customHeight="1" x14ac:dyDescent="0.25">
      <c r="A747" s="22" t="s">
        <v>193</v>
      </c>
      <c r="B747" s="591">
        <v>906</v>
      </c>
      <c r="C747" s="346" t="s">
        <v>187</v>
      </c>
      <c r="D747" s="346" t="s">
        <v>116</v>
      </c>
      <c r="E747" s="346" t="s">
        <v>503</v>
      </c>
      <c r="F747" s="346" t="s">
        <v>194</v>
      </c>
      <c r="G747" s="300">
        <v>80</v>
      </c>
      <c r="H747" s="532"/>
      <c r="I747" s="532"/>
      <c r="J747" s="302"/>
      <c r="K747" s="129"/>
    </row>
    <row r="748" spans="1:12" ht="46.5" customHeight="1" x14ac:dyDescent="0.25">
      <c r="A748" s="340" t="s">
        <v>845</v>
      </c>
      <c r="B748" s="296">
        <v>906</v>
      </c>
      <c r="C748" s="299" t="s">
        <v>187</v>
      </c>
      <c r="D748" s="299" t="s">
        <v>116</v>
      </c>
      <c r="E748" s="299" t="s">
        <v>339</v>
      </c>
      <c r="F748" s="304"/>
      <c r="G748" s="297">
        <f>G750</f>
        <v>621</v>
      </c>
      <c r="H748" s="532"/>
      <c r="I748" s="532"/>
      <c r="J748" s="302"/>
      <c r="K748" s="129"/>
    </row>
    <row r="749" spans="1:12" s="129" customFormat="1" ht="46.5" customHeight="1" x14ac:dyDescent="0.25">
      <c r="A749" s="340" t="s">
        <v>461</v>
      </c>
      <c r="B749" s="296">
        <v>906</v>
      </c>
      <c r="C749" s="299" t="s">
        <v>187</v>
      </c>
      <c r="D749" s="299" t="s">
        <v>116</v>
      </c>
      <c r="E749" s="299" t="s">
        <v>459</v>
      </c>
      <c r="F749" s="304"/>
      <c r="G749" s="297">
        <f t="shared" ref="G749:G751" si="49">G750</f>
        <v>621</v>
      </c>
      <c r="H749" s="532"/>
      <c r="I749" s="532"/>
      <c r="J749" s="302"/>
    </row>
    <row r="750" spans="1:12" ht="36" customHeight="1" x14ac:dyDescent="0.25">
      <c r="A750" s="67" t="s">
        <v>357</v>
      </c>
      <c r="B750" s="591">
        <v>906</v>
      </c>
      <c r="C750" s="346" t="s">
        <v>187</v>
      </c>
      <c r="D750" s="346" t="s">
        <v>116</v>
      </c>
      <c r="E750" s="346" t="s">
        <v>504</v>
      </c>
      <c r="F750" s="301"/>
      <c r="G750" s="300">
        <f t="shared" si="49"/>
        <v>621</v>
      </c>
      <c r="H750" s="532"/>
      <c r="I750" s="532"/>
      <c r="J750" s="302"/>
      <c r="K750" s="129"/>
    </row>
    <row r="751" spans="1:12" ht="35.450000000000003" customHeight="1" x14ac:dyDescent="0.25">
      <c r="A751" s="20" t="s">
        <v>191</v>
      </c>
      <c r="B751" s="591">
        <v>906</v>
      </c>
      <c r="C751" s="346" t="s">
        <v>187</v>
      </c>
      <c r="D751" s="346" t="s">
        <v>116</v>
      </c>
      <c r="E751" s="346" t="s">
        <v>504</v>
      </c>
      <c r="F751" s="301" t="s">
        <v>192</v>
      </c>
      <c r="G751" s="300">
        <f t="shared" si="49"/>
        <v>621</v>
      </c>
      <c r="H751" s="532"/>
      <c r="I751" s="532"/>
      <c r="J751" s="302"/>
      <c r="K751" s="129"/>
    </row>
    <row r="752" spans="1:12" ht="15.75" customHeight="1" x14ac:dyDescent="0.25">
      <c r="A752" s="108" t="s">
        <v>193</v>
      </c>
      <c r="B752" s="591">
        <v>906</v>
      </c>
      <c r="C752" s="346" t="s">
        <v>187</v>
      </c>
      <c r="D752" s="346" t="s">
        <v>116</v>
      </c>
      <c r="E752" s="346" t="s">
        <v>504</v>
      </c>
      <c r="F752" s="301" t="s">
        <v>194</v>
      </c>
      <c r="G752" s="300">
        <f>571.8+49.2</f>
        <v>621</v>
      </c>
      <c r="H752" s="532"/>
      <c r="I752" s="532"/>
      <c r="J752" s="302"/>
      <c r="K752" s="129"/>
    </row>
    <row r="753" spans="1:11" ht="15.75" x14ac:dyDescent="0.25">
      <c r="A753" s="298" t="s">
        <v>239</v>
      </c>
      <c r="B753" s="296">
        <v>906</v>
      </c>
      <c r="C753" s="299" t="s">
        <v>187</v>
      </c>
      <c r="D753" s="299" t="s">
        <v>158</v>
      </c>
      <c r="E753" s="299"/>
      <c r="F753" s="299"/>
      <c r="G753" s="297">
        <f>G754+G835+G840</f>
        <v>198494.01600000003</v>
      </c>
      <c r="H753" s="532"/>
      <c r="I753" s="532"/>
      <c r="J753" s="302"/>
      <c r="K753" s="129"/>
    </row>
    <row r="754" spans="1:11" ht="36.75" customHeight="1" x14ac:dyDescent="0.25">
      <c r="A754" s="298" t="s">
        <v>861</v>
      </c>
      <c r="B754" s="296">
        <v>906</v>
      </c>
      <c r="C754" s="299" t="s">
        <v>187</v>
      </c>
      <c r="D754" s="299" t="s">
        <v>158</v>
      </c>
      <c r="E754" s="299" t="s">
        <v>237</v>
      </c>
      <c r="F754" s="299"/>
      <c r="G754" s="297">
        <f>G755+G759+G772+G788+G795+G799+G803+G823+G807+G811+G827+G815+G819+G831</f>
        <v>197504.10000000003</v>
      </c>
      <c r="H754" s="536"/>
      <c r="I754" s="536"/>
      <c r="J754" s="302"/>
      <c r="K754" s="129"/>
    </row>
    <row r="755" spans="1:11" s="129" customFormat="1" ht="37.5" customHeight="1" x14ac:dyDescent="0.25">
      <c r="A755" s="298" t="s">
        <v>505</v>
      </c>
      <c r="B755" s="296">
        <v>906</v>
      </c>
      <c r="C755" s="299" t="s">
        <v>187</v>
      </c>
      <c r="D755" s="299" t="s">
        <v>158</v>
      </c>
      <c r="E755" s="299" t="s">
        <v>764</v>
      </c>
      <c r="F755" s="299"/>
      <c r="G755" s="297">
        <f t="shared" ref="G755:G757" si="50">G756</f>
        <v>32181.86</v>
      </c>
      <c r="H755" s="532"/>
      <c r="I755" s="532"/>
      <c r="J755" s="302"/>
    </row>
    <row r="756" spans="1:11" ht="31.5" x14ac:dyDescent="0.25">
      <c r="A756" s="345" t="s">
        <v>767</v>
      </c>
      <c r="B756" s="591">
        <v>906</v>
      </c>
      <c r="C756" s="346" t="s">
        <v>187</v>
      </c>
      <c r="D756" s="346" t="s">
        <v>158</v>
      </c>
      <c r="E756" s="346" t="s">
        <v>778</v>
      </c>
      <c r="F756" s="346"/>
      <c r="G756" s="300">
        <f t="shared" si="50"/>
        <v>32181.86</v>
      </c>
      <c r="H756" s="532"/>
      <c r="I756" s="532"/>
      <c r="J756" s="302"/>
      <c r="K756" s="129"/>
    </row>
    <row r="757" spans="1:11" ht="32.25" customHeight="1" x14ac:dyDescent="0.25">
      <c r="A757" s="345" t="s">
        <v>191</v>
      </c>
      <c r="B757" s="591">
        <v>906</v>
      </c>
      <c r="C757" s="346" t="s">
        <v>187</v>
      </c>
      <c r="D757" s="346" t="s">
        <v>158</v>
      </c>
      <c r="E757" s="346" t="s">
        <v>778</v>
      </c>
      <c r="F757" s="346" t="s">
        <v>192</v>
      </c>
      <c r="G757" s="300">
        <f t="shared" si="50"/>
        <v>32181.86</v>
      </c>
      <c r="H757" s="532"/>
      <c r="I757" s="532"/>
      <c r="J757" s="302"/>
      <c r="K757" s="129"/>
    </row>
    <row r="758" spans="1:11" ht="15.75" x14ac:dyDescent="0.25">
      <c r="A758" s="345" t="s">
        <v>193</v>
      </c>
      <c r="B758" s="591">
        <v>906</v>
      </c>
      <c r="C758" s="346" t="s">
        <v>187</v>
      </c>
      <c r="D758" s="346" t="s">
        <v>158</v>
      </c>
      <c r="E758" s="346" t="s">
        <v>778</v>
      </c>
      <c r="F758" s="346" t="s">
        <v>194</v>
      </c>
      <c r="G758" s="18">
        <f>30618.41+490+1073.45</f>
        <v>32181.86</v>
      </c>
      <c r="H758" s="532"/>
      <c r="I758" s="532"/>
      <c r="J758" s="302"/>
      <c r="K758" s="129"/>
    </row>
    <row r="759" spans="1:11" s="129" customFormat="1" ht="36.75" customHeight="1" x14ac:dyDescent="0.25">
      <c r="A759" s="298" t="s">
        <v>469</v>
      </c>
      <c r="B759" s="296">
        <v>906</v>
      </c>
      <c r="C759" s="299" t="s">
        <v>187</v>
      </c>
      <c r="D759" s="299" t="s">
        <v>158</v>
      </c>
      <c r="E759" s="299" t="s">
        <v>766</v>
      </c>
      <c r="F759" s="299"/>
      <c r="G759" s="28">
        <f>G760+G763+G766+G769</f>
        <v>149207.22600000002</v>
      </c>
      <c r="H759" s="532"/>
      <c r="I759" s="532"/>
      <c r="J759" s="302"/>
    </row>
    <row r="760" spans="1:11" s="129" customFormat="1" ht="50.25" customHeight="1" x14ac:dyDescent="0.25">
      <c r="A760" s="345" t="s">
        <v>887</v>
      </c>
      <c r="B760" s="591">
        <v>906</v>
      </c>
      <c r="C760" s="346" t="s">
        <v>187</v>
      </c>
      <c r="D760" s="346" t="s">
        <v>158</v>
      </c>
      <c r="E760" s="346" t="s">
        <v>888</v>
      </c>
      <c r="F760" s="346"/>
      <c r="G760" s="18">
        <f>G761</f>
        <v>7062.0999999999995</v>
      </c>
      <c r="H760" s="532"/>
      <c r="I760" s="532"/>
      <c r="J760" s="302"/>
    </row>
    <row r="761" spans="1:11" s="129" customFormat="1" ht="36.75" customHeight="1" x14ac:dyDescent="0.25">
      <c r="A761" s="345" t="s">
        <v>191</v>
      </c>
      <c r="B761" s="591">
        <v>906</v>
      </c>
      <c r="C761" s="346" t="s">
        <v>187</v>
      </c>
      <c r="D761" s="346" t="s">
        <v>158</v>
      </c>
      <c r="E761" s="346" t="s">
        <v>888</v>
      </c>
      <c r="F761" s="346" t="s">
        <v>192</v>
      </c>
      <c r="G761" s="18">
        <f>G762</f>
        <v>7062.0999999999995</v>
      </c>
      <c r="H761" s="532"/>
      <c r="I761" s="532"/>
      <c r="J761" s="302"/>
    </row>
    <row r="762" spans="1:11" s="129" customFormat="1" ht="19.7" customHeight="1" x14ac:dyDescent="0.25">
      <c r="A762" s="345" t="s">
        <v>193</v>
      </c>
      <c r="B762" s="591">
        <v>906</v>
      </c>
      <c r="C762" s="346" t="s">
        <v>187</v>
      </c>
      <c r="D762" s="346" t="s">
        <v>158</v>
      </c>
      <c r="E762" s="346" t="s">
        <v>888</v>
      </c>
      <c r="F762" s="346" t="s">
        <v>194</v>
      </c>
      <c r="G762" s="18">
        <f>7421.4-359.3</f>
        <v>7062.0999999999995</v>
      </c>
      <c r="H762" s="532"/>
      <c r="I762" s="532"/>
      <c r="J762" s="302"/>
    </row>
    <row r="763" spans="1:11" s="129" customFormat="1" ht="88.35" customHeight="1" x14ac:dyDescent="0.25">
      <c r="A763" s="22" t="s">
        <v>200</v>
      </c>
      <c r="B763" s="591">
        <v>906</v>
      </c>
      <c r="C763" s="346" t="s">
        <v>187</v>
      </c>
      <c r="D763" s="346" t="s">
        <v>158</v>
      </c>
      <c r="E763" s="346" t="s">
        <v>885</v>
      </c>
      <c r="F763" s="346"/>
      <c r="G763" s="300">
        <f>G764</f>
        <v>4631</v>
      </c>
      <c r="H763" s="532"/>
      <c r="I763" s="532"/>
      <c r="J763" s="302"/>
    </row>
    <row r="764" spans="1:11" s="129" customFormat="1" ht="36.75" customHeight="1" x14ac:dyDescent="0.25">
      <c r="A764" s="345" t="s">
        <v>191</v>
      </c>
      <c r="B764" s="591">
        <v>906</v>
      </c>
      <c r="C764" s="346" t="s">
        <v>187</v>
      </c>
      <c r="D764" s="346" t="s">
        <v>158</v>
      </c>
      <c r="E764" s="346" t="s">
        <v>885</v>
      </c>
      <c r="F764" s="346" t="s">
        <v>192</v>
      </c>
      <c r="G764" s="300">
        <f>G765</f>
        <v>4631</v>
      </c>
      <c r="H764" s="532"/>
      <c r="I764" s="532"/>
      <c r="J764" s="302"/>
    </row>
    <row r="765" spans="1:11" s="129" customFormat="1" ht="14.25" customHeight="1" x14ac:dyDescent="0.25">
      <c r="A765" s="345" t="s">
        <v>193</v>
      </c>
      <c r="B765" s="591">
        <v>906</v>
      </c>
      <c r="C765" s="346" t="s">
        <v>187</v>
      </c>
      <c r="D765" s="346" t="s">
        <v>158</v>
      </c>
      <c r="E765" s="346" t="s">
        <v>885</v>
      </c>
      <c r="F765" s="346" t="s">
        <v>194</v>
      </c>
      <c r="G765" s="18">
        <f>5000+1-150-31-50-150-100+111</f>
        <v>4631</v>
      </c>
      <c r="H765" s="532"/>
      <c r="I765" s="532"/>
      <c r="J765" s="302"/>
    </row>
    <row r="766" spans="1:11" s="129" customFormat="1" ht="47.25" x14ac:dyDescent="0.25">
      <c r="A766" s="22" t="s">
        <v>244</v>
      </c>
      <c r="B766" s="591">
        <v>906</v>
      </c>
      <c r="C766" s="346" t="s">
        <v>187</v>
      </c>
      <c r="D766" s="346" t="s">
        <v>158</v>
      </c>
      <c r="E766" s="346" t="s">
        <v>779</v>
      </c>
      <c r="F766" s="346"/>
      <c r="G766" s="300">
        <f>G767</f>
        <v>721.09999999999991</v>
      </c>
      <c r="H766" s="532"/>
      <c r="I766" s="532"/>
      <c r="J766" s="302"/>
    </row>
    <row r="767" spans="1:11" s="129" customFormat="1" ht="31.5" x14ac:dyDescent="0.25">
      <c r="A767" s="345" t="s">
        <v>191</v>
      </c>
      <c r="B767" s="591">
        <v>906</v>
      </c>
      <c r="C767" s="346" t="s">
        <v>187</v>
      </c>
      <c r="D767" s="346" t="s">
        <v>158</v>
      </c>
      <c r="E767" s="346" t="s">
        <v>779</v>
      </c>
      <c r="F767" s="346" t="s">
        <v>192</v>
      </c>
      <c r="G767" s="300">
        <f>G768</f>
        <v>721.09999999999991</v>
      </c>
      <c r="H767" s="532"/>
      <c r="I767" s="532"/>
      <c r="J767" s="302"/>
    </row>
    <row r="768" spans="1:11" s="129" customFormat="1" ht="15.75" x14ac:dyDescent="0.25">
      <c r="A768" s="345" t="s">
        <v>193</v>
      </c>
      <c r="B768" s="591">
        <v>906</v>
      </c>
      <c r="C768" s="346" t="s">
        <v>187</v>
      </c>
      <c r="D768" s="346" t="s">
        <v>158</v>
      </c>
      <c r="E768" s="346" t="s">
        <v>779</v>
      </c>
      <c r="F768" s="346" t="s">
        <v>194</v>
      </c>
      <c r="G768" s="18">
        <f>909.3-188.2</f>
        <v>721.09999999999991</v>
      </c>
      <c r="H768" s="532"/>
      <c r="I768" s="532"/>
      <c r="J768" s="302"/>
    </row>
    <row r="769" spans="1:10" s="344" customFormat="1" ht="31.5" x14ac:dyDescent="0.25">
      <c r="A769" s="345" t="s">
        <v>1165</v>
      </c>
      <c r="B769" s="591">
        <v>906</v>
      </c>
      <c r="C769" s="346" t="s">
        <v>187</v>
      </c>
      <c r="D769" s="346" t="s">
        <v>158</v>
      </c>
      <c r="E769" s="346" t="s">
        <v>1166</v>
      </c>
      <c r="F769" s="346"/>
      <c r="G769" s="18">
        <f>G770</f>
        <v>136793.02600000001</v>
      </c>
      <c r="H769" s="532"/>
      <c r="I769" s="532"/>
      <c r="J769" s="302"/>
    </row>
    <row r="770" spans="1:10" s="344" customFormat="1" ht="31.5" x14ac:dyDescent="0.25">
      <c r="A770" s="345" t="s">
        <v>191</v>
      </c>
      <c r="B770" s="591">
        <v>906</v>
      </c>
      <c r="C770" s="346" t="s">
        <v>187</v>
      </c>
      <c r="D770" s="346" t="s">
        <v>158</v>
      </c>
      <c r="E770" s="346" t="s">
        <v>1166</v>
      </c>
      <c r="F770" s="346" t="s">
        <v>192</v>
      </c>
      <c r="G770" s="18">
        <f>G771</f>
        <v>136793.02600000001</v>
      </c>
      <c r="H770" s="532"/>
      <c r="I770" s="532"/>
      <c r="J770" s="302"/>
    </row>
    <row r="771" spans="1:10" s="344" customFormat="1" ht="15.75" x14ac:dyDescent="0.25">
      <c r="A771" s="345" t="s">
        <v>193</v>
      </c>
      <c r="B771" s="591">
        <v>906</v>
      </c>
      <c r="C771" s="346" t="s">
        <v>187</v>
      </c>
      <c r="D771" s="346" t="s">
        <v>158</v>
      </c>
      <c r="E771" s="346" t="s">
        <v>1166</v>
      </c>
      <c r="F771" s="346" t="s">
        <v>194</v>
      </c>
      <c r="G771" s="18">
        <f>141806-335.19-2400-994.8-1769.194+1223-736.79</f>
        <v>136793.02600000001</v>
      </c>
      <c r="H771" s="532"/>
      <c r="I771" s="532"/>
      <c r="J771" s="302"/>
    </row>
    <row r="772" spans="1:10" s="129" customFormat="1" ht="35.450000000000003" customHeight="1" x14ac:dyDescent="0.25">
      <c r="A772" s="298" t="s">
        <v>780</v>
      </c>
      <c r="B772" s="593">
        <v>906</v>
      </c>
      <c r="C772" s="299" t="s">
        <v>187</v>
      </c>
      <c r="D772" s="299" t="s">
        <v>158</v>
      </c>
      <c r="E772" s="299" t="s">
        <v>768</v>
      </c>
      <c r="F772" s="299"/>
      <c r="G772" s="297">
        <f>G773+G776+G779+G782+G785</f>
        <v>1200.5999999999999</v>
      </c>
      <c r="H772" s="532"/>
      <c r="I772" s="532"/>
      <c r="J772" s="302"/>
    </row>
    <row r="773" spans="1:10" s="129" customFormat="1" ht="35.450000000000003" hidden="1" customHeight="1" x14ac:dyDescent="0.25">
      <c r="A773" s="345" t="s">
        <v>242</v>
      </c>
      <c r="B773" s="594">
        <v>906</v>
      </c>
      <c r="C773" s="346" t="s">
        <v>187</v>
      </c>
      <c r="D773" s="346" t="s">
        <v>158</v>
      </c>
      <c r="E773" s="346" t="s">
        <v>826</v>
      </c>
      <c r="F773" s="346"/>
      <c r="G773" s="300">
        <f>G774</f>
        <v>0</v>
      </c>
      <c r="H773" s="532"/>
      <c r="I773" s="532"/>
      <c r="J773" s="302"/>
    </row>
    <row r="774" spans="1:10" s="129" customFormat="1" ht="39.75" hidden="1" customHeight="1" x14ac:dyDescent="0.25">
      <c r="A774" s="345" t="s">
        <v>191</v>
      </c>
      <c r="B774" s="594">
        <v>906</v>
      </c>
      <c r="C774" s="346" t="s">
        <v>187</v>
      </c>
      <c r="D774" s="346" t="s">
        <v>158</v>
      </c>
      <c r="E774" s="346" t="s">
        <v>826</v>
      </c>
      <c r="F774" s="346" t="s">
        <v>192</v>
      </c>
      <c r="G774" s="300">
        <f>G775</f>
        <v>0</v>
      </c>
      <c r="H774" s="532"/>
      <c r="I774" s="532"/>
      <c r="J774" s="302"/>
    </row>
    <row r="775" spans="1:10" s="129" customFormat="1" ht="18.75" hidden="1" customHeight="1" x14ac:dyDescent="0.25">
      <c r="A775" s="345" t="s">
        <v>193</v>
      </c>
      <c r="B775" s="594">
        <v>906</v>
      </c>
      <c r="C775" s="346" t="s">
        <v>187</v>
      </c>
      <c r="D775" s="346" t="s">
        <v>158</v>
      </c>
      <c r="E775" s="346" t="s">
        <v>826</v>
      </c>
      <c r="F775" s="346" t="s">
        <v>194</v>
      </c>
      <c r="G775" s="300">
        <v>0</v>
      </c>
      <c r="H775" s="532"/>
      <c r="I775" s="532"/>
      <c r="J775" s="302"/>
    </row>
    <row r="776" spans="1:10" s="129" customFormat="1" ht="41.25" customHeight="1" x14ac:dyDescent="0.25">
      <c r="A776" s="345" t="s">
        <v>195</v>
      </c>
      <c r="B776" s="594">
        <v>906</v>
      </c>
      <c r="C776" s="346" t="s">
        <v>187</v>
      </c>
      <c r="D776" s="346" t="s">
        <v>158</v>
      </c>
      <c r="E776" s="346" t="s">
        <v>827</v>
      </c>
      <c r="F776" s="346"/>
      <c r="G776" s="300">
        <f>G777</f>
        <v>900</v>
      </c>
      <c r="H776" s="532"/>
      <c r="I776" s="532"/>
      <c r="J776" s="302"/>
    </row>
    <row r="777" spans="1:10" s="129" customFormat="1" ht="33" customHeight="1" x14ac:dyDescent="0.25">
      <c r="A777" s="345" t="s">
        <v>191</v>
      </c>
      <c r="B777" s="594">
        <v>906</v>
      </c>
      <c r="C777" s="346" t="s">
        <v>187</v>
      </c>
      <c r="D777" s="346" t="s">
        <v>158</v>
      </c>
      <c r="E777" s="346" t="s">
        <v>827</v>
      </c>
      <c r="F777" s="346" t="s">
        <v>192</v>
      </c>
      <c r="G777" s="300">
        <f>G778</f>
        <v>900</v>
      </c>
      <c r="H777" s="532"/>
      <c r="I777" s="532"/>
      <c r="J777" s="302"/>
    </row>
    <row r="778" spans="1:10" s="129" customFormat="1" ht="18.75" customHeight="1" x14ac:dyDescent="0.25">
      <c r="A778" s="345" t="s">
        <v>193</v>
      </c>
      <c r="B778" s="594">
        <v>906</v>
      </c>
      <c r="C778" s="346" t="s">
        <v>187</v>
      </c>
      <c r="D778" s="346" t="s">
        <v>158</v>
      </c>
      <c r="E778" s="346" t="s">
        <v>827</v>
      </c>
      <c r="F778" s="346" t="s">
        <v>194</v>
      </c>
      <c r="G778" s="300">
        <f>300+600</f>
        <v>900</v>
      </c>
      <c r="H778" s="532"/>
      <c r="I778" s="532"/>
      <c r="J778" s="302"/>
    </row>
    <row r="779" spans="1:10" s="129" customFormat="1" ht="31.7" hidden="1" customHeight="1" x14ac:dyDescent="0.25">
      <c r="A779" s="345" t="s">
        <v>196</v>
      </c>
      <c r="B779" s="594">
        <v>906</v>
      </c>
      <c r="C779" s="346" t="s">
        <v>187</v>
      </c>
      <c r="D779" s="346" t="s">
        <v>158</v>
      </c>
      <c r="E779" s="346" t="s">
        <v>828</v>
      </c>
      <c r="F779" s="346"/>
      <c r="G779" s="300">
        <f>G780</f>
        <v>0</v>
      </c>
      <c r="H779" s="532"/>
      <c r="I779" s="532"/>
      <c r="J779" s="302"/>
    </row>
    <row r="780" spans="1:10" s="129" customFormat="1" ht="29.25" hidden="1" customHeight="1" x14ac:dyDescent="0.25">
      <c r="A780" s="345" t="s">
        <v>191</v>
      </c>
      <c r="B780" s="594">
        <v>906</v>
      </c>
      <c r="C780" s="346" t="s">
        <v>187</v>
      </c>
      <c r="D780" s="346" t="s">
        <v>158</v>
      </c>
      <c r="E780" s="346" t="s">
        <v>828</v>
      </c>
      <c r="F780" s="346" t="s">
        <v>192</v>
      </c>
      <c r="G780" s="300">
        <f>G781</f>
        <v>0</v>
      </c>
      <c r="H780" s="532"/>
      <c r="I780" s="532"/>
      <c r="J780" s="302"/>
    </row>
    <row r="781" spans="1:10" s="129" customFormat="1" ht="18.75" hidden="1" customHeight="1" x14ac:dyDescent="0.25">
      <c r="A781" s="345" t="s">
        <v>193</v>
      </c>
      <c r="B781" s="594">
        <v>906</v>
      </c>
      <c r="C781" s="346" t="s">
        <v>187</v>
      </c>
      <c r="D781" s="346" t="s">
        <v>158</v>
      </c>
      <c r="E781" s="346" t="s">
        <v>828</v>
      </c>
      <c r="F781" s="346" t="s">
        <v>194</v>
      </c>
      <c r="G781" s="300"/>
      <c r="H781" s="532"/>
      <c r="I781" s="532"/>
      <c r="J781" s="302"/>
    </row>
    <row r="782" spans="1:10" s="129" customFormat="1" ht="36" customHeight="1" x14ac:dyDescent="0.25">
      <c r="A782" s="345" t="s">
        <v>197</v>
      </c>
      <c r="B782" s="594">
        <v>906</v>
      </c>
      <c r="C782" s="346" t="s">
        <v>187</v>
      </c>
      <c r="D782" s="346" t="s">
        <v>158</v>
      </c>
      <c r="E782" s="346" t="s">
        <v>781</v>
      </c>
      <c r="F782" s="346"/>
      <c r="G782" s="300">
        <f>G783</f>
        <v>208.6</v>
      </c>
      <c r="H782" s="532"/>
      <c r="I782" s="532"/>
      <c r="J782" s="302"/>
    </row>
    <row r="783" spans="1:10" s="129" customFormat="1" ht="39.75" customHeight="1" x14ac:dyDescent="0.25">
      <c r="A783" s="345" t="s">
        <v>191</v>
      </c>
      <c r="B783" s="594">
        <v>906</v>
      </c>
      <c r="C783" s="346" t="s">
        <v>187</v>
      </c>
      <c r="D783" s="346" t="s">
        <v>158</v>
      </c>
      <c r="E783" s="346" t="s">
        <v>781</v>
      </c>
      <c r="F783" s="346" t="s">
        <v>192</v>
      </c>
      <c r="G783" s="300">
        <f>G784</f>
        <v>208.6</v>
      </c>
      <c r="H783" s="532"/>
      <c r="I783" s="532"/>
      <c r="J783" s="302"/>
    </row>
    <row r="784" spans="1:10" s="129" customFormat="1" ht="18.75" customHeight="1" x14ac:dyDescent="0.25">
      <c r="A784" s="345" t="s">
        <v>193</v>
      </c>
      <c r="B784" s="594">
        <v>906</v>
      </c>
      <c r="C784" s="346" t="s">
        <v>187</v>
      </c>
      <c r="D784" s="346" t="s">
        <v>158</v>
      </c>
      <c r="E784" s="346" t="s">
        <v>781</v>
      </c>
      <c r="F784" s="346" t="s">
        <v>194</v>
      </c>
      <c r="G784" s="300">
        <f>208.6</f>
        <v>208.6</v>
      </c>
      <c r="H784" s="532"/>
      <c r="I784" s="532"/>
      <c r="J784" s="302"/>
    </row>
    <row r="785" spans="1:11" s="344" customFormat="1" ht="50.25" customHeight="1" x14ac:dyDescent="0.25">
      <c r="A785" s="345" t="s">
        <v>1357</v>
      </c>
      <c r="B785" s="594">
        <v>906</v>
      </c>
      <c r="C785" s="346" t="s">
        <v>187</v>
      </c>
      <c r="D785" s="346" t="s">
        <v>158</v>
      </c>
      <c r="E785" s="346" t="s">
        <v>1356</v>
      </c>
      <c r="F785" s="346"/>
      <c r="G785" s="297">
        <f>G786</f>
        <v>92</v>
      </c>
      <c r="H785" s="532"/>
      <c r="I785" s="532"/>
      <c r="J785" s="302"/>
    </row>
    <row r="786" spans="1:11" s="344" customFormat="1" ht="39" customHeight="1" x14ac:dyDescent="0.25">
      <c r="A786" s="643" t="s">
        <v>191</v>
      </c>
      <c r="B786" s="594">
        <v>906</v>
      </c>
      <c r="C786" s="346" t="s">
        <v>187</v>
      </c>
      <c r="D786" s="346" t="s">
        <v>158</v>
      </c>
      <c r="E786" s="346" t="s">
        <v>1356</v>
      </c>
      <c r="F786" s="346" t="s">
        <v>192</v>
      </c>
      <c r="G786" s="300">
        <f>G787</f>
        <v>92</v>
      </c>
      <c r="H786" s="532"/>
      <c r="I786" s="532"/>
      <c r="J786" s="302"/>
    </row>
    <row r="787" spans="1:11" s="344" customFormat="1" ht="18.75" customHeight="1" x14ac:dyDescent="0.25">
      <c r="A787" s="643" t="s">
        <v>193</v>
      </c>
      <c r="B787" s="594">
        <v>906</v>
      </c>
      <c r="C787" s="346" t="s">
        <v>187</v>
      </c>
      <c r="D787" s="346" t="s">
        <v>158</v>
      </c>
      <c r="E787" s="346" t="s">
        <v>1356</v>
      </c>
      <c r="F787" s="346" t="s">
        <v>194</v>
      </c>
      <c r="G787" s="300">
        <v>92</v>
      </c>
      <c r="H787" s="532"/>
      <c r="I787" s="532"/>
      <c r="J787" s="302"/>
    </row>
    <row r="788" spans="1:11" s="129" customFormat="1" ht="34.5" customHeight="1" x14ac:dyDescent="0.25">
      <c r="A788" s="140" t="s">
        <v>513</v>
      </c>
      <c r="B788" s="296">
        <v>906</v>
      </c>
      <c r="C788" s="299" t="s">
        <v>187</v>
      </c>
      <c r="D788" s="299" t="s">
        <v>158</v>
      </c>
      <c r="E788" s="299" t="s">
        <v>771</v>
      </c>
      <c r="F788" s="299"/>
      <c r="G788" s="28">
        <f>G789+G792</f>
        <v>2875</v>
      </c>
      <c r="H788" s="532"/>
      <c r="I788" s="532"/>
      <c r="J788" s="302"/>
    </row>
    <row r="789" spans="1:11" s="129" customFormat="1" ht="36.75" hidden="1" customHeight="1" x14ac:dyDescent="0.25">
      <c r="A789" s="345" t="s">
        <v>367</v>
      </c>
      <c r="B789" s="591">
        <v>906</v>
      </c>
      <c r="C789" s="346" t="s">
        <v>187</v>
      </c>
      <c r="D789" s="346" t="s">
        <v>158</v>
      </c>
      <c r="E789" s="346" t="s">
        <v>784</v>
      </c>
      <c r="F789" s="346"/>
      <c r="G789" s="300">
        <f>G790</f>
        <v>0</v>
      </c>
      <c r="H789" s="532"/>
      <c r="I789" s="532"/>
      <c r="J789" s="302"/>
    </row>
    <row r="790" spans="1:11" s="129" customFormat="1" ht="44.45" hidden="1" customHeight="1" x14ac:dyDescent="0.25">
      <c r="A790" s="345" t="s">
        <v>191</v>
      </c>
      <c r="B790" s="591">
        <v>906</v>
      </c>
      <c r="C790" s="346" t="s">
        <v>187</v>
      </c>
      <c r="D790" s="346" t="s">
        <v>158</v>
      </c>
      <c r="E790" s="346" t="s">
        <v>784</v>
      </c>
      <c r="F790" s="346" t="s">
        <v>192</v>
      </c>
      <c r="G790" s="300">
        <f>G791</f>
        <v>0</v>
      </c>
      <c r="H790" s="532"/>
      <c r="I790" s="532"/>
      <c r="J790" s="302"/>
    </row>
    <row r="791" spans="1:11" s="129" customFormat="1" ht="18.75" hidden="1" customHeight="1" x14ac:dyDescent="0.25">
      <c r="A791" s="345" t="s">
        <v>193</v>
      </c>
      <c r="B791" s="591">
        <v>906</v>
      </c>
      <c r="C791" s="346" t="s">
        <v>187</v>
      </c>
      <c r="D791" s="346" t="s">
        <v>158</v>
      </c>
      <c r="E791" s="346" t="s">
        <v>784</v>
      </c>
      <c r="F791" s="346" t="s">
        <v>194</v>
      </c>
      <c r="G791" s="300"/>
      <c r="H791" s="532"/>
      <c r="I791" s="532"/>
      <c r="J791" s="302"/>
    </row>
    <row r="792" spans="1:11" s="129" customFormat="1" ht="38.25" customHeight="1" x14ac:dyDescent="0.25">
      <c r="A792" s="36" t="s">
        <v>342</v>
      </c>
      <c r="B792" s="591">
        <v>906</v>
      </c>
      <c r="C792" s="346" t="s">
        <v>187</v>
      </c>
      <c r="D792" s="346" t="s">
        <v>158</v>
      </c>
      <c r="E792" s="346" t="s">
        <v>772</v>
      </c>
      <c r="F792" s="346"/>
      <c r="G792" s="300">
        <f>G793</f>
        <v>2875</v>
      </c>
      <c r="H792" s="532"/>
      <c r="I792" s="532"/>
      <c r="J792" s="302"/>
    </row>
    <row r="793" spans="1:11" s="129" customFormat="1" ht="39.200000000000003" customHeight="1" x14ac:dyDescent="0.25">
      <c r="A793" s="20" t="s">
        <v>191</v>
      </c>
      <c r="B793" s="591">
        <v>906</v>
      </c>
      <c r="C793" s="346" t="s">
        <v>187</v>
      </c>
      <c r="D793" s="346" t="s">
        <v>158</v>
      </c>
      <c r="E793" s="346" t="s">
        <v>772</v>
      </c>
      <c r="F793" s="346" t="s">
        <v>192</v>
      </c>
      <c r="G793" s="300">
        <f>G794</f>
        <v>2875</v>
      </c>
      <c r="H793" s="532"/>
      <c r="I793" s="532"/>
      <c r="J793" s="302"/>
    </row>
    <row r="794" spans="1:11" s="129" customFormat="1" ht="18.75" customHeight="1" x14ac:dyDescent="0.25">
      <c r="A794" s="108" t="s">
        <v>193</v>
      </c>
      <c r="B794" s="591">
        <v>906</v>
      </c>
      <c r="C794" s="346" t="s">
        <v>187</v>
      </c>
      <c r="D794" s="346" t="s">
        <v>158</v>
      </c>
      <c r="E794" s="346" t="s">
        <v>772</v>
      </c>
      <c r="F794" s="346" t="s">
        <v>194</v>
      </c>
      <c r="G794" s="300">
        <f>2967-92</f>
        <v>2875</v>
      </c>
      <c r="H794" s="532"/>
      <c r="I794" s="532"/>
      <c r="J794" s="302"/>
    </row>
    <row r="795" spans="1:11" s="129" customFormat="1" ht="33" customHeight="1" x14ac:dyDescent="0.25">
      <c r="A795" s="298" t="s">
        <v>1117</v>
      </c>
      <c r="B795" s="593">
        <v>906</v>
      </c>
      <c r="C795" s="299" t="s">
        <v>187</v>
      </c>
      <c r="D795" s="299" t="s">
        <v>158</v>
      </c>
      <c r="E795" s="299" t="s">
        <v>774</v>
      </c>
      <c r="F795" s="299"/>
      <c r="G795" s="297">
        <f t="shared" ref="G795:G797" si="51">G796</f>
        <v>4650.8139999999994</v>
      </c>
      <c r="H795" s="532"/>
      <c r="I795" s="532"/>
      <c r="J795" s="302"/>
    </row>
    <row r="796" spans="1:11" ht="31.5" x14ac:dyDescent="0.25">
      <c r="A796" s="345" t="s">
        <v>1118</v>
      </c>
      <c r="B796" s="594">
        <v>906</v>
      </c>
      <c r="C796" s="346" t="s">
        <v>187</v>
      </c>
      <c r="D796" s="346" t="s">
        <v>158</v>
      </c>
      <c r="E796" s="346" t="s">
        <v>1119</v>
      </c>
      <c r="F796" s="346"/>
      <c r="G796" s="300">
        <f t="shared" si="51"/>
        <v>4650.8139999999994</v>
      </c>
      <c r="H796" s="532"/>
      <c r="I796" s="532"/>
      <c r="J796" s="302"/>
      <c r="K796" s="129"/>
    </row>
    <row r="797" spans="1:11" ht="31.5" x14ac:dyDescent="0.25">
      <c r="A797" s="345" t="s">
        <v>191</v>
      </c>
      <c r="B797" s="594">
        <v>906</v>
      </c>
      <c r="C797" s="346" t="s">
        <v>187</v>
      </c>
      <c r="D797" s="346" t="s">
        <v>158</v>
      </c>
      <c r="E797" s="346" t="s">
        <v>1119</v>
      </c>
      <c r="F797" s="346" t="s">
        <v>192</v>
      </c>
      <c r="G797" s="300">
        <f t="shared" si="51"/>
        <v>4650.8139999999994</v>
      </c>
      <c r="H797" s="532"/>
      <c r="I797" s="532"/>
      <c r="J797" s="302"/>
      <c r="K797" s="129"/>
    </row>
    <row r="798" spans="1:11" ht="15.75" x14ac:dyDescent="0.25">
      <c r="A798" s="345" t="s">
        <v>193</v>
      </c>
      <c r="B798" s="594">
        <v>906</v>
      </c>
      <c r="C798" s="346" t="s">
        <v>187</v>
      </c>
      <c r="D798" s="346" t="s">
        <v>158</v>
      </c>
      <c r="E798" s="346" t="s">
        <v>1119</v>
      </c>
      <c r="F798" s="346" t="s">
        <v>194</v>
      </c>
      <c r="G798" s="18">
        <f>3235.41+158.95-0.01-297.85+2304.3-42.3-90-558.61-59.076</f>
        <v>4650.8139999999994</v>
      </c>
      <c r="H798" s="532"/>
      <c r="I798" s="532"/>
      <c r="J798" s="302"/>
      <c r="K798" s="129"/>
    </row>
    <row r="799" spans="1:11" s="129" customFormat="1" ht="34.5" hidden="1" customHeight="1" x14ac:dyDescent="0.25">
      <c r="A799" s="298" t="s">
        <v>1120</v>
      </c>
      <c r="B799" s="593">
        <v>906</v>
      </c>
      <c r="C799" s="299" t="s">
        <v>187</v>
      </c>
      <c r="D799" s="299" t="s">
        <v>158</v>
      </c>
      <c r="E799" s="299" t="s">
        <v>782</v>
      </c>
      <c r="F799" s="299"/>
      <c r="G799" s="28">
        <f t="shared" ref="G799:G801" si="52">G800</f>
        <v>0</v>
      </c>
      <c r="H799" s="532"/>
      <c r="I799" s="532"/>
      <c r="J799" s="302"/>
    </row>
    <row r="800" spans="1:11" ht="15.75" hidden="1" x14ac:dyDescent="0.25">
      <c r="A800" s="345"/>
      <c r="B800" s="594">
        <v>906</v>
      </c>
      <c r="C800" s="346" t="s">
        <v>187</v>
      </c>
      <c r="D800" s="346" t="s">
        <v>158</v>
      </c>
      <c r="E800" s="346"/>
      <c r="F800" s="346"/>
      <c r="G800" s="300">
        <f t="shared" si="52"/>
        <v>0</v>
      </c>
      <c r="H800" s="532"/>
      <c r="I800" s="532"/>
      <c r="J800" s="302"/>
      <c r="K800" s="129"/>
    </row>
    <row r="801" spans="1:11" ht="31.5" hidden="1" x14ac:dyDescent="0.25">
      <c r="A801" s="345" t="s">
        <v>191</v>
      </c>
      <c r="B801" s="594">
        <v>906</v>
      </c>
      <c r="C801" s="346" t="s">
        <v>187</v>
      </c>
      <c r="D801" s="346" t="s">
        <v>158</v>
      </c>
      <c r="E801" s="346"/>
      <c r="F801" s="346" t="s">
        <v>192</v>
      </c>
      <c r="G801" s="300">
        <f t="shared" si="52"/>
        <v>0</v>
      </c>
      <c r="H801" s="532"/>
      <c r="I801" s="532"/>
      <c r="J801" s="302"/>
      <c r="K801" s="129"/>
    </row>
    <row r="802" spans="1:11" ht="15.75" hidden="1" x14ac:dyDescent="0.25">
      <c r="A802" s="345" t="s">
        <v>193</v>
      </c>
      <c r="B802" s="594">
        <v>906</v>
      </c>
      <c r="C802" s="346" t="s">
        <v>187</v>
      </c>
      <c r="D802" s="346" t="s">
        <v>158</v>
      </c>
      <c r="E802" s="346"/>
      <c r="F802" s="346" t="s">
        <v>194</v>
      </c>
      <c r="G802" s="300"/>
      <c r="H802" s="532"/>
      <c r="I802" s="532"/>
      <c r="J802" s="302"/>
      <c r="K802" s="129"/>
    </row>
    <row r="803" spans="1:11" s="129" customFormat="1" ht="15.75" hidden="1" x14ac:dyDescent="0.25">
      <c r="A803" s="138" t="s">
        <v>1121</v>
      </c>
      <c r="B803" s="296">
        <v>906</v>
      </c>
      <c r="C803" s="299" t="s">
        <v>187</v>
      </c>
      <c r="D803" s="299" t="s">
        <v>158</v>
      </c>
      <c r="E803" s="299" t="s">
        <v>785</v>
      </c>
      <c r="F803" s="299"/>
      <c r="G803" s="297">
        <f t="shared" ref="G803:G805" si="53">G804</f>
        <v>0</v>
      </c>
      <c r="H803" s="532"/>
      <c r="I803" s="532"/>
      <c r="J803" s="302"/>
    </row>
    <row r="804" spans="1:11" s="129" customFormat="1" ht="15.75" hidden="1" x14ac:dyDescent="0.25">
      <c r="A804" s="108"/>
      <c r="B804" s="591">
        <v>906</v>
      </c>
      <c r="C804" s="346" t="s">
        <v>187</v>
      </c>
      <c r="D804" s="346" t="s">
        <v>158</v>
      </c>
      <c r="E804" s="346"/>
      <c r="F804" s="346"/>
      <c r="G804" s="300">
        <f t="shared" si="53"/>
        <v>0</v>
      </c>
      <c r="H804" s="532"/>
      <c r="I804" s="532"/>
      <c r="J804" s="302"/>
    </row>
    <row r="805" spans="1:11" s="129" customFormat="1" ht="31.5" hidden="1" x14ac:dyDescent="0.25">
      <c r="A805" s="22" t="s">
        <v>191</v>
      </c>
      <c r="B805" s="591">
        <v>906</v>
      </c>
      <c r="C805" s="346" t="s">
        <v>187</v>
      </c>
      <c r="D805" s="346" t="s">
        <v>158</v>
      </c>
      <c r="E805" s="346"/>
      <c r="F805" s="346" t="s">
        <v>192</v>
      </c>
      <c r="G805" s="300">
        <f t="shared" si="53"/>
        <v>0</v>
      </c>
      <c r="H805" s="532"/>
      <c r="I805" s="532"/>
      <c r="J805" s="302"/>
    </row>
    <row r="806" spans="1:11" s="129" customFormat="1" ht="15.75" hidden="1" x14ac:dyDescent="0.25">
      <c r="A806" s="22" t="s">
        <v>193</v>
      </c>
      <c r="B806" s="591">
        <v>906</v>
      </c>
      <c r="C806" s="346" t="s">
        <v>187</v>
      </c>
      <c r="D806" s="346" t="s">
        <v>158</v>
      </c>
      <c r="E806" s="346"/>
      <c r="F806" s="346" t="s">
        <v>194</v>
      </c>
      <c r="G806" s="300"/>
      <c r="H806" s="532"/>
      <c r="I806" s="532"/>
      <c r="J806" s="302"/>
    </row>
    <row r="807" spans="1:11" s="129" customFormat="1" ht="31.5" x14ac:dyDescent="0.25">
      <c r="A807" s="195" t="s">
        <v>900</v>
      </c>
      <c r="B807" s="296">
        <v>906</v>
      </c>
      <c r="C807" s="299" t="s">
        <v>187</v>
      </c>
      <c r="D807" s="299" t="s">
        <v>158</v>
      </c>
      <c r="E807" s="299" t="s">
        <v>899</v>
      </c>
      <c r="F807" s="299"/>
      <c r="G807" s="297">
        <f t="shared" ref="G807:G809" si="54">G808</f>
        <v>5584.6</v>
      </c>
      <c r="H807" s="532"/>
      <c r="I807" s="532"/>
      <c r="J807" s="302"/>
    </row>
    <row r="808" spans="1:11" s="129" customFormat="1" ht="51" customHeight="1" x14ac:dyDescent="0.25">
      <c r="A808" s="194" t="s">
        <v>886</v>
      </c>
      <c r="B808" s="591">
        <v>906</v>
      </c>
      <c r="C808" s="346" t="s">
        <v>187</v>
      </c>
      <c r="D808" s="346" t="s">
        <v>158</v>
      </c>
      <c r="E808" s="346" t="s">
        <v>938</v>
      </c>
      <c r="F808" s="346"/>
      <c r="G808" s="300">
        <f t="shared" si="54"/>
        <v>5584.6</v>
      </c>
      <c r="H808" s="532"/>
      <c r="I808" s="532"/>
      <c r="J808" s="302"/>
    </row>
    <row r="809" spans="1:11" s="129" customFormat="1" ht="31.5" x14ac:dyDescent="0.25">
      <c r="A809" s="22" t="s">
        <v>191</v>
      </c>
      <c r="B809" s="591">
        <v>906</v>
      </c>
      <c r="C809" s="346" t="s">
        <v>187</v>
      </c>
      <c r="D809" s="346" t="s">
        <v>158</v>
      </c>
      <c r="E809" s="346" t="s">
        <v>938</v>
      </c>
      <c r="F809" s="346" t="s">
        <v>192</v>
      </c>
      <c r="G809" s="300">
        <f t="shared" si="54"/>
        <v>5584.6</v>
      </c>
      <c r="H809" s="532"/>
      <c r="I809" s="532"/>
      <c r="J809" s="302"/>
    </row>
    <row r="810" spans="1:11" s="129" customFormat="1" ht="15.75" x14ac:dyDescent="0.25">
      <c r="A810" s="22" t="s">
        <v>193</v>
      </c>
      <c r="B810" s="591">
        <v>906</v>
      </c>
      <c r="C810" s="346" t="s">
        <v>187</v>
      </c>
      <c r="D810" s="346" t="s">
        <v>158</v>
      </c>
      <c r="E810" s="346" t="s">
        <v>938</v>
      </c>
      <c r="F810" s="346" t="s">
        <v>194</v>
      </c>
      <c r="G810" s="300">
        <f>5193.6+519.9-128.9</f>
        <v>5584.6</v>
      </c>
      <c r="H810" s="532"/>
      <c r="I810" s="532"/>
      <c r="J810" s="302"/>
    </row>
    <row r="811" spans="1:11" s="129" customFormat="1" ht="31.5" hidden="1" x14ac:dyDescent="0.25">
      <c r="A811" s="195" t="s">
        <v>918</v>
      </c>
      <c r="B811" s="296">
        <v>906</v>
      </c>
      <c r="C811" s="299" t="s">
        <v>187</v>
      </c>
      <c r="D811" s="299" t="s">
        <v>158</v>
      </c>
      <c r="E811" s="299" t="s">
        <v>906</v>
      </c>
      <c r="F811" s="299"/>
      <c r="G811" s="297">
        <f t="shared" ref="G811:G813" si="55">G812</f>
        <v>0</v>
      </c>
      <c r="H811" s="532"/>
      <c r="I811" s="532"/>
      <c r="J811" s="302"/>
    </row>
    <row r="812" spans="1:11" s="129" customFormat="1" ht="15.75" hidden="1" x14ac:dyDescent="0.25">
      <c r="A812" s="194" t="s">
        <v>907</v>
      </c>
      <c r="B812" s="591">
        <v>906</v>
      </c>
      <c r="C812" s="346" t="s">
        <v>187</v>
      </c>
      <c r="D812" s="346" t="s">
        <v>158</v>
      </c>
      <c r="E812" s="346" t="s">
        <v>909</v>
      </c>
      <c r="F812" s="346"/>
      <c r="G812" s="300">
        <f t="shared" si="55"/>
        <v>0</v>
      </c>
      <c r="H812" s="532"/>
      <c r="I812" s="532"/>
      <c r="J812" s="302"/>
    </row>
    <row r="813" spans="1:11" s="129" customFormat="1" ht="31.5" hidden="1" x14ac:dyDescent="0.25">
      <c r="A813" s="22" t="s">
        <v>191</v>
      </c>
      <c r="B813" s="591">
        <v>906</v>
      </c>
      <c r="C813" s="346" t="s">
        <v>187</v>
      </c>
      <c r="D813" s="346" t="s">
        <v>158</v>
      </c>
      <c r="E813" s="346" t="s">
        <v>909</v>
      </c>
      <c r="F813" s="346" t="s">
        <v>192</v>
      </c>
      <c r="G813" s="300">
        <f t="shared" si="55"/>
        <v>0</v>
      </c>
      <c r="H813" s="532"/>
      <c r="I813" s="532"/>
      <c r="J813" s="302"/>
    </row>
    <row r="814" spans="1:11" s="129" customFormat="1" ht="15.75" hidden="1" x14ac:dyDescent="0.25">
      <c r="A814" s="22" t="s">
        <v>193</v>
      </c>
      <c r="B814" s="591">
        <v>906</v>
      </c>
      <c r="C814" s="346" t="s">
        <v>187</v>
      </c>
      <c r="D814" s="346" t="s">
        <v>158</v>
      </c>
      <c r="E814" s="346" t="s">
        <v>909</v>
      </c>
      <c r="F814" s="346" t="s">
        <v>194</v>
      </c>
      <c r="G814" s="300"/>
      <c r="H814" s="532"/>
      <c r="I814" s="532"/>
      <c r="J814" s="302"/>
    </row>
    <row r="815" spans="1:11" s="129" customFormat="1" ht="31.5" hidden="1" x14ac:dyDescent="0.25">
      <c r="A815" s="195" t="s">
        <v>1022</v>
      </c>
      <c r="B815" s="296">
        <v>906</v>
      </c>
      <c r="C815" s="299" t="s">
        <v>187</v>
      </c>
      <c r="D815" s="299" t="s">
        <v>158</v>
      </c>
      <c r="E815" s="299" t="s">
        <v>1023</v>
      </c>
      <c r="F815" s="299"/>
      <c r="G815" s="297">
        <f t="shared" ref="G815:G817" si="56">G816</f>
        <v>0</v>
      </c>
      <c r="H815" s="532"/>
      <c r="I815" s="532"/>
      <c r="J815" s="302"/>
    </row>
    <row r="816" spans="1:11" s="131" customFormat="1" ht="31.5" hidden="1" x14ac:dyDescent="0.25">
      <c r="A816" s="194" t="s">
        <v>243</v>
      </c>
      <c r="B816" s="591">
        <v>906</v>
      </c>
      <c r="C816" s="346" t="s">
        <v>187</v>
      </c>
      <c r="D816" s="346" t="s">
        <v>158</v>
      </c>
      <c r="E816" s="346" t="s">
        <v>1024</v>
      </c>
      <c r="F816" s="346"/>
      <c r="G816" s="300">
        <f t="shared" si="56"/>
        <v>0</v>
      </c>
      <c r="H816" s="532"/>
      <c r="I816" s="532"/>
      <c r="J816" s="75"/>
    </row>
    <row r="817" spans="1:13" s="129" customFormat="1" ht="31.5" hidden="1" x14ac:dyDescent="0.25">
      <c r="A817" s="22" t="s">
        <v>191</v>
      </c>
      <c r="B817" s="591">
        <v>906</v>
      </c>
      <c r="C817" s="346" t="s">
        <v>187</v>
      </c>
      <c r="D817" s="346" t="s">
        <v>158</v>
      </c>
      <c r="E817" s="346" t="s">
        <v>1024</v>
      </c>
      <c r="F817" s="346" t="s">
        <v>192</v>
      </c>
      <c r="G817" s="300">
        <f t="shared" si="56"/>
        <v>0</v>
      </c>
      <c r="H817" s="532"/>
      <c r="I817" s="532"/>
      <c r="J817" s="302"/>
    </row>
    <row r="818" spans="1:13" s="129" customFormat="1" ht="15.75" hidden="1" x14ac:dyDescent="0.25">
      <c r="A818" s="22" t="s">
        <v>193</v>
      </c>
      <c r="B818" s="591">
        <v>906</v>
      </c>
      <c r="C818" s="346" t="s">
        <v>187</v>
      </c>
      <c r="D818" s="346" t="s">
        <v>158</v>
      </c>
      <c r="E818" s="346" t="s">
        <v>1024</v>
      </c>
      <c r="F818" s="346" t="s">
        <v>194</v>
      </c>
      <c r="G818" s="300"/>
      <c r="H818" s="539"/>
      <c r="I818" s="539"/>
      <c r="J818" s="302"/>
    </row>
    <row r="819" spans="1:13" s="129" customFormat="1" ht="34.5" hidden="1" customHeight="1" x14ac:dyDescent="0.25">
      <c r="A819" s="195" t="s">
        <v>1034</v>
      </c>
      <c r="B819" s="296">
        <v>906</v>
      </c>
      <c r="C819" s="299" t="s">
        <v>187</v>
      </c>
      <c r="D819" s="299" t="s">
        <v>158</v>
      </c>
      <c r="E819" s="299" t="s">
        <v>1036</v>
      </c>
      <c r="F819" s="299"/>
      <c r="G819" s="297">
        <f t="shared" ref="G819:G821" si="57">G820</f>
        <v>0</v>
      </c>
      <c r="H819" s="540"/>
      <c r="I819" s="540"/>
      <c r="J819" s="302"/>
    </row>
    <row r="820" spans="1:13" s="129" customFormat="1" ht="31.5" hidden="1" x14ac:dyDescent="0.25">
      <c r="A820" s="194" t="s">
        <v>1035</v>
      </c>
      <c r="B820" s="591">
        <v>906</v>
      </c>
      <c r="C820" s="346" t="s">
        <v>187</v>
      </c>
      <c r="D820" s="346" t="s">
        <v>158</v>
      </c>
      <c r="E820" s="346" t="s">
        <v>1037</v>
      </c>
      <c r="F820" s="346"/>
      <c r="G820" s="300">
        <f t="shared" si="57"/>
        <v>0</v>
      </c>
      <c r="H820" s="541"/>
      <c r="I820" s="541"/>
      <c r="J820" s="302"/>
    </row>
    <row r="821" spans="1:13" s="129" customFormat="1" ht="31.5" hidden="1" x14ac:dyDescent="0.25">
      <c r="A821" s="22" t="s">
        <v>191</v>
      </c>
      <c r="B821" s="591">
        <v>906</v>
      </c>
      <c r="C821" s="346" t="s">
        <v>187</v>
      </c>
      <c r="D821" s="346" t="s">
        <v>158</v>
      </c>
      <c r="E821" s="346" t="s">
        <v>1037</v>
      </c>
      <c r="F821" s="346" t="s">
        <v>192</v>
      </c>
      <c r="G821" s="300">
        <f t="shared" si="57"/>
        <v>0</v>
      </c>
      <c r="H821" s="541"/>
      <c r="I821" s="541"/>
      <c r="J821" s="302"/>
    </row>
    <row r="822" spans="1:13" s="129" customFormat="1" ht="15.75" hidden="1" x14ac:dyDescent="0.25">
      <c r="A822" s="22" t="s">
        <v>193</v>
      </c>
      <c r="B822" s="591">
        <v>906</v>
      </c>
      <c r="C822" s="346" t="s">
        <v>187</v>
      </c>
      <c r="D822" s="346" t="s">
        <v>158</v>
      </c>
      <c r="E822" s="346" t="s">
        <v>1037</v>
      </c>
      <c r="F822" s="346" t="s">
        <v>194</v>
      </c>
      <c r="G822" s="300"/>
      <c r="H822" s="542"/>
      <c r="I822" s="542"/>
      <c r="J822" s="308"/>
      <c r="K822" s="308"/>
      <c r="L822" s="305"/>
      <c r="M822" s="306"/>
    </row>
    <row r="823" spans="1:13" s="129" customFormat="1" ht="36" hidden="1" customHeight="1" x14ac:dyDescent="0.25">
      <c r="A823" s="138" t="s">
        <v>720</v>
      </c>
      <c r="B823" s="296">
        <v>906</v>
      </c>
      <c r="C823" s="299" t="s">
        <v>187</v>
      </c>
      <c r="D823" s="299" t="s">
        <v>158</v>
      </c>
      <c r="E823" s="299" t="s">
        <v>829</v>
      </c>
      <c r="F823" s="299"/>
      <c r="G823" s="297">
        <f t="shared" ref="G823:G825" si="58">G824</f>
        <v>0</v>
      </c>
      <c r="H823" s="543"/>
      <c r="I823" s="543"/>
      <c r="J823" s="291"/>
      <c r="K823" s="291"/>
      <c r="L823" s="291"/>
      <c r="M823" s="292"/>
    </row>
    <row r="824" spans="1:13" s="129" customFormat="1" ht="63" hidden="1" x14ac:dyDescent="0.25">
      <c r="A824" s="108" t="s">
        <v>979</v>
      </c>
      <c r="B824" s="591">
        <v>906</v>
      </c>
      <c r="C824" s="346" t="s">
        <v>187</v>
      </c>
      <c r="D824" s="346" t="s">
        <v>158</v>
      </c>
      <c r="E824" s="346" t="s">
        <v>830</v>
      </c>
      <c r="F824" s="346"/>
      <c r="G824" s="300">
        <f t="shared" si="58"/>
        <v>0</v>
      </c>
      <c r="H824" s="532"/>
      <c r="I824" s="532"/>
      <c r="J824" s="287"/>
    </row>
    <row r="825" spans="1:13" s="129" customFormat="1" ht="31.5" hidden="1" x14ac:dyDescent="0.25">
      <c r="A825" s="22" t="s">
        <v>191</v>
      </c>
      <c r="B825" s="591">
        <v>906</v>
      </c>
      <c r="C825" s="346" t="s">
        <v>187</v>
      </c>
      <c r="D825" s="346" t="s">
        <v>158</v>
      </c>
      <c r="E825" s="346" t="s">
        <v>830</v>
      </c>
      <c r="F825" s="346" t="s">
        <v>192</v>
      </c>
      <c r="G825" s="300">
        <f t="shared" si="58"/>
        <v>0</v>
      </c>
      <c r="H825" s="532"/>
      <c r="I825" s="532"/>
      <c r="J825" s="302"/>
    </row>
    <row r="826" spans="1:13" s="129" customFormat="1" ht="15.75" hidden="1" x14ac:dyDescent="0.25">
      <c r="A826" s="22" t="s">
        <v>193</v>
      </c>
      <c r="B826" s="591">
        <v>906</v>
      </c>
      <c r="C826" s="346" t="s">
        <v>187</v>
      </c>
      <c r="D826" s="346" t="s">
        <v>158</v>
      </c>
      <c r="E826" s="346" t="s">
        <v>830</v>
      </c>
      <c r="F826" s="346" t="s">
        <v>194</v>
      </c>
      <c r="G826" s="300"/>
      <c r="H826" s="532"/>
      <c r="I826" s="532"/>
      <c r="J826" s="302"/>
    </row>
    <row r="827" spans="1:13" s="129" customFormat="1" ht="31.5" hidden="1" x14ac:dyDescent="0.25">
      <c r="A827" s="24" t="s">
        <v>952</v>
      </c>
      <c r="B827" s="296">
        <v>906</v>
      </c>
      <c r="C827" s="299" t="s">
        <v>187</v>
      </c>
      <c r="D827" s="299" t="s">
        <v>158</v>
      </c>
      <c r="E827" s="299" t="s">
        <v>953</v>
      </c>
      <c r="F827" s="346"/>
      <c r="G827" s="297">
        <f t="shared" ref="G827:G829" si="59">G828</f>
        <v>0</v>
      </c>
      <c r="H827" s="532"/>
      <c r="I827" s="532"/>
      <c r="J827" s="302"/>
    </row>
    <row r="828" spans="1:13" s="129" customFormat="1" ht="56.25" hidden="1" customHeight="1" x14ac:dyDescent="0.25">
      <c r="A828" s="22" t="s">
        <v>980</v>
      </c>
      <c r="B828" s="591">
        <v>906</v>
      </c>
      <c r="C828" s="346" t="s">
        <v>187</v>
      </c>
      <c r="D828" s="346" t="s">
        <v>158</v>
      </c>
      <c r="E828" s="346" t="s">
        <v>954</v>
      </c>
      <c r="F828" s="346"/>
      <c r="G828" s="300">
        <f t="shared" si="59"/>
        <v>0</v>
      </c>
      <c r="H828" s="532"/>
      <c r="I828" s="532"/>
      <c r="J828" s="302"/>
      <c r="L828" s="255"/>
    </row>
    <row r="829" spans="1:13" s="129" customFormat="1" ht="31.5" hidden="1" x14ac:dyDescent="0.25">
      <c r="A829" s="22" t="s">
        <v>191</v>
      </c>
      <c r="B829" s="591">
        <v>906</v>
      </c>
      <c r="C829" s="346" t="s">
        <v>187</v>
      </c>
      <c r="D829" s="346" t="s">
        <v>158</v>
      </c>
      <c r="E829" s="346" t="s">
        <v>954</v>
      </c>
      <c r="F829" s="346" t="s">
        <v>192</v>
      </c>
      <c r="G829" s="300">
        <f t="shared" si="59"/>
        <v>0</v>
      </c>
      <c r="H829" s="532"/>
      <c r="I829" s="532"/>
      <c r="J829" s="302"/>
    </row>
    <row r="830" spans="1:13" s="129" customFormat="1" ht="15.75" hidden="1" x14ac:dyDescent="0.25">
      <c r="A830" s="22" t="s">
        <v>193</v>
      </c>
      <c r="B830" s="591">
        <v>906</v>
      </c>
      <c r="C830" s="346" t="s">
        <v>187</v>
      </c>
      <c r="D830" s="346" t="s">
        <v>158</v>
      </c>
      <c r="E830" s="346" t="s">
        <v>954</v>
      </c>
      <c r="F830" s="346" t="s">
        <v>194</v>
      </c>
      <c r="G830" s="300"/>
      <c r="H830" s="532"/>
      <c r="I830" s="532"/>
      <c r="J830" s="75"/>
      <c r="K830" s="131"/>
    </row>
    <row r="831" spans="1:13" s="129" customFormat="1" ht="31.5" x14ac:dyDescent="0.25">
      <c r="A831" s="24" t="s">
        <v>959</v>
      </c>
      <c r="B831" s="296">
        <v>906</v>
      </c>
      <c r="C831" s="299" t="s">
        <v>187</v>
      </c>
      <c r="D831" s="299" t="s">
        <v>158</v>
      </c>
      <c r="E831" s="299" t="s">
        <v>957</v>
      </c>
      <c r="F831" s="299"/>
      <c r="G831" s="300">
        <f>G832</f>
        <v>1804</v>
      </c>
      <c r="H831" s="532"/>
      <c r="I831" s="532"/>
      <c r="J831" s="75"/>
      <c r="K831" s="131"/>
    </row>
    <row r="832" spans="1:13" s="129" customFormat="1" ht="47.25" x14ac:dyDescent="0.25">
      <c r="A832" s="22" t="s">
        <v>1278</v>
      </c>
      <c r="B832" s="591">
        <v>906</v>
      </c>
      <c r="C832" s="346" t="s">
        <v>187</v>
      </c>
      <c r="D832" s="346" t="s">
        <v>158</v>
      </c>
      <c r="E832" s="346" t="s">
        <v>958</v>
      </c>
      <c r="F832" s="346"/>
      <c r="G832" s="300">
        <f>G833</f>
        <v>1804</v>
      </c>
      <c r="H832" s="532"/>
      <c r="I832" s="532"/>
      <c r="J832" s="75"/>
      <c r="K832" s="131"/>
    </row>
    <row r="833" spans="1:11" s="129" customFormat="1" ht="31.5" x14ac:dyDescent="0.25">
      <c r="A833" s="22" t="s">
        <v>191</v>
      </c>
      <c r="B833" s="591">
        <v>906</v>
      </c>
      <c r="C833" s="346" t="s">
        <v>187</v>
      </c>
      <c r="D833" s="346" t="s">
        <v>158</v>
      </c>
      <c r="E833" s="346" t="s">
        <v>958</v>
      </c>
      <c r="F833" s="346" t="s">
        <v>192</v>
      </c>
      <c r="G833" s="300">
        <f>G834</f>
        <v>1804</v>
      </c>
      <c r="H833" s="532"/>
      <c r="I833" s="532"/>
      <c r="J833" s="75"/>
      <c r="K833" s="131"/>
    </row>
    <row r="834" spans="1:11" s="129" customFormat="1" ht="15.75" x14ac:dyDescent="0.25">
      <c r="A834" s="22" t="s">
        <v>193</v>
      </c>
      <c r="B834" s="591">
        <v>906</v>
      </c>
      <c r="C834" s="346" t="s">
        <v>187</v>
      </c>
      <c r="D834" s="346" t="s">
        <v>158</v>
      </c>
      <c r="E834" s="346" t="s">
        <v>958</v>
      </c>
      <c r="F834" s="346" t="s">
        <v>194</v>
      </c>
      <c r="G834" s="300">
        <f>1677.7+168-41.7</f>
        <v>1804</v>
      </c>
      <c r="H834" s="532"/>
      <c r="I834" s="532"/>
      <c r="J834" s="75"/>
      <c r="K834" s="131"/>
    </row>
    <row r="835" spans="1:11" ht="47.25" x14ac:dyDescent="0.25">
      <c r="A835" s="24" t="s">
        <v>860</v>
      </c>
      <c r="B835" s="296">
        <v>906</v>
      </c>
      <c r="C835" s="299" t="s">
        <v>187</v>
      </c>
      <c r="D835" s="299" t="s">
        <v>158</v>
      </c>
      <c r="E835" s="299" t="s">
        <v>206</v>
      </c>
      <c r="F835" s="299"/>
      <c r="G835" s="297">
        <f>G836</f>
        <v>60</v>
      </c>
      <c r="H835" s="532"/>
      <c r="I835" s="532"/>
      <c r="J835" s="302"/>
      <c r="K835" s="129"/>
    </row>
    <row r="836" spans="1:11" s="129" customFormat="1" ht="47.25" x14ac:dyDescent="0.25">
      <c r="A836" s="24" t="s">
        <v>585</v>
      </c>
      <c r="B836" s="296">
        <v>906</v>
      </c>
      <c r="C836" s="299" t="s">
        <v>187</v>
      </c>
      <c r="D836" s="299" t="s">
        <v>158</v>
      </c>
      <c r="E836" s="299" t="s">
        <v>502</v>
      </c>
      <c r="F836" s="299"/>
      <c r="G836" s="297">
        <f t="shared" ref="G836:G838" si="60">G837</f>
        <v>60</v>
      </c>
      <c r="H836" s="532"/>
      <c r="I836" s="532"/>
      <c r="J836" s="302"/>
    </row>
    <row r="837" spans="1:11" ht="47.25" x14ac:dyDescent="0.25">
      <c r="A837" s="22" t="s">
        <v>633</v>
      </c>
      <c r="B837" s="591">
        <v>906</v>
      </c>
      <c r="C837" s="346" t="s">
        <v>187</v>
      </c>
      <c r="D837" s="346" t="s">
        <v>158</v>
      </c>
      <c r="E837" s="346" t="s">
        <v>503</v>
      </c>
      <c r="F837" s="346"/>
      <c r="G837" s="300">
        <f t="shared" si="60"/>
        <v>60</v>
      </c>
      <c r="H837" s="532"/>
      <c r="I837" s="532"/>
      <c r="J837" s="302"/>
      <c r="K837" s="129"/>
    </row>
    <row r="838" spans="1:11" ht="31.5" x14ac:dyDescent="0.25">
      <c r="A838" s="22" t="s">
        <v>191</v>
      </c>
      <c r="B838" s="591">
        <v>906</v>
      </c>
      <c r="C838" s="346" t="s">
        <v>187</v>
      </c>
      <c r="D838" s="346" t="s">
        <v>158</v>
      </c>
      <c r="E838" s="346" t="s">
        <v>503</v>
      </c>
      <c r="F838" s="346" t="s">
        <v>192</v>
      </c>
      <c r="G838" s="300">
        <f t="shared" si="60"/>
        <v>60</v>
      </c>
      <c r="H838" s="532"/>
      <c r="I838" s="532"/>
      <c r="J838" s="302"/>
      <c r="K838" s="129"/>
    </row>
    <row r="839" spans="1:11" ht="15.75" x14ac:dyDescent="0.25">
      <c r="A839" s="22" t="s">
        <v>193</v>
      </c>
      <c r="B839" s="591">
        <v>906</v>
      </c>
      <c r="C839" s="346" t="s">
        <v>187</v>
      </c>
      <c r="D839" s="346" t="s">
        <v>158</v>
      </c>
      <c r="E839" s="346" t="s">
        <v>503</v>
      </c>
      <c r="F839" s="346" t="s">
        <v>194</v>
      </c>
      <c r="G839" s="300">
        <v>60</v>
      </c>
      <c r="H839" s="532"/>
      <c r="I839" s="532"/>
      <c r="J839" s="302"/>
      <c r="K839" s="129"/>
    </row>
    <row r="840" spans="1:11" ht="47.25" x14ac:dyDescent="0.25">
      <c r="A840" s="340" t="s">
        <v>845</v>
      </c>
      <c r="B840" s="296">
        <v>906</v>
      </c>
      <c r="C840" s="299" t="s">
        <v>187</v>
      </c>
      <c r="D840" s="299" t="s">
        <v>158</v>
      </c>
      <c r="E840" s="299" t="s">
        <v>339</v>
      </c>
      <c r="F840" s="304"/>
      <c r="G840" s="297">
        <f t="shared" ref="G840:G843" si="61">G841</f>
        <v>929.91600000000005</v>
      </c>
      <c r="H840" s="532"/>
      <c r="I840" s="532"/>
      <c r="J840" s="302"/>
      <c r="K840" s="129"/>
    </row>
    <row r="841" spans="1:11" s="129" customFormat="1" ht="47.25" x14ac:dyDescent="0.25">
      <c r="A841" s="340" t="s">
        <v>461</v>
      </c>
      <c r="B841" s="296">
        <v>906</v>
      </c>
      <c r="C841" s="299" t="s">
        <v>187</v>
      </c>
      <c r="D841" s="299" t="s">
        <v>158</v>
      </c>
      <c r="E841" s="299" t="s">
        <v>459</v>
      </c>
      <c r="F841" s="304"/>
      <c r="G841" s="297">
        <f t="shared" si="61"/>
        <v>929.91600000000005</v>
      </c>
      <c r="H841" s="532"/>
      <c r="I841" s="532"/>
      <c r="J841" s="302"/>
    </row>
    <row r="842" spans="1:11" ht="35.450000000000003" customHeight="1" x14ac:dyDescent="0.25">
      <c r="A842" s="67" t="s">
        <v>357</v>
      </c>
      <c r="B842" s="591">
        <v>906</v>
      </c>
      <c r="C842" s="346" t="s">
        <v>187</v>
      </c>
      <c r="D842" s="346" t="s">
        <v>158</v>
      </c>
      <c r="E842" s="346" t="s">
        <v>504</v>
      </c>
      <c r="F842" s="301"/>
      <c r="G842" s="300">
        <f t="shared" si="61"/>
        <v>929.91600000000005</v>
      </c>
      <c r="H842" s="532"/>
      <c r="I842" s="532"/>
      <c r="J842" s="302"/>
      <c r="K842" s="129"/>
    </row>
    <row r="843" spans="1:11" ht="39.75" customHeight="1" x14ac:dyDescent="0.25">
      <c r="A843" s="20" t="s">
        <v>191</v>
      </c>
      <c r="B843" s="591">
        <v>906</v>
      </c>
      <c r="C843" s="346" t="s">
        <v>187</v>
      </c>
      <c r="D843" s="346" t="s">
        <v>158</v>
      </c>
      <c r="E843" s="346" t="s">
        <v>504</v>
      </c>
      <c r="F843" s="301" t="s">
        <v>192</v>
      </c>
      <c r="G843" s="300">
        <f t="shared" si="61"/>
        <v>929.91600000000005</v>
      </c>
      <c r="H843" s="532"/>
      <c r="I843" s="532"/>
      <c r="J843" s="302"/>
      <c r="K843" s="129"/>
    </row>
    <row r="844" spans="1:11" ht="15.75" x14ac:dyDescent="0.25">
      <c r="A844" s="108" t="s">
        <v>193</v>
      </c>
      <c r="B844" s="591">
        <v>906</v>
      </c>
      <c r="C844" s="346" t="s">
        <v>187</v>
      </c>
      <c r="D844" s="346" t="s">
        <v>158</v>
      </c>
      <c r="E844" s="346" t="s">
        <v>504</v>
      </c>
      <c r="F844" s="301" t="s">
        <v>194</v>
      </c>
      <c r="G844" s="300">
        <f>870.84+59.076</f>
        <v>929.91600000000005</v>
      </c>
      <c r="H844" s="532"/>
      <c r="I844" s="532"/>
      <c r="J844" s="302"/>
      <c r="K844" s="129"/>
    </row>
    <row r="845" spans="1:11" ht="15.75" x14ac:dyDescent="0.25">
      <c r="A845" s="298" t="s">
        <v>188</v>
      </c>
      <c r="B845" s="296">
        <v>906</v>
      </c>
      <c r="C845" s="299" t="s">
        <v>187</v>
      </c>
      <c r="D845" s="299" t="s">
        <v>159</v>
      </c>
      <c r="E845" s="299"/>
      <c r="F845" s="299"/>
      <c r="G845" s="28">
        <f>G846+G873</f>
        <v>41078.880000000005</v>
      </c>
      <c r="H845" s="532"/>
      <c r="I845" s="532"/>
      <c r="J845" s="302"/>
      <c r="K845" s="129"/>
    </row>
    <row r="846" spans="1:11" ht="36.75" customHeight="1" x14ac:dyDescent="0.25">
      <c r="A846" s="298" t="s">
        <v>859</v>
      </c>
      <c r="B846" s="296">
        <v>906</v>
      </c>
      <c r="C846" s="299" t="s">
        <v>187</v>
      </c>
      <c r="D846" s="299" t="s">
        <v>159</v>
      </c>
      <c r="E846" s="299" t="s">
        <v>237</v>
      </c>
      <c r="F846" s="299"/>
      <c r="G846" s="28">
        <f>G847+G854+G865+G869</f>
        <v>40776.480000000003</v>
      </c>
      <c r="H846" s="532"/>
      <c r="I846" s="532"/>
      <c r="J846" s="302"/>
      <c r="K846" s="129"/>
    </row>
    <row r="847" spans="1:11" s="129" customFormat="1" ht="36.75" customHeight="1" x14ac:dyDescent="0.25">
      <c r="A847" s="298" t="s">
        <v>505</v>
      </c>
      <c r="B847" s="296">
        <v>906</v>
      </c>
      <c r="C847" s="299" t="s">
        <v>187</v>
      </c>
      <c r="D847" s="299" t="s">
        <v>159</v>
      </c>
      <c r="E847" s="299" t="s">
        <v>764</v>
      </c>
      <c r="F847" s="299"/>
      <c r="G847" s="28">
        <f>G848+G851</f>
        <v>37028.080000000002</v>
      </c>
      <c r="H847" s="532"/>
      <c r="I847" s="532"/>
      <c r="J847" s="302"/>
    </row>
    <row r="848" spans="1:11" ht="31.5" x14ac:dyDescent="0.25">
      <c r="A848" s="345" t="s">
        <v>190</v>
      </c>
      <c r="B848" s="591">
        <v>906</v>
      </c>
      <c r="C848" s="346" t="s">
        <v>187</v>
      </c>
      <c r="D848" s="346" t="s">
        <v>159</v>
      </c>
      <c r="E848" s="346" t="s">
        <v>786</v>
      </c>
      <c r="F848" s="346"/>
      <c r="G848" s="18">
        <f>G849</f>
        <v>37028.080000000002</v>
      </c>
      <c r="H848" s="532"/>
      <c r="I848" s="532"/>
      <c r="J848" s="302"/>
      <c r="K848" s="129"/>
    </row>
    <row r="849" spans="1:11" ht="36.75" customHeight="1" x14ac:dyDescent="0.25">
      <c r="A849" s="345" t="s">
        <v>191</v>
      </c>
      <c r="B849" s="591">
        <v>906</v>
      </c>
      <c r="C849" s="346" t="s">
        <v>187</v>
      </c>
      <c r="D849" s="346" t="s">
        <v>159</v>
      </c>
      <c r="E849" s="346" t="s">
        <v>786</v>
      </c>
      <c r="F849" s="346" t="s">
        <v>192</v>
      </c>
      <c r="G849" s="18">
        <f>G850</f>
        <v>37028.080000000002</v>
      </c>
      <c r="H849" s="532"/>
      <c r="I849" s="532"/>
      <c r="J849" s="302"/>
      <c r="K849" s="129"/>
    </row>
    <row r="850" spans="1:11" ht="15.75" x14ac:dyDescent="0.25">
      <c r="A850" s="345" t="s">
        <v>193</v>
      </c>
      <c r="B850" s="591">
        <v>906</v>
      </c>
      <c r="C850" s="346" t="s">
        <v>187</v>
      </c>
      <c r="D850" s="346" t="s">
        <v>159</v>
      </c>
      <c r="E850" s="346" t="s">
        <v>786</v>
      </c>
      <c r="F850" s="346" t="s">
        <v>194</v>
      </c>
      <c r="G850" s="18">
        <f>37018.08+10</f>
        <v>37028.080000000002</v>
      </c>
      <c r="H850" s="532"/>
      <c r="I850" s="532"/>
      <c r="J850" s="302"/>
      <c r="K850" s="129"/>
    </row>
    <row r="851" spans="1:11" s="129" customFormat="1" ht="31.5" hidden="1" x14ac:dyDescent="0.25">
      <c r="A851" s="22" t="s">
        <v>974</v>
      </c>
      <c r="B851" s="591">
        <v>906</v>
      </c>
      <c r="C851" s="346" t="s">
        <v>187</v>
      </c>
      <c r="D851" s="346" t="s">
        <v>159</v>
      </c>
      <c r="E851" s="346" t="s">
        <v>973</v>
      </c>
      <c r="F851" s="346"/>
      <c r="G851" s="18">
        <f>G852</f>
        <v>0</v>
      </c>
      <c r="H851" s="532"/>
      <c r="I851" s="532"/>
      <c r="J851" s="302"/>
    </row>
    <row r="852" spans="1:11" s="129" customFormat="1" ht="31.5" hidden="1" x14ac:dyDescent="0.25">
      <c r="A852" s="345" t="s">
        <v>191</v>
      </c>
      <c r="B852" s="591">
        <v>906</v>
      </c>
      <c r="C852" s="346" t="s">
        <v>187</v>
      </c>
      <c r="D852" s="346" t="s">
        <v>159</v>
      </c>
      <c r="E852" s="346" t="s">
        <v>973</v>
      </c>
      <c r="F852" s="346" t="s">
        <v>192</v>
      </c>
      <c r="G852" s="18">
        <f>G853</f>
        <v>0</v>
      </c>
      <c r="H852" s="532"/>
      <c r="I852" s="532"/>
      <c r="J852" s="302"/>
    </row>
    <row r="853" spans="1:11" s="129" customFormat="1" ht="15.75" hidden="1" x14ac:dyDescent="0.25">
      <c r="A853" s="22" t="s">
        <v>193</v>
      </c>
      <c r="B853" s="591">
        <v>906</v>
      </c>
      <c r="C853" s="346" t="s">
        <v>187</v>
      </c>
      <c r="D853" s="346" t="s">
        <v>159</v>
      </c>
      <c r="E853" s="346" t="s">
        <v>973</v>
      </c>
      <c r="F853" s="346" t="s">
        <v>194</v>
      </c>
      <c r="G853" s="18"/>
      <c r="H853" s="532"/>
      <c r="I853" s="532"/>
      <c r="J853" s="302"/>
    </row>
    <row r="854" spans="1:11" s="129" customFormat="1" ht="49.5" customHeight="1" x14ac:dyDescent="0.25">
      <c r="A854" s="298" t="s">
        <v>469</v>
      </c>
      <c r="B854" s="296">
        <v>906</v>
      </c>
      <c r="C854" s="299" t="s">
        <v>187</v>
      </c>
      <c r="D854" s="299" t="s">
        <v>159</v>
      </c>
      <c r="E854" s="299" t="s">
        <v>766</v>
      </c>
      <c r="F854" s="299"/>
      <c r="G854" s="28">
        <f>G855+G858</f>
        <v>1543.5</v>
      </c>
      <c r="H854" s="532"/>
      <c r="I854" s="532"/>
      <c r="J854" s="302"/>
    </row>
    <row r="855" spans="1:11" s="129" customFormat="1" ht="91.15" customHeight="1" x14ac:dyDescent="0.25">
      <c r="A855" s="22" t="s">
        <v>200</v>
      </c>
      <c r="B855" s="591">
        <v>906</v>
      </c>
      <c r="C855" s="346" t="s">
        <v>187</v>
      </c>
      <c r="D855" s="346" t="s">
        <v>159</v>
      </c>
      <c r="E855" s="346" t="s">
        <v>885</v>
      </c>
      <c r="F855" s="346"/>
      <c r="G855" s="18">
        <f>G856</f>
        <v>1030</v>
      </c>
      <c r="H855" s="532"/>
      <c r="I855" s="532"/>
      <c r="J855" s="302"/>
    </row>
    <row r="856" spans="1:11" s="129" customFormat="1" ht="36" customHeight="1" x14ac:dyDescent="0.25">
      <c r="A856" s="345" t="s">
        <v>191</v>
      </c>
      <c r="B856" s="591">
        <v>906</v>
      </c>
      <c r="C856" s="346" t="s">
        <v>187</v>
      </c>
      <c r="D856" s="346" t="s">
        <v>159</v>
      </c>
      <c r="E856" s="346" t="s">
        <v>885</v>
      </c>
      <c r="F856" s="346" t="s">
        <v>192</v>
      </c>
      <c r="G856" s="18">
        <f>G857</f>
        <v>1030</v>
      </c>
      <c r="H856" s="532"/>
      <c r="I856" s="532"/>
      <c r="J856" s="302"/>
    </row>
    <row r="857" spans="1:11" s="129" customFormat="1" ht="23.1" customHeight="1" x14ac:dyDescent="0.25">
      <c r="A857" s="345" t="s">
        <v>193</v>
      </c>
      <c r="B857" s="591">
        <v>906</v>
      </c>
      <c r="C857" s="346" t="s">
        <v>187</v>
      </c>
      <c r="D857" s="346" t="s">
        <v>159</v>
      </c>
      <c r="E857" s="346" t="s">
        <v>885</v>
      </c>
      <c r="F857" s="346" t="s">
        <v>194</v>
      </c>
      <c r="G857" s="18">
        <f>1350+130-90-90+30-300</f>
        <v>1030</v>
      </c>
      <c r="H857" s="532"/>
      <c r="I857" s="532"/>
      <c r="J857" s="302"/>
    </row>
    <row r="858" spans="1:11" s="129" customFormat="1" ht="31.5" x14ac:dyDescent="0.25">
      <c r="A858" s="345" t="s">
        <v>1165</v>
      </c>
      <c r="B858" s="591">
        <v>906</v>
      </c>
      <c r="C858" s="346" t="s">
        <v>187</v>
      </c>
      <c r="D858" s="346" t="s">
        <v>159</v>
      </c>
      <c r="E858" s="346" t="s">
        <v>1166</v>
      </c>
      <c r="F858" s="346"/>
      <c r="G858" s="18">
        <f>G859</f>
        <v>513.49999999999989</v>
      </c>
      <c r="H858" s="532"/>
      <c r="I858" s="532"/>
      <c r="J858" s="302"/>
    </row>
    <row r="859" spans="1:11" s="129" customFormat="1" ht="31.5" x14ac:dyDescent="0.25">
      <c r="A859" s="345" t="s">
        <v>191</v>
      </c>
      <c r="B859" s="591">
        <v>906</v>
      </c>
      <c r="C859" s="346" t="s">
        <v>187</v>
      </c>
      <c r="D859" s="346" t="s">
        <v>159</v>
      </c>
      <c r="E859" s="346" t="s">
        <v>1166</v>
      </c>
      <c r="F859" s="346" t="s">
        <v>192</v>
      </c>
      <c r="G859" s="18">
        <f>G860</f>
        <v>513.49999999999989</v>
      </c>
      <c r="H859" s="532"/>
      <c r="I859" s="532"/>
      <c r="J859" s="302"/>
    </row>
    <row r="860" spans="1:11" s="129" customFormat="1" ht="15.75" x14ac:dyDescent="0.25">
      <c r="A860" s="345" t="s">
        <v>193</v>
      </c>
      <c r="B860" s="591">
        <v>906</v>
      </c>
      <c r="C860" s="346" t="s">
        <v>187</v>
      </c>
      <c r="D860" s="346" t="s">
        <v>159</v>
      </c>
      <c r="E860" s="346" t="s">
        <v>1166</v>
      </c>
      <c r="F860" s="346" t="s">
        <v>194</v>
      </c>
      <c r="G860" s="18">
        <f>743.8+15.8-246.1</f>
        <v>513.49999999999989</v>
      </c>
      <c r="H860" s="532"/>
      <c r="I860" s="532"/>
      <c r="J860" s="302"/>
    </row>
    <row r="861" spans="1:11" s="129" customFormat="1" ht="30.75" hidden="1" customHeight="1" x14ac:dyDescent="0.25">
      <c r="A861" s="298" t="s">
        <v>810</v>
      </c>
      <c r="B861" s="296">
        <v>906</v>
      </c>
      <c r="C861" s="299" t="s">
        <v>187</v>
      </c>
      <c r="D861" s="299" t="s">
        <v>159</v>
      </c>
      <c r="E861" s="299" t="s">
        <v>768</v>
      </c>
      <c r="F861" s="299"/>
      <c r="G861" s="28">
        <f t="shared" ref="G861:G863" si="62">G862</f>
        <v>0</v>
      </c>
      <c r="H861" s="532"/>
      <c r="I861" s="532"/>
      <c r="J861" s="302"/>
    </row>
    <row r="862" spans="1:11" ht="31.5" hidden="1" x14ac:dyDescent="0.25">
      <c r="A862" s="29" t="s">
        <v>344</v>
      </c>
      <c r="B862" s="591">
        <v>906</v>
      </c>
      <c r="C862" s="346" t="s">
        <v>187</v>
      </c>
      <c r="D862" s="346" t="s">
        <v>159</v>
      </c>
      <c r="E862" s="346" t="s">
        <v>836</v>
      </c>
      <c r="F862" s="346"/>
      <c r="G862" s="18">
        <f t="shared" si="62"/>
        <v>0</v>
      </c>
      <c r="H862" s="532"/>
      <c r="I862" s="532"/>
      <c r="J862" s="302"/>
      <c r="K862" s="129"/>
    </row>
    <row r="863" spans="1:11" ht="31.5" hidden="1" x14ac:dyDescent="0.25">
      <c r="A863" s="22" t="s">
        <v>191</v>
      </c>
      <c r="B863" s="591">
        <v>906</v>
      </c>
      <c r="C863" s="346" t="s">
        <v>187</v>
      </c>
      <c r="D863" s="346" t="s">
        <v>159</v>
      </c>
      <c r="E863" s="346" t="s">
        <v>836</v>
      </c>
      <c r="F863" s="346" t="s">
        <v>192</v>
      </c>
      <c r="G863" s="18">
        <f t="shared" si="62"/>
        <v>0</v>
      </c>
      <c r="H863" s="532"/>
      <c r="I863" s="532"/>
      <c r="J863" s="302"/>
      <c r="K863" s="129"/>
    </row>
    <row r="864" spans="1:11" ht="15.75" hidden="1" x14ac:dyDescent="0.25">
      <c r="A864" s="22" t="s">
        <v>193</v>
      </c>
      <c r="B864" s="591">
        <v>906</v>
      </c>
      <c r="C864" s="346" t="s">
        <v>187</v>
      </c>
      <c r="D864" s="346" t="s">
        <v>159</v>
      </c>
      <c r="E864" s="346" t="s">
        <v>836</v>
      </c>
      <c r="F864" s="346" t="s">
        <v>194</v>
      </c>
      <c r="G864" s="18">
        <v>0</v>
      </c>
      <c r="H864" s="532"/>
      <c r="I864" s="532"/>
      <c r="J864" s="302"/>
      <c r="K864" s="129"/>
    </row>
    <row r="865" spans="1:11" s="129" customFormat="1" ht="31.5" x14ac:dyDescent="0.25">
      <c r="A865" s="140" t="s">
        <v>513</v>
      </c>
      <c r="B865" s="296">
        <v>906</v>
      </c>
      <c r="C865" s="299" t="s">
        <v>187</v>
      </c>
      <c r="D865" s="299" t="s">
        <v>159</v>
      </c>
      <c r="E865" s="299" t="s">
        <v>771</v>
      </c>
      <c r="F865" s="299"/>
      <c r="G865" s="28">
        <f t="shared" ref="G865:G867" si="63">G866</f>
        <v>1204</v>
      </c>
      <c r="H865" s="532"/>
      <c r="I865" s="532"/>
      <c r="J865" s="302"/>
    </row>
    <row r="866" spans="1:11" ht="37.5" customHeight="1" x14ac:dyDescent="0.25">
      <c r="A866" s="29" t="s">
        <v>342</v>
      </c>
      <c r="B866" s="591">
        <v>906</v>
      </c>
      <c r="C866" s="346" t="s">
        <v>187</v>
      </c>
      <c r="D866" s="346" t="s">
        <v>159</v>
      </c>
      <c r="E866" s="346" t="s">
        <v>772</v>
      </c>
      <c r="F866" s="346"/>
      <c r="G866" s="18">
        <f t="shared" si="63"/>
        <v>1204</v>
      </c>
      <c r="H866" s="532"/>
      <c r="I866" s="532"/>
      <c r="J866" s="302"/>
      <c r="K866" s="129"/>
    </row>
    <row r="867" spans="1:11" ht="32.25" customHeight="1" x14ac:dyDescent="0.25">
      <c r="A867" s="345" t="s">
        <v>191</v>
      </c>
      <c r="B867" s="591">
        <v>906</v>
      </c>
      <c r="C867" s="346" t="s">
        <v>187</v>
      </c>
      <c r="D867" s="346" t="s">
        <v>159</v>
      </c>
      <c r="E867" s="346" t="s">
        <v>772</v>
      </c>
      <c r="F867" s="346" t="s">
        <v>192</v>
      </c>
      <c r="G867" s="18">
        <f t="shared" si="63"/>
        <v>1204</v>
      </c>
      <c r="H867" s="532"/>
      <c r="I867" s="532"/>
      <c r="J867" s="302"/>
      <c r="K867" s="129"/>
    </row>
    <row r="868" spans="1:11" ht="15.75" x14ac:dyDescent="0.25">
      <c r="A868" s="22" t="s">
        <v>193</v>
      </c>
      <c r="B868" s="591">
        <v>906</v>
      </c>
      <c r="C868" s="346" t="s">
        <v>187</v>
      </c>
      <c r="D868" s="346" t="s">
        <v>159</v>
      </c>
      <c r="E868" s="346" t="s">
        <v>772</v>
      </c>
      <c r="F868" s="346" t="s">
        <v>194</v>
      </c>
      <c r="G868" s="18">
        <v>1204</v>
      </c>
      <c r="H868" s="532"/>
      <c r="I868" s="532"/>
      <c r="J868" s="302"/>
      <c r="K868" s="129"/>
    </row>
    <row r="869" spans="1:11" s="129" customFormat="1" ht="47.25" x14ac:dyDescent="0.25">
      <c r="A869" s="24" t="s">
        <v>1102</v>
      </c>
      <c r="B869" s="296">
        <v>906</v>
      </c>
      <c r="C869" s="299" t="s">
        <v>187</v>
      </c>
      <c r="D869" s="299" t="s">
        <v>159</v>
      </c>
      <c r="E869" s="299" t="s">
        <v>1103</v>
      </c>
      <c r="F869" s="299"/>
      <c r="G869" s="28">
        <f t="shared" ref="G869:G871" si="64">G870</f>
        <v>1000.9</v>
      </c>
      <c r="H869" s="532"/>
      <c r="I869" s="532"/>
      <c r="J869" s="302"/>
    </row>
    <row r="870" spans="1:11" s="129" customFormat="1" ht="31.5" x14ac:dyDescent="0.25">
      <c r="A870" s="22" t="s">
        <v>1122</v>
      </c>
      <c r="B870" s="591">
        <v>906</v>
      </c>
      <c r="C870" s="346" t="s">
        <v>187</v>
      </c>
      <c r="D870" s="346" t="s">
        <v>159</v>
      </c>
      <c r="E870" s="346" t="s">
        <v>1217</v>
      </c>
      <c r="F870" s="346"/>
      <c r="G870" s="18">
        <f t="shared" si="64"/>
        <v>1000.9</v>
      </c>
      <c r="H870" s="532"/>
      <c r="I870" s="532"/>
      <c r="J870" s="302"/>
    </row>
    <row r="871" spans="1:11" s="129" customFormat="1" ht="31.15" customHeight="1" x14ac:dyDescent="0.25">
      <c r="A871" s="345" t="s">
        <v>191</v>
      </c>
      <c r="B871" s="591">
        <v>906</v>
      </c>
      <c r="C871" s="346" t="s">
        <v>187</v>
      </c>
      <c r="D871" s="346" t="s">
        <v>159</v>
      </c>
      <c r="E871" s="346" t="s">
        <v>1217</v>
      </c>
      <c r="F871" s="346" t="s">
        <v>192</v>
      </c>
      <c r="G871" s="18">
        <f t="shared" si="64"/>
        <v>1000.9</v>
      </c>
      <c r="H871" s="532"/>
      <c r="I871" s="532"/>
      <c r="J871" s="302"/>
    </row>
    <row r="872" spans="1:11" s="129" customFormat="1" ht="14.45" customHeight="1" x14ac:dyDescent="0.25">
      <c r="A872" s="113" t="s">
        <v>1104</v>
      </c>
      <c r="B872" s="591">
        <v>906</v>
      </c>
      <c r="C872" s="346" t="s">
        <v>187</v>
      </c>
      <c r="D872" s="346" t="s">
        <v>159</v>
      </c>
      <c r="E872" s="346" t="s">
        <v>1217</v>
      </c>
      <c r="F872" s="346" t="s">
        <v>1105</v>
      </c>
      <c r="G872" s="18">
        <f>200+800.9</f>
        <v>1000.9</v>
      </c>
      <c r="H872" s="532"/>
      <c r="I872" s="532"/>
      <c r="J872" s="302"/>
    </row>
    <row r="873" spans="1:11" ht="54.75" customHeight="1" x14ac:dyDescent="0.25">
      <c r="A873" s="340" t="s">
        <v>845</v>
      </c>
      <c r="B873" s="296">
        <v>906</v>
      </c>
      <c r="C873" s="299" t="s">
        <v>187</v>
      </c>
      <c r="D873" s="299" t="s">
        <v>159</v>
      </c>
      <c r="E873" s="299" t="s">
        <v>339</v>
      </c>
      <c r="F873" s="304"/>
      <c r="G873" s="28">
        <f>G875</f>
        <v>302.39999999999998</v>
      </c>
      <c r="H873" s="532"/>
      <c r="I873" s="532"/>
      <c r="J873" s="302"/>
      <c r="K873" s="129"/>
    </row>
    <row r="874" spans="1:11" s="129" customFormat="1" ht="54.75" customHeight="1" x14ac:dyDescent="0.25">
      <c r="A874" s="340" t="s">
        <v>461</v>
      </c>
      <c r="B874" s="296">
        <v>906</v>
      </c>
      <c r="C874" s="299" t="s">
        <v>187</v>
      </c>
      <c r="D874" s="299" t="s">
        <v>508</v>
      </c>
      <c r="E874" s="299" t="s">
        <v>459</v>
      </c>
      <c r="F874" s="304"/>
      <c r="G874" s="28">
        <f t="shared" ref="G874:G876" si="65">G875</f>
        <v>302.39999999999998</v>
      </c>
      <c r="H874" s="532"/>
      <c r="I874" s="532"/>
      <c r="J874" s="302"/>
    </row>
    <row r="875" spans="1:11" ht="38.25" customHeight="1" x14ac:dyDescent="0.25">
      <c r="A875" s="67" t="s">
        <v>357</v>
      </c>
      <c r="B875" s="591">
        <v>906</v>
      </c>
      <c r="C875" s="346" t="s">
        <v>187</v>
      </c>
      <c r="D875" s="346" t="s">
        <v>159</v>
      </c>
      <c r="E875" s="346" t="s">
        <v>504</v>
      </c>
      <c r="F875" s="301"/>
      <c r="G875" s="18">
        <f t="shared" si="65"/>
        <v>302.39999999999998</v>
      </c>
      <c r="H875" s="532"/>
      <c r="I875" s="532"/>
      <c r="J875" s="302"/>
      <c r="K875" s="129"/>
    </row>
    <row r="876" spans="1:11" ht="34.5" customHeight="1" x14ac:dyDescent="0.25">
      <c r="A876" s="20" t="s">
        <v>191</v>
      </c>
      <c r="B876" s="591">
        <v>906</v>
      </c>
      <c r="C876" s="346" t="s">
        <v>187</v>
      </c>
      <c r="D876" s="346" t="s">
        <v>159</v>
      </c>
      <c r="E876" s="346" t="s">
        <v>504</v>
      </c>
      <c r="F876" s="301" t="s">
        <v>192</v>
      </c>
      <c r="G876" s="18">
        <f t="shared" si="65"/>
        <v>302.39999999999998</v>
      </c>
      <c r="H876" s="532"/>
      <c r="I876" s="532"/>
      <c r="J876" s="302"/>
      <c r="K876" s="129"/>
    </row>
    <row r="877" spans="1:11" ht="15.75" x14ac:dyDescent="0.25">
      <c r="A877" s="108" t="s">
        <v>193</v>
      </c>
      <c r="B877" s="591">
        <v>906</v>
      </c>
      <c r="C877" s="346" t="s">
        <v>187</v>
      </c>
      <c r="D877" s="346" t="s">
        <v>159</v>
      </c>
      <c r="E877" s="346" t="s">
        <v>504</v>
      </c>
      <c r="F877" s="301" t="s">
        <v>194</v>
      </c>
      <c r="G877" s="18">
        <v>302.39999999999998</v>
      </c>
      <c r="H877" s="532"/>
      <c r="I877" s="532"/>
      <c r="J877" s="302"/>
      <c r="K877" s="129"/>
    </row>
    <row r="878" spans="1:11" ht="21.2" customHeight="1" x14ac:dyDescent="0.25">
      <c r="A878" s="298" t="s">
        <v>246</v>
      </c>
      <c r="B878" s="296">
        <v>906</v>
      </c>
      <c r="C878" s="299" t="s">
        <v>187</v>
      </c>
      <c r="D878" s="299" t="s">
        <v>187</v>
      </c>
      <c r="E878" s="299"/>
      <c r="F878" s="299"/>
      <c r="G878" s="297">
        <f t="shared" ref="G878:G880" si="66">G879</f>
        <v>7947.5900000000011</v>
      </c>
      <c r="H878" s="532"/>
      <c r="I878" s="532"/>
      <c r="J878" s="302"/>
      <c r="K878" s="129"/>
    </row>
    <row r="879" spans="1:11" ht="31.5" x14ac:dyDescent="0.25">
      <c r="A879" s="298" t="s">
        <v>861</v>
      </c>
      <c r="B879" s="296">
        <v>906</v>
      </c>
      <c r="C879" s="299" t="s">
        <v>187</v>
      </c>
      <c r="D879" s="299" t="s">
        <v>187</v>
      </c>
      <c r="E879" s="299" t="s">
        <v>237</v>
      </c>
      <c r="F879" s="299"/>
      <c r="G879" s="297">
        <f>G880+G884</f>
        <v>7947.5900000000011</v>
      </c>
      <c r="H879" s="532"/>
      <c r="I879" s="532"/>
      <c r="J879" s="302"/>
      <c r="K879" s="129"/>
    </row>
    <row r="880" spans="1:11" s="129" customFormat="1" ht="31.5" x14ac:dyDescent="0.25">
      <c r="A880" s="298" t="s">
        <v>509</v>
      </c>
      <c r="B880" s="296">
        <v>906</v>
      </c>
      <c r="C880" s="299" t="s">
        <v>187</v>
      </c>
      <c r="D880" s="299" t="s">
        <v>187</v>
      </c>
      <c r="E880" s="299" t="s">
        <v>770</v>
      </c>
      <c r="F880" s="299"/>
      <c r="G880" s="297">
        <f t="shared" si="66"/>
        <v>7848.0900000000011</v>
      </c>
      <c r="H880" s="532"/>
      <c r="I880" s="532"/>
      <c r="J880" s="302"/>
    </row>
    <row r="881" spans="1:11" ht="31.5" x14ac:dyDescent="0.25">
      <c r="A881" s="22" t="s">
        <v>615</v>
      </c>
      <c r="B881" s="591">
        <v>906</v>
      </c>
      <c r="C881" s="346" t="s">
        <v>187</v>
      </c>
      <c r="D881" s="346" t="s">
        <v>187</v>
      </c>
      <c r="E881" s="346" t="s">
        <v>787</v>
      </c>
      <c r="F881" s="346"/>
      <c r="G881" s="300">
        <f t="shared" ref="G881:G882" si="67">G882</f>
        <v>7848.0900000000011</v>
      </c>
      <c r="H881" s="532"/>
      <c r="I881" s="532"/>
      <c r="J881" s="302"/>
      <c r="K881" s="129"/>
    </row>
    <row r="882" spans="1:11" ht="36" customHeight="1" x14ac:dyDescent="0.25">
      <c r="A882" s="345" t="s">
        <v>191</v>
      </c>
      <c r="B882" s="591">
        <v>906</v>
      </c>
      <c r="C882" s="346" t="s">
        <v>187</v>
      </c>
      <c r="D882" s="346" t="s">
        <v>187</v>
      </c>
      <c r="E882" s="346" t="s">
        <v>787</v>
      </c>
      <c r="F882" s="346" t="s">
        <v>192</v>
      </c>
      <c r="G882" s="300">
        <f t="shared" si="67"/>
        <v>7848.0900000000011</v>
      </c>
      <c r="H882" s="530"/>
      <c r="I882" s="530"/>
      <c r="J882" s="302"/>
      <c r="K882" s="129"/>
    </row>
    <row r="883" spans="1:11" ht="15.75" x14ac:dyDescent="0.25">
      <c r="A883" s="345" t="s">
        <v>193</v>
      </c>
      <c r="B883" s="591">
        <v>906</v>
      </c>
      <c r="C883" s="346" t="s">
        <v>187</v>
      </c>
      <c r="D883" s="346" t="s">
        <v>187</v>
      </c>
      <c r="E883" s="346" t="s">
        <v>787</v>
      </c>
      <c r="F883" s="346" t="s">
        <v>194</v>
      </c>
      <c r="G883" s="18">
        <f>4113.9+3400-60.3+108.89+971.21-685.61</f>
        <v>7848.0900000000011</v>
      </c>
      <c r="H883" s="530"/>
      <c r="I883" s="530"/>
      <c r="J883" s="302"/>
      <c r="K883" s="129"/>
    </row>
    <row r="884" spans="1:11" s="344" customFormat="1" ht="31.5" x14ac:dyDescent="0.25">
      <c r="A884" s="34" t="s">
        <v>1323</v>
      </c>
      <c r="B884" s="296">
        <v>906</v>
      </c>
      <c r="C884" s="299" t="s">
        <v>187</v>
      </c>
      <c r="D884" s="299" t="s">
        <v>187</v>
      </c>
      <c r="E884" s="299" t="s">
        <v>1328</v>
      </c>
      <c r="F884" s="299"/>
      <c r="G884" s="28">
        <f>G885</f>
        <v>99.5</v>
      </c>
      <c r="H884" s="617"/>
      <c r="I884" s="617"/>
      <c r="J884" s="302"/>
    </row>
    <row r="885" spans="1:11" s="344" customFormat="1" ht="31.5" x14ac:dyDescent="0.25">
      <c r="A885" s="345" t="s">
        <v>1322</v>
      </c>
      <c r="B885" s="591">
        <v>906</v>
      </c>
      <c r="C885" s="346" t="s">
        <v>187</v>
      </c>
      <c r="D885" s="346" t="s">
        <v>187</v>
      </c>
      <c r="E885" s="346" t="s">
        <v>1329</v>
      </c>
      <c r="F885" s="346"/>
      <c r="G885" s="18">
        <f>G886</f>
        <v>99.5</v>
      </c>
      <c r="H885" s="537"/>
      <c r="I885" s="537"/>
      <c r="J885" s="302"/>
    </row>
    <row r="886" spans="1:11" s="344" customFormat="1" ht="31.5" x14ac:dyDescent="0.25">
      <c r="A886" s="345" t="s">
        <v>191</v>
      </c>
      <c r="B886" s="591">
        <v>906</v>
      </c>
      <c r="C886" s="346" t="s">
        <v>187</v>
      </c>
      <c r="D886" s="346" t="s">
        <v>187</v>
      </c>
      <c r="E886" s="346" t="s">
        <v>1329</v>
      </c>
      <c r="F886" s="346" t="s">
        <v>192</v>
      </c>
      <c r="G886" s="18">
        <f>G887</f>
        <v>99.5</v>
      </c>
      <c r="H886" s="537"/>
      <c r="I886" s="537"/>
      <c r="J886" s="302"/>
    </row>
    <row r="887" spans="1:11" s="344" customFormat="1" ht="15.75" x14ac:dyDescent="0.25">
      <c r="A887" s="345" t="s">
        <v>193</v>
      </c>
      <c r="B887" s="591">
        <v>906</v>
      </c>
      <c r="C887" s="346" t="s">
        <v>187</v>
      </c>
      <c r="D887" s="346" t="s">
        <v>187</v>
      </c>
      <c r="E887" s="346" t="s">
        <v>1329</v>
      </c>
      <c r="F887" s="346" t="s">
        <v>194</v>
      </c>
      <c r="G887" s="18">
        <v>99.5</v>
      </c>
      <c r="H887" s="537"/>
      <c r="I887" s="537"/>
      <c r="J887" s="302"/>
    </row>
    <row r="888" spans="1:11" ht="15.75" x14ac:dyDescent="0.25">
      <c r="A888" s="298" t="s">
        <v>201</v>
      </c>
      <c r="B888" s="296">
        <v>906</v>
      </c>
      <c r="C888" s="299" t="s">
        <v>187</v>
      </c>
      <c r="D888" s="299" t="s">
        <v>161</v>
      </c>
      <c r="E888" s="299"/>
      <c r="F888" s="299"/>
      <c r="G888" s="297">
        <f>G889+G908</f>
        <v>27174.309099999999</v>
      </c>
      <c r="H888" s="532"/>
      <c r="I888" s="532"/>
      <c r="J888" s="302"/>
      <c r="K888" s="129"/>
    </row>
    <row r="889" spans="1:11" ht="31.5" x14ac:dyDescent="0.25">
      <c r="A889" s="298" t="s">
        <v>486</v>
      </c>
      <c r="B889" s="296">
        <v>906</v>
      </c>
      <c r="C889" s="299" t="s">
        <v>187</v>
      </c>
      <c r="D889" s="299" t="s">
        <v>161</v>
      </c>
      <c r="E889" s="299" t="s">
        <v>432</v>
      </c>
      <c r="F889" s="299"/>
      <c r="G889" s="297">
        <f>G890</f>
        <v>15203.897319999996</v>
      </c>
      <c r="H889" s="532"/>
      <c r="I889" s="532"/>
      <c r="J889" s="302"/>
      <c r="K889" s="129"/>
    </row>
    <row r="890" spans="1:11" ht="15.75" x14ac:dyDescent="0.25">
      <c r="A890" s="298" t="s">
        <v>487</v>
      </c>
      <c r="B890" s="296">
        <v>906</v>
      </c>
      <c r="C890" s="299" t="s">
        <v>187</v>
      </c>
      <c r="D890" s="299" t="s">
        <v>161</v>
      </c>
      <c r="E890" s="299" t="s">
        <v>433</v>
      </c>
      <c r="F890" s="299"/>
      <c r="G890" s="297">
        <f>G891+G896+G905</f>
        <v>15203.897319999996</v>
      </c>
      <c r="H890" s="532"/>
      <c r="I890" s="532"/>
      <c r="J890" s="302"/>
      <c r="K890" s="129"/>
    </row>
    <row r="891" spans="1:11" ht="34.700000000000003" customHeight="1" x14ac:dyDescent="0.25">
      <c r="A891" s="345" t="s">
        <v>466</v>
      </c>
      <c r="B891" s="591">
        <v>906</v>
      </c>
      <c r="C891" s="346" t="s">
        <v>187</v>
      </c>
      <c r="D891" s="346" t="s">
        <v>161</v>
      </c>
      <c r="E891" s="346" t="s">
        <v>434</v>
      </c>
      <c r="F891" s="346"/>
      <c r="G891" s="300">
        <f>G892+G894</f>
        <v>6062.829999999999</v>
      </c>
      <c r="H891" s="532"/>
      <c r="I891" s="532"/>
      <c r="J891" s="302"/>
      <c r="K891" s="129"/>
    </row>
    <row r="892" spans="1:11" ht="72" customHeight="1" x14ac:dyDescent="0.25">
      <c r="A892" s="345" t="s">
        <v>119</v>
      </c>
      <c r="B892" s="591">
        <v>906</v>
      </c>
      <c r="C892" s="346" t="s">
        <v>187</v>
      </c>
      <c r="D892" s="346" t="s">
        <v>161</v>
      </c>
      <c r="E892" s="346" t="s">
        <v>434</v>
      </c>
      <c r="F892" s="346" t="s">
        <v>120</v>
      </c>
      <c r="G892" s="300">
        <f>G893</f>
        <v>5811.829999999999</v>
      </c>
      <c r="H892" s="532"/>
      <c r="I892" s="532"/>
      <c r="J892" s="302"/>
      <c r="K892" s="129"/>
    </row>
    <row r="893" spans="1:11" ht="31.5" x14ac:dyDescent="0.25">
      <c r="A893" s="345" t="s">
        <v>121</v>
      </c>
      <c r="B893" s="591">
        <v>906</v>
      </c>
      <c r="C893" s="346" t="s">
        <v>187</v>
      </c>
      <c r="D893" s="346" t="s">
        <v>161</v>
      </c>
      <c r="E893" s="346" t="s">
        <v>434</v>
      </c>
      <c r="F893" s="346" t="s">
        <v>122</v>
      </c>
      <c r="G893" s="18">
        <f>5789.33+63.2-4-33.1-20-1+17.4</f>
        <v>5811.829999999999</v>
      </c>
      <c r="H893" s="532"/>
      <c r="I893" s="532"/>
      <c r="J893" s="302"/>
      <c r="K893" s="129"/>
    </row>
    <row r="894" spans="1:11" ht="31.5" x14ac:dyDescent="0.25">
      <c r="A894" s="345" t="s">
        <v>123</v>
      </c>
      <c r="B894" s="591">
        <v>906</v>
      </c>
      <c r="C894" s="346" t="s">
        <v>187</v>
      </c>
      <c r="D894" s="346" t="s">
        <v>161</v>
      </c>
      <c r="E894" s="346" t="s">
        <v>434</v>
      </c>
      <c r="F894" s="346" t="s">
        <v>124</v>
      </c>
      <c r="G894" s="300">
        <f>G895</f>
        <v>251</v>
      </c>
      <c r="H894" s="532"/>
      <c r="I894" s="532"/>
      <c r="J894" s="302"/>
      <c r="K894" s="129"/>
    </row>
    <row r="895" spans="1:11" ht="31.5" x14ac:dyDescent="0.25">
      <c r="A895" s="345" t="s">
        <v>125</v>
      </c>
      <c r="B895" s="591">
        <v>906</v>
      </c>
      <c r="C895" s="346" t="s">
        <v>187</v>
      </c>
      <c r="D895" s="346" t="s">
        <v>161</v>
      </c>
      <c r="E895" s="346" t="s">
        <v>434</v>
      </c>
      <c r="F895" s="346" t="s">
        <v>126</v>
      </c>
      <c r="G895" s="300">
        <f>250+1</f>
        <v>251</v>
      </c>
      <c r="H895" s="532"/>
      <c r="I895" s="532"/>
      <c r="J895" s="302"/>
      <c r="K895" s="129"/>
    </row>
    <row r="896" spans="1:11" s="344" customFormat="1" ht="31.5" x14ac:dyDescent="0.25">
      <c r="A896" s="345" t="s">
        <v>415</v>
      </c>
      <c r="B896" s="591">
        <v>906</v>
      </c>
      <c r="C896" s="346" t="s">
        <v>187</v>
      </c>
      <c r="D896" s="346" t="s">
        <v>161</v>
      </c>
      <c r="E896" s="346" t="s">
        <v>435</v>
      </c>
      <c r="F896" s="346"/>
      <c r="G896" s="300">
        <f>G897+G899+G903+G901</f>
        <v>8746.8003199999985</v>
      </c>
      <c r="H896" s="532"/>
      <c r="I896" s="532"/>
      <c r="J896" s="302"/>
    </row>
    <row r="897" spans="1:11" s="344" customFormat="1" ht="63" x14ac:dyDescent="0.25">
      <c r="A897" s="345" t="s">
        <v>119</v>
      </c>
      <c r="B897" s="591">
        <v>906</v>
      </c>
      <c r="C897" s="346" t="s">
        <v>187</v>
      </c>
      <c r="D897" s="346" t="s">
        <v>161</v>
      </c>
      <c r="E897" s="346" t="s">
        <v>435</v>
      </c>
      <c r="F897" s="346" t="s">
        <v>120</v>
      </c>
      <c r="G897" s="300">
        <f>G898</f>
        <v>7593.8920099999987</v>
      </c>
      <c r="H897" s="532"/>
      <c r="I897" s="532"/>
      <c r="J897" s="302"/>
    </row>
    <row r="898" spans="1:11" s="344" customFormat="1" ht="31.5" x14ac:dyDescent="0.25">
      <c r="A898" s="345" t="s">
        <v>121</v>
      </c>
      <c r="B898" s="591">
        <v>906</v>
      </c>
      <c r="C898" s="346" t="s">
        <v>187</v>
      </c>
      <c r="D898" s="346" t="s">
        <v>161</v>
      </c>
      <c r="E898" s="346" t="s">
        <v>435</v>
      </c>
      <c r="F898" s="346" t="s">
        <v>122</v>
      </c>
      <c r="G898" s="300">
        <f>13041.5+37.3-3929.75834-1247.30334-288.33431-19.512</f>
        <v>7593.8920099999987</v>
      </c>
      <c r="H898" s="532"/>
      <c r="I898" s="532"/>
      <c r="J898" s="302"/>
    </row>
    <row r="899" spans="1:11" s="344" customFormat="1" ht="31.5" x14ac:dyDescent="0.25">
      <c r="A899" s="345" t="s">
        <v>123</v>
      </c>
      <c r="B899" s="591">
        <v>906</v>
      </c>
      <c r="C899" s="346" t="s">
        <v>187</v>
      </c>
      <c r="D899" s="346" t="s">
        <v>161</v>
      </c>
      <c r="E899" s="346" t="s">
        <v>435</v>
      </c>
      <c r="F899" s="346" t="s">
        <v>124</v>
      </c>
      <c r="G899" s="300">
        <f>G900</f>
        <v>850.57400000000007</v>
      </c>
      <c r="H899" s="532"/>
      <c r="I899" s="532"/>
      <c r="J899" s="302"/>
    </row>
    <row r="900" spans="1:11" s="344" customFormat="1" ht="31.5" x14ac:dyDescent="0.25">
      <c r="A900" s="345" t="s">
        <v>125</v>
      </c>
      <c r="B900" s="591">
        <v>906</v>
      </c>
      <c r="C900" s="346" t="s">
        <v>187</v>
      </c>
      <c r="D900" s="346" t="s">
        <v>161</v>
      </c>
      <c r="E900" s="346" t="s">
        <v>435</v>
      </c>
      <c r="F900" s="346" t="s">
        <v>126</v>
      </c>
      <c r="G900" s="300">
        <f>1437.7-344.255-78-264.816+19.512+4+53.1+23.333</f>
        <v>850.57400000000007</v>
      </c>
      <c r="H900" s="532"/>
      <c r="I900" s="532"/>
      <c r="J900" s="302"/>
    </row>
    <row r="901" spans="1:11" s="344" customFormat="1" ht="15.75" x14ac:dyDescent="0.25">
      <c r="A901" s="345" t="s">
        <v>177</v>
      </c>
      <c r="B901" s="591">
        <v>906</v>
      </c>
      <c r="C901" s="346" t="s">
        <v>187</v>
      </c>
      <c r="D901" s="346" t="s">
        <v>161</v>
      </c>
      <c r="E901" s="346" t="s">
        <v>435</v>
      </c>
      <c r="F901" s="346" t="s">
        <v>178</v>
      </c>
      <c r="G901" s="300">
        <f>G902</f>
        <v>288.33431000000002</v>
      </c>
      <c r="H901" s="532"/>
      <c r="I901" s="532"/>
      <c r="J901" s="302"/>
    </row>
    <row r="902" spans="1:11" s="344" customFormat="1" ht="31.5" x14ac:dyDescent="0.25">
      <c r="A902" s="345" t="s">
        <v>179</v>
      </c>
      <c r="B902" s="591">
        <v>906</v>
      </c>
      <c r="C902" s="346" t="s">
        <v>187</v>
      </c>
      <c r="D902" s="346" t="s">
        <v>161</v>
      </c>
      <c r="E902" s="346" t="s">
        <v>435</v>
      </c>
      <c r="F902" s="346" t="s">
        <v>180</v>
      </c>
      <c r="G902" s="300">
        <v>288.33431000000002</v>
      </c>
      <c r="H902" s="532"/>
      <c r="I902" s="532"/>
      <c r="J902" s="302"/>
    </row>
    <row r="903" spans="1:11" s="344" customFormat="1" ht="15.75" x14ac:dyDescent="0.25">
      <c r="A903" s="345" t="s">
        <v>127</v>
      </c>
      <c r="B903" s="591">
        <v>906</v>
      </c>
      <c r="C903" s="346" t="s">
        <v>187</v>
      </c>
      <c r="D903" s="346" t="s">
        <v>161</v>
      </c>
      <c r="E903" s="346" t="s">
        <v>435</v>
      </c>
      <c r="F903" s="346" t="s">
        <v>134</v>
      </c>
      <c r="G903" s="300">
        <f>G904</f>
        <v>14</v>
      </c>
      <c r="H903" s="532"/>
      <c r="I903" s="532"/>
      <c r="J903" s="302"/>
    </row>
    <row r="904" spans="1:11" s="344" customFormat="1" ht="15.75" x14ac:dyDescent="0.25">
      <c r="A904" s="345" t="s">
        <v>280</v>
      </c>
      <c r="B904" s="591">
        <v>906</v>
      </c>
      <c r="C904" s="346" t="s">
        <v>187</v>
      </c>
      <c r="D904" s="346" t="s">
        <v>161</v>
      </c>
      <c r="E904" s="346" t="s">
        <v>435</v>
      </c>
      <c r="F904" s="346" t="s">
        <v>130</v>
      </c>
      <c r="G904" s="300">
        <v>14</v>
      </c>
      <c r="H904" s="532"/>
      <c r="I904" s="532"/>
      <c r="J904" s="302"/>
    </row>
    <row r="905" spans="1:11" s="129" customFormat="1" ht="31.5" x14ac:dyDescent="0.25">
      <c r="A905" s="345" t="s">
        <v>414</v>
      </c>
      <c r="B905" s="591">
        <v>906</v>
      </c>
      <c r="C905" s="346" t="s">
        <v>187</v>
      </c>
      <c r="D905" s="346" t="s">
        <v>161</v>
      </c>
      <c r="E905" s="346" t="s">
        <v>436</v>
      </c>
      <c r="F905" s="346"/>
      <c r="G905" s="300">
        <f>G906</f>
        <v>394.267</v>
      </c>
      <c r="H905" s="532"/>
      <c r="I905" s="532"/>
      <c r="J905" s="302"/>
    </row>
    <row r="906" spans="1:11" s="129" customFormat="1" ht="63" x14ac:dyDescent="0.25">
      <c r="A906" s="345" t="s">
        <v>119</v>
      </c>
      <c r="B906" s="591">
        <v>906</v>
      </c>
      <c r="C906" s="346" t="s">
        <v>187</v>
      </c>
      <c r="D906" s="346" t="s">
        <v>161</v>
      </c>
      <c r="E906" s="346" t="s">
        <v>436</v>
      </c>
      <c r="F906" s="346" t="s">
        <v>120</v>
      </c>
      <c r="G906" s="300">
        <f>G907</f>
        <v>394.267</v>
      </c>
      <c r="H906" s="532"/>
      <c r="I906" s="532"/>
      <c r="J906" s="302"/>
    </row>
    <row r="907" spans="1:11" s="129" customFormat="1" ht="31.5" x14ac:dyDescent="0.25">
      <c r="A907" s="345" t="s">
        <v>121</v>
      </c>
      <c r="B907" s="591">
        <v>906</v>
      </c>
      <c r="C907" s="346" t="s">
        <v>187</v>
      </c>
      <c r="D907" s="346" t="s">
        <v>161</v>
      </c>
      <c r="E907" s="346" t="s">
        <v>436</v>
      </c>
      <c r="F907" s="346" t="s">
        <v>122</v>
      </c>
      <c r="G907" s="300">
        <f>43+432-40-40.733</f>
        <v>394.267</v>
      </c>
      <c r="H907" s="532"/>
      <c r="I907" s="532"/>
      <c r="J907" s="302"/>
    </row>
    <row r="908" spans="1:11" ht="15.75" x14ac:dyDescent="0.25">
      <c r="A908" s="298" t="s">
        <v>133</v>
      </c>
      <c r="B908" s="296">
        <v>906</v>
      </c>
      <c r="C908" s="299" t="s">
        <v>187</v>
      </c>
      <c r="D908" s="299" t="s">
        <v>161</v>
      </c>
      <c r="E908" s="299" t="s">
        <v>440</v>
      </c>
      <c r="F908" s="299"/>
      <c r="G908" s="297">
        <f>G920+G926+G909</f>
        <v>11970.41178</v>
      </c>
      <c r="H908" s="532"/>
      <c r="I908" s="532"/>
      <c r="J908" s="302"/>
      <c r="K908" s="129"/>
    </row>
    <row r="909" spans="1:11" s="344" customFormat="1" ht="15.75" x14ac:dyDescent="0.25">
      <c r="A909" s="298" t="s">
        <v>1115</v>
      </c>
      <c r="B909" s="296">
        <v>906</v>
      </c>
      <c r="C909" s="299" t="s">
        <v>187</v>
      </c>
      <c r="D909" s="299" t="s">
        <v>161</v>
      </c>
      <c r="E909" s="299" t="s">
        <v>516</v>
      </c>
      <c r="F909" s="299"/>
      <c r="G909" s="297">
        <f>G910+G913</f>
        <v>11470.41178</v>
      </c>
      <c r="H909" s="532"/>
      <c r="I909" s="532"/>
      <c r="J909" s="302"/>
    </row>
    <row r="910" spans="1:11" s="344" customFormat="1" ht="31.5" x14ac:dyDescent="0.25">
      <c r="A910" s="345" t="s">
        <v>414</v>
      </c>
      <c r="B910" s="591">
        <v>906</v>
      </c>
      <c r="C910" s="346" t="s">
        <v>187</v>
      </c>
      <c r="D910" s="346" t="s">
        <v>161</v>
      </c>
      <c r="E910" s="346" t="s">
        <v>519</v>
      </c>
      <c r="F910" s="346"/>
      <c r="G910" s="300">
        <f>G911</f>
        <v>43.74</v>
      </c>
      <c r="H910" s="532"/>
      <c r="I910" s="532"/>
      <c r="J910" s="302"/>
    </row>
    <row r="911" spans="1:11" s="344" customFormat="1" ht="63" x14ac:dyDescent="0.25">
      <c r="A911" s="345" t="s">
        <v>119</v>
      </c>
      <c r="B911" s="591">
        <v>906</v>
      </c>
      <c r="C911" s="346" t="s">
        <v>187</v>
      </c>
      <c r="D911" s="346" t="s">
        <v>161</v>
      </c>
      <c r="E911" s="346" t="s">
        <v>519</v>
      </c>
      <c r="F911" s="346" t="s">
        <v>120</v>
      </c>
      <c r="G911" s="300">
        <f>G912</f>
        <v>43.74</v>
      </c>
      <c r="H911" s="532"/>
      <c r="I911" s="532"/>
      <c r="J911" s="302"/>
    </row>
    <row r="912" spans="1:11" s="344" customFormat="1" ht="15.75" x14ac:dyDescent="0.25">
      <c r="A912" s="345" t="s">
        <v>212</v>
      </c>
      <c r="B912" s="591">
        <v>906</v>
      </c>
      <c r="C912" s="346" t="s">
        <v>187</v>
      </c>
      <c r="D912" s="346" t="s">
        <v>161</v>
      </c>
      <c r="E912" s="346" t="s">
        <v>519</v>
      </c>
      <c r="F912" s="346" t="s">
        <v>156</v>
      </c>
      <c r="G912" s="300">
        <f>40+3.74</f>
        <v>43.74</v>
      </c>
      <c r="H912" s="532"/>
      <c r="I912" s="532"/>
      <c r="J912" s="302"/>
    </row>
    <row r="913" spans="1:11" s="344" customFormat="1" ht="15.75" x14ac:dyDescent="0.25">
      <c r="A913" s="345" t="s">
        <v>377</v>
      </c>
      <c r="B913" s="591">
        <v>906</v>
      </c>
      <c r="C913" s="346" t="s">
        <v>187</v>
      </c>
      <c r="D913" s="346" t="s">
        <v>161</v>
      </c>
      <c r="E913" s="346" t="s">
        <v>518</v>
      </c>
      <c r="F913" s="346"/>
      <c r="G913" s="300">
        <f>G914+G916+G918</f>
        <v>11426.671780000001</v>
      </c>
      <c r="H913" s="532"/>
      <c r="I913" s="532"/>
      <c r="J913" s="302"/>
    </row>
    <row r="914" spans="1:11" s="344" customFormat="1" ht="63" x14ac:dyDescent="0.25">
      <c r="A914" s="345" t="s">
        <v>119</v>
      </c>
      <c r="B914" s="591">
        <v>906</v>
      </c>
      <c r="C914" s="346" t="s">
        <v>187</v>
      </c>
      <c r="D914" s="346" t="s">
        <v>161</v>
      </c>
      <c r="E914" s="346" t="s">
        <v>518</v>
      </c>
      <c r="F914" s="346" t="s">
        <v>120</v>
      </c>
      <c r="G914" s="300">
        <f>G915</f>
        <v>10743.34078</v>
      </c>
      <c r="H914" s="532"/>
      <c r="I914" s="532"/>
      <c r="J914" s="302"/>
    </row>
    <row r="915" spans="1:11" s="344" customFormat="1" ht="15.75" x14ac:dyDescent="0.25">
      <c r="A915" s="345" t="s">
        <v>212</v>
      </c>
      <c r="B915" s="591">
        <v>906</v>
      </c>
      <c r="C915" s="346" t="s">
        <v>187</v>
      </c>
      <c r="D915" s="346" t="s">
        <v>161</v>
      </c>
      <c r="E915" s="346" t="s">
        <v>518</v>
      </c>
      <c r="F915" s="346" t="s">
        <v>156</v>
      </c>
      <c r="G915" s="300">
        <f>3929.75834+1247.30334+4752.8481+118.331+695.1</f>
        <v>10743.34078</v>
      </c>
      <c r="H915" s="532"/>
      <c r="I915" s="532"/>
      <c r="J915" s="302"/>
    </row>
    <row r="916" spans="1:11" s="344" customFormat="1" ht="31.5" x14ac:dyDescent="0.25">
      <c r="A916" s="345" t="s">
        <v>123</v>
      </c>
      <c r="B916" s="591">
        <v>906</v>
      </c>
      <c r="C916" s="346" t="s">
        <v>187</v>
      </c>
      <c r="D916" s="346" t="s">
        <v>161</v>
      </c>
      <c r="E916" s="346" t="s">
        <v>518</v>
      </c>
      <c r="F916" s="346" t="s">
        <v>124</v>
      </c>
      <c r="G916" s="300">
        <f>G917</f>
        <v>683.3309999999999</v>
      </c>
      <c r="H916" s="532"/>
      <c r="I916" s="532"/>
      <c r="J916" s="302"/>
    </row>
    <row r="917" spans="1:11" s="344" customFormat="1" ht="31.5" x14ac:dyDescent="0.25">
      <c r="A917" s="345" t="s">
        <v>125</v>
      </c>
      <c r="B917" s="591">
        <v>906</v>
      </c>
      <c r="C917" s="346" t="s">
        <v>187</v>
      </c>
      <c r="D917" s="346" t="s">
        <v>161</v>
      </c>
      <c r="E917" s="346" t="s">
        <v>518</v>
      </c>
      <c r="F917" s="346" t="s">
        <v>126</v>
      </c>
      <c r="G917" s="300">
        <f>344.255+78+264.816-3.74</f>
        <v>683.3309999999999</v>
      </c>
      <c r="H917" s="532"/>
      <c r="I917" s="532"/>
      <c r="J917" s="302"/>
    </row>
    <row r="918" spans="1:11" s="344" customFormat="1" ht="15.75" hidden="1" x14ac:dyDescent="0.25">
      <c r="A918" s="345" t="s">
        <v>127</v>
      </c>
      <c r="B918" s="591">
        <v>906</v>
      </c>
      <c r="C918" s="346" t="s">
        <v>187</v>
      </c>
      <c r="D918" s="346" t="s">
        <v>161</v>
      </c>
      <c r="E918" s="346" t="s">
        <v>518</v>
      </c>
      <c r="F918" s="346" t="s">
        <v>134</v>
      </c>
      <c r="G918" s="300">
        <f>G919</f>
        <v>0</v>
      </c>
      <c r="H918" s="532"/>
      <c r="I918" s="532"/>
      <c r="J918" s="302"/>
    </row>
    <row r="919" spans="1:11" s="344" customFormat="1" ht="15.75" hidden="1" x14ac:dyDescent="0.25">
      <c r="A919" s="345" t="s">
        <v>280</v>
      </c>
      <c r="B919" s="591">
        <v>906</v>
      </c>
      <c r="C919" s="346" t="s">
        <v>187</v>
      </c>
      <c r="D919" s="346" t="s">
        <v>161</v>
      </c>
      <c r="E919" s="346" t="s">
        <v>518</v>
      </c>
      <c r="F919" s="346" t="s">
        <v>130</v>
      </c>
      <c r="G919" s="300"/>
      <c r="H919" s="532"/>
      <c r="I919" s="532"/>
      <c r="J919" s="302"/>
    </row>
    <row r="920" spans="1:11" s="129" customFormat="1" ht="31.5" x14ac:dyDescent="0.25">
      <c r="A920" s="298" t="s">
        <v>444</v>
      </c>
      <c r="B920" s="296">
        <v>906</v>
      </c>
      <c r="C920" s="299" t="s">
        <v>187</v>
      </c>
      <c r="D920" s="299" t="s">
        <v>161</v>
      </c>
      <c r="E920" s="299" t="s">
        <v>439</v>
      </c>
      <c r="F920" s="299"/>
      <c r="G920" s="297">
        <f>G921</f>
        <v>500</v>
      </c>
      <c r="H920" s="532"/>
      <c r="I920" s="532"/>
      <c r="J920" s="302"/>
    </row>
    <row r="921" spans="1:11" ht="15.75" x14ac:dyDescent="0.25">
      <c r="A921" s="345" t="s">
        <v>247</v>
      </c>
      <c r="B921" s="591">
        <v>906</v>
      </c>
      <c r="C921" s="346" t="s">
        <v>187</v>
      </c>
      <c r="D921" s="346" t="s">
        <v>161</v>
      </c>
      <c r="E921" s="346" t="s">
        <v>510</v>
      </c>
      <c r="F921" s="346"/>
      <c r="G921" s="300">
        <f>G922+G924</f>
        <v>500</v>
      </c>
      <c r="H921" s="532"/>
      <c r="I921" s="532"/>
      <c r="J921" s="302"/>
      <c r="K921" s="129"/>
    </row>
    <row r="922" spans="1:11" s="129" customFormat="1" ht="63" hidden="1" x14ac:dyDescent="0.25">
      <c r="A922" s="345" t="s">
        <v>119</v>
      </c>
      <c r="B922" s="591">
        <v>906</v>
      </c>
      <c r="C922" s="346" t="s">
        <v>187</v>
      </c>
      <c r="D922" s="346" t="s">
        <v>161</v>
      </c>
      <c r="E922" s="346" t="s">
        <v>510</v>
      </c>
      <c r="F922" s="346" t="s">
        <v>120</v>
      </c>
      <c r="G922" s="300">
        <f>G923</f>
        <v>0</v>
      </c>
      <c r="H922" s="532"/>
      <c r="I922" s="532"/>
      <c r="J922" s="302"/>
    </row>
    <row r="923" spans="1:11" s="129" customFormat="1" ht="15.75" hidden="1" x14ac:dyDescent="0.25">
      <c r="A923" s="345" t="s">
        <v>212</v>
      </c>
      <c r="B923" s="591">
        <v>906</v>
      </c>
      <c r="C923" s="346" t="s">
        <v>187</v>
      </c>
      <c r="D923" s="346" t="s">
        <v>161</v>
      </c>
      <c r="E923" s="346" t="s">
        <v>510</v>
      </c>
      <c r="F923" s="346" t="s">
        <v>156</v>
      </c>
      <c r="G923" s="300"/>
      <c r="H923" s="530"/>
      <c r="I923" s="530"/>
      <c r="J923" s="302"/>
    </row>
    <row r="924" spans="1:11" ht="31.5" x14ac:dyDescent="0.25">
      <c r="A924" s="345" t="s">
        <v>123</v>
      </c>
      <c r="B924" s="591">
        <v>906</v>
      </c>
      <c r="C924" s="346" t="s">
        <v>187</v>
      </c>
      <c r="D924" s="346" t="s">
        <v>161</v>
      </c>
      <c r="E924" s="346" t="s">
        <v>510</v>
      </c>
      <c r="F924" s="346" t="s">
        <v>124</v>
      </c>
      <c r="G924" s="300">
        <f>G925</f>
        <v>500</v>
      </c>
      <c r="H924" s="532"/>
      <c r="I924" s="532"/>
      <c r="J924" s="302"/>
      <c r="K924" s="129"/>
    </row>
    <row r="925" spans="1:11" ht="31.5" x14ac:dyDescent="0.25">
      <c r="A925" s="345" t="s">
        <v>125</v>
      </c>
      <c r="B925" s="591">
        <v>906</v>
      </c>
      <c r="C925" s="346" t="s">
        <v>187</v>
      </c>
      <c r="D925" s="346" t="s">
        <v>161</v>
      </c>
      <c r="E925" s="346" t="s">
        <v>510</v>
      </c>
      <c r="F925" s="346" t="s">
        <v>126</v>
      </c>
      <c r="G925" s="300">
        <v>500</v>
      </c>
      <c r="H925" s="532"/>
      <c r="I925" s="532"/>
      <c r="J925" s="302"/>
      <c r="K925" s="129"/>
    </row>
    <row r="926" spans="1:11" s="129" customFormat="1" ht="31.5" hidden="1" x14ac:dyDescent="0.25">
      <c r="A926" s="298" t="s">
        <v>498</v>
      </c>
      <c r="B926" s="296">
        <v>906</v>
      </c>
      <c r="C926" s="299" t="s">
        <v>187</v>
      </c>
      <c r="D926" s="299" t="s">
        <v>161</v>
      </c>
      <c r="E926" s="299" t="s">
        <v>483</v>
      </c>
      <c r="F926" s="299"/>
      <c r="G926" s="297">
        <f>G927+G934</f>
        <v>0</v>
      </c>
      <c r="H926" s="532"/>
      <c r="I926" s="532"/>
      <c r="J926" s="302"/>
    </row>
    <row r="927" spans="1:11" ht="31.5" hidden="1" x14ac:dyDescent="0.25">
      <c r="A927" s="345" t="s">
        <v>635</v>
      </c>
      <c r="B927" s="591">
        <v>906</v>
      </c>
      <c r="C927" s="346" t="s">
        <v>187</v>
      </c>
      <c r="D927" s="346" t="s">
        <v>161</v>
      </c>
      <c r="E927" s="346" t="s">
        <v>484</v>
      </c>
      <c r="F927" s="346"/>
      <c r="G927" s="300">
        <f>G928+G930+G932</f>
        <v>0</v>
      </c>
      <c r="H927" s="532"/>
      <c r="I927" s="532"/>
      <c r="J927" s="302"/>
      <c r="K927" s="129"/>
    </row>
    <row r="928" spans="1:11" ht="61.5" hidden="1" customHeight="1" x14ac:dyDescent="0.25">
      <c r="A928" s="345" t="s">
        <v>119</v>
      </c>
      <c r="B928" s="591">
        <v>906</v>
      </c>
      <c r="C928" s="346" t="s">
        <v>187</v>
      </c>
      <c r="D928" s="346" t="s">
        <v>161</v>
      </c>
      <c r="E928" s="346" t="s">
        <v>484</v>
      </c>
      <c r="F928" s="346" t="s">
        <v>120</v>
      </c>
      <c r="G928" s="300">
        <f>G929</f>
        <v>0</v>
      </c>
      <c r="H928" s="532"/>
      <c r="I928" s="532"/>
      <c r="J928" s="302"/>
      <c r="K928" s="129"/>
    </row>
    <row r="929" spans="1:11" ht="15.75" hidden="1" x14ac:dyDescent="0.25">
      <c r="A929" s="345" t="s">
        <v>212</v>
      </c>
      <c r="B929" s="591">
        <v>906</v>
      </c>
      <c r="C929" s="346" t="s">
        <v>187</v>
      </c>
      <c r="D929" s="346" t="s">
        <v>161</v>
      </c>
      <c r="E929" s="346" t="s">
        <v>484</v>
      </c>
      <c r="F929" s="346" t="s">
        <v>156</v>
      </c>
      <c r="G929" s="18"/>
      <c r="H929" s="532"/>
      <c r="I929" s="532"/>
      <c r="J929" s="302"/>
      <c r="K929" s="129"/>
    </row>
    <row r="930" spans="1:11" ht="31.5" hidden="1" x14ac:dyDescent="0.25">
      <c r="A930" s="345" t="s">
        <v>123</v>
      </c>
      <c r="B930" s="591">
        <v>906</v>
      </c>
      <c r="C930" s="346" t="s">
        <v>187</v>
      </c>
      <c r="D930" s="346" t="s">
        <v>161</v>
      </c>
      <c r="E930" s="346" t="s">
        <v>484</v>
      </c>
      <c r="F930" s="346" t="s">
        <v>124</v>
      </c>
      <c r="G930" s="300">
        <f>G931</f>
        <v>0</v>
      </c>
      <c r="H930" s="532"/>
      <c r="I930" s="532"/>
      <c r="J930" s="302"/>
      <c r="K930" s="129"/>
    </row>
    <row r="931" spans="1:11" ht="33" hidden="1" customHeight="1" x14ac:dyDescent="0.25">
      <c r="A931" s="345" t="s">
        <v>125</v>
      </c>
      <c r="B931" s="591">
        <v>906</v>
      </c>
      <c r="C931" s="346" t="s">
        <v>187</v>
      </c>
      <c r="D931" s="346" t="s">
        <v>161</v>
      </c>
      <c r="E931" s="346" t="s">
        <v>484</v>
      </c>
      <c r="F931" s="346" t="s">
        <v>126</v>
      </c>
      <c r="G931" s="300"/>
      <c r="H931" s="532"/>
      <c r="I931" s="532"/>
      <c r="J931" s="302"/>
      <c r="K931" s="129"/>
    </row>
    <row r="932" spans="1:11" ht="15.75" hidden="1" x14ac:dyDescent="0.25">
      <c r="A932" s="345" t="s">
        <v>127</v>
      </c>
      <c r="B932" s="591">
        <v>906</v>
      </c>
      <c r="C932" s="346" t="s">
        <v>187</v>
      </c>
      <c r="D932" s="346" t="s">
        <v>161</v>
      </c>
      <c r="E932" s="346" t="s">
        <v>484</v>
      </c>
      <c r="F932" s="346" t="s">
        <v>134</v>
      </c>
      <c r="G932" s="300">
        <f>G933</f>
        <v>0</v>
      </c>
      <c r="H932" s="532"/>
      <c r="I932" s="532"/>
      <c r="J932" s="302"/>
      <c r="K932" s="129"/>
    </row>
    <row r="933" spans="1:11" ht="15.75" hidden="1" x14ac:dyDescent="0.25">
      <c r="A933" s="345" t="s">
        <v>280</v>
      </c>
      <c r="B933" s="591">
        <v>906</v>
      </c>
      <c r="C933" s="346" t="s">
        <v>187</v>
      </c>
      <c r="D933" s="346" t="s">
        <v>161</v>
      </c>
      <c r="E933" s="346" t="s">
        <v>484</v>
      </c>
      <c r="F933" s="346" t="s">
        <v>130</v>
      </c>
      <c r="G933" s="300"/>
      <c r="H933" s="532"/>
      <c r="I933" s="532"/>
      <c r="J933" s="302"/>
      <c r="K933" s="129"/>
    </row>
    <row r="934" spans="1:11" s="129" customFormat="1" ht="31.5" hidden="1" x14ac:dyDescent="0.25">
      <c r="A934" s="345" t="s">
        <v>414</v>
      </c>
      <c r="B934" s="591">
        <v>906</v>
      </c>
      <c r="C934" s="346" t="s">
        <v>187</v>
      </c>
      <c r="D934" s="346" t="s">
        <v>161</v>
      </c>
      <c r="E934" s="346" t="s">
        <v>485</v>
      </c>
      <c r="F934" s="346"/>
      <c r="G934" s="300">
        <f>G935</f>
        <v>0</v>
      </c>
      <c r="H934" s="532"/>
      <c r="I934" s="532"/>
      <c r="J934" s="302"/>
    </row>
    <row r="935" spans="1:11" s="129" customFormat="1" ht="63" hidden="1" x14ac:dyDescent="0.25">
      <c r="A935" s="345" t="s">
        <v>119</v>
      </c>
      <c r="B935" s="591">
        <v>906</v>
      </c>
      <c r="C935" s="346" t="s">
        <v>187</v>
      </c>
      <c r="D935" s="346" t="s">
        <v>161</v>
      </c>
      <c r="E935" s="346" t="s">
        <v>485</v>
      </c>
      <c r="F935" s="346" t="s">
        <v>120</v>
      </c>
      <c r="G935" s="300">
        <f>G936</f>
        <v>0</v>
      </c>
      <c r="H935" s="532"/>
      <c r="I935" s="532"/>
      <c r="J935" s="302"/>
    </row>
    <row r="936" spans="1:11" s="129" customFormat="1" ht="15.75" hidden="1" x14ac:dyDescent="0.25">
      <c r="A936" s="345" t="s">
        <v>212</v>
      </c>
      <c r="B936" s="591">
        <v>906</v>
      </c>
      <c r="C936" s="346" t="s">
        <v>187</v>
      </c>
      <c r="D936" s="346" t="s">
        <v>161</v>
      </c>
      <c r="E936" s="346" t="s">
        <v>485</v>
      </c>
      <c r="F936" s="346" t="s">
        <v>156</v>
      </c>
      <c r="G936" s="300"/>
      <c r="H936" s="532"/>
      <c r="I936" s="532"/>
      <c r="J936" s="302"/>
    </row>
    <row r="937" spans="1:11" ht="36.75" customHeight="1" x14ac:dyDescent="0.25">
      <c r="A937" s="296" t="s">
        <v>248</v>
      </c>
      <c r="B937" s="296">
        <v>907</v>
      </c>
      <c r="C937" s="346"/>
      <c r="D937" s="346"/>
      <c r="E937" s="346"/>
      <c r="F937" s="346"/>
      <c r="G937" s="297">
        <f>G945+G938</f>
        <v>82792.25</v>
      </c>
      <c r="H937" s="533"/>
      <c r="I937" s="533"/>
      <c r="J937" s="302"/>
      <c r="K937" s="129"/>
    </row>
    <row r="938" spans="1:11" s="129" customFormat="1" ht="18.75" customHeight="1" x14ac:dyDescent="0.25">
      <c r="A938" s="298" t="s">
        <v>115</v>
      </c>
      <c r="B938" s="296">
        <v>907</v>
      </c>
      <c r="C938" s="299" t="s">
        <v>116</v>
      </c>
      <c r="D938" s="299"/>
      <c r="E938" s="299"/>
      <c r="F938" s="299"/>
      <c r="G938" s="297">
        <f t="shared" ref="G938:G939" si="68">G939</f>
        <v>100</v>
      </c>
      <c r="H938" s="532"/>
      <c r="I938" s="532"/>
      <c r="J938" s="302"/>
    </row>
    <row r="939" spans="1:11" s="129" customFormat="1" ht="21.75" customHeight="1" x14ac:dyDescent="0.25">
      <c r="A939" s="24" t="s">
        <v>131</v>
      </c>
      <c r="B939" s="296">
        <v>907</v>
      </c>
      <c r="C939" s="299" t="s">
        <v>116</v>
      </c>
      <c r="D939" s="299" t="s">
        <v>132</v>
      </c>
      <c r="E939" s="299"/>
      <c r="F939" s="299"/>
      <c r="G939" s="297">
        <f t="shared" si="68"/>
        <v>100</v>
      </c>
      <c r="H939" s="532"/>
      <c r="I939" s="532"/>
      <c r="J939" s="302"/>
    </row>
    <row r="940" spans="1:11" s="129" customFormat="1" ht="36.75" customHeight="1" x14ac:dyDescent="0.25">
      <c r="A940" s="298" t="s">
        <v>862</v>
      </c>
      <c r="B940" s="296">
        <v>907</v>
      </c>
      <c r="C940" s="299" t="s">
        <v>116</v>
      </c>
      <c r="D940" s="299" t="s">
        <v>132</v>
      </c>
      <c r="E940" s="299" t="s">
        <v>209</v>
      </c>
      <c r="F940" s="299"/>
      <c r="G940" s="297">
        <f t="shared" ref="G940:G943" si="69">G941</f>
        <v>100</v>
      </c>
      <c r="H940" s="532"/>
      <c r="I940" s="532"/>
      <c r="J940" s="302"/>
    </row>
    <row r="941" spans="1:11" s="129" customFormat="1" ht="36.75" customHeight="1" x14ac:dyDescent="0.25">
      <c r="A941" s="134" t="s">
        <v>608</v>
      </c>
      <c r="B941" s="296">
        <v>907</v>
      </c>
      <c r="C941" s="299" t="s">
        <v>116</v>
      </c>
      <c r="D941" s="299" t="s">
        <v>132</v>
      </c>
      <c r="E941" s="299" t="s">
        <v>609</v>
      </c>
      <c r="F941" s="299"/>
      <c r="G941" s="297">
        <f t="shared" si="69"/>
        <v>100</v>
      </c>
      <c r="H941" s="532"/>
      <c r="I941" s="532"/>
      <c r="J941" s="302"/>
    </row>
    <row r="942" spans="1:11" s="129" customFormat="1" ht="32.25" customHeight="1" x14ac:dyDescent="0.25">
      <c r="A942" s="66" t="s">
        <v>210</v>
      </c>
      <c r="B942" s="591">
        <v>907</v>
      </c>
      <c r="C942" s="346" t="s">
        <v>116</v>
      </c>
      <c r="D942" s="346" t="s">
        <v>132</v>
      </c>
      <c r="E942" s="346" t="s">
        <v>610</v>
      </c>
      <c r="F942" s="346"/>
      <c r="G942" s="300">
        <f t="shared" si="69"/>
        <v>100</v>
      </c>
      <c r="H942" s="532"/>
      <c r="I942" s="532"/>
      <c r="J942" s="302"/>
    </row>
    <row r="943" spans="1:11" s="129" customFormat="1" ht="29.85" customHeight="1" x14ac:dyDescent="0.25">
      <c r="A943" s="345" t="s">
        <v>123</v>
      </c>
      <c r="B943" s="591">
        <v>907</v>
      </c>
      <c r="C943" s="346" t="s">
        <v>116</v>
      </c>
      <c r="D943" s="346" t="s">
        <v>132</v>
      </c>
      <c r="E943" s="346" t="s">
        <v>610</v>
      </c>
      <c r="F943" s="346" t="s">
        <v>124</v>
      </c>
      <c r="G943" s="300">
        <f t="shared" si="69"/>
        <v>100</v>
      </c>
      <c r="H943" s="532"/>
      <c r="I943" s="532"/>
      <c r="J943" s="302"/>
    </row>
    <row r="944" spans="1:11" s="129" customFormat="1" ht="36.75" customHeight="1" x14ac:dyDescent="0.25">
      <c r="A944" s="345" t="s">
        <v>125</v>
      </c>
      <c r="B944" s="591">
        <v>907</v>
      </c>
      <c r="C944" s="346" t="s">
        <v>116</v>
      </c>
      <c r="D944" s="346" t="s">
        <v>132</v>
      </c>
      <c r="E944" s="346" t="s">
        <v>610</v>
      </c>
      <c r="F944" s="346" t="s">
        <v>126</v>
      </c>
      <c r="G944" s="300">
        <v>100</v>
      </c>
      <c r="H944" s="532"/>
      <c r="I944" s="532"/>
      <c r="J944" s="302"/>
    </row>
    <row r="945" spans="1:11" ht="15.75" x14ac:dyDescent="0.25">
      <c r="A945" s="298" t="s">
        <v>250</v>
      </c>
      <c r="B945" s="296">
        <v>907</v>
      </c>
      <c r="C945" s="299" t="s">
        <v>251</v>
      </c>
      <c r="D945" s="346"/>
      <c r="E945" s="346"/>
      <c r="F945" s="346"/>
      <c r="G945" s="297">
        <f>G946+G997</f>
        <v>82692.25</v>
      </c>
      <c r="H945" s="532"/>
      <c r="I945" s="532"/>
      <c r="J945" s="302"/>
      <c r="K945" s="129"/>
    </row>
    <row r="946" spans="1:11" ht="15.75" x14ac:dyDescent="0.25">
      <c r="A946" s="298" t="s">
        <v>252</v>
      </c>
      <c r="B946" s="296">
        <v>907</v>
      </c>
      <c r="C946" s="299" t="s">
        <v>251</v>
      </c>
      <c r="D946" s="299" t="s">
        <v>116</v>
      </c>
      <c r="E946" s="346"/>
      <c r="F946" s="346"/>
      <c r="G946" s="297">
        <f>G947+G992</f>
        <v>64240.086360000008</v>
      </c>
      <c r="H946" s="532"/>
      <c r="I946" s="532"/>
      <c r="J946" s="302"/>
      <c r="K946" s="129"/>
    </row>
    <row r="947" spans="1:11" ht="31.5" x14ac:dyDescent="0.25">
      <c r="A947" s="298" t="s">
        <v>863</v>
      </c>
      <c r="B947" s="296">
        <v>907</v>
      </c>
      <c r="C947" s="299" t="s">
        <v>251</v>
      </c>
      <c r="D947" s="299" t="s">
        <v>116</v>
      </c>
      <c r="E947" s="299" t="s">
        <v>249</v>
      </c>
      <c r="F947" s="299"/>
      <c r="G947" s="297">
        <f>G948+G952+G965+G972+G976+G980+G988+G984</f>
        <v>63660.98636000001</v>
      </c>
      <c r="H947" s="532"/>
      <c r="I947" s="532"/>
      <c r="J947" s="302"/>
      <c r="K947" s="129"/>
    </row>
    <row r="948" spans="1:11" ht="31.5" x14ac:dyDescent="0.25">
      <c r="A948" s="298" t="s">
        <v>505</v>
      </c>
      <c r="B948" s="296">
        <v>907</v>
      </c>
      <c r="C948" s="299" t="s">
        <v>251</v>
      </c>
      <c r="D948" s="299" t="s">
        <v>116</v>
      </c>
      <c r="E948" s="299" t="s">
        <v>788</v>
      </c>
      <c r="F948" s="299"/>
      <c r="G948" s="297">
        <f t="shared" ref="G948:G950" si="70">G949</f>
        <v>55300.286360000006</v>
      </c>
      <c r="H948" s="532"/>
      <c r="I948" s="532"/>
      <c r="J948" s="302"/>
      <c r="K948" s="129"/>
    </row>
    <row r="949" spans="1:11" ht="31.5" x14ac:dyDescent="0.25">
      <c r="A949" s="345" t="s">
        <v>253</v>
      </c>
      <c r="B949" s="591">
        <v>907</v>
      </c>
      <c r="C949" s="346" t="s">
        <v>251</v>
      </c>
      <c r="D949" s="346" t="s">
        <v>116</v>
      </c>
      <c r="E949" s="346" t="s">
        <v>789</v>
      </c>
      <c r="F949" s="346"/>
      <c r="G949" s="300">
        <f t="shared" si="70"/>
        <v>55300.286360000006</v>
      </c>
      <c r="H949" s="532"/>
      <c r="I949" s="532"/>
      <c r="J949" s="302"/>
      <c r="K949" s="129"/>
    </row>
    <row r="950" spans="1:11" ht="36" customHeight="1" x14ac:dyDescent="0.25">
      <c r="A950" s="345" t="s">
        <v>191</v>
      </c>
      <c r="B950" s="591">
        <v>907</v>
      </c>
      <c r="C950" s="346" t="s">
        <v>251</v>
      </c>
      <c r="D950" s="346" t="s">
        <v>116</v>
      </c>
      <c r="E950" s="346" t="s">
        <v>789</v>
      </c>
      <c r="F950" s="346" t="s">
        <v>192</v>
      </c>
      <c r="G950" s="300">
        <f t="shared" si="70"/>
        <v>55300.286360000006</v>
      </c>
      <c r="H950" s="532"/>
      <c r="I950" s="532"/>
      <c r="J950" s="302"/>
      <c r="K950" s="129"/>
    </row>
    <row r="951" spans="1:11" ht="15.75" x14ac:dyDescent="0.25">
      <c r="A951" s="345" t="s">
        <v>193</v>
      </c>
      <c r="B951" s="591">
        <v>907</v>
      </c>
      <c r="C951" s="346" t="s">
        <v>251</v>
      </c>
      <c r="D951" s="346" t="s">
        <v>116</v>
      </c>
      <c r="E951" s="346" t="s">
        <v>789</v>
      </c>
      <c r="F951" s="346" t="s">
        <v>194</v>
      </c>
      <c r="G951" s="18">
        <f>54429-1142.57-1125+3563.58-500-700-360+975.27636+160</f>
        <v>55300.286360000006</v>
      </c>
      <c r="H951" s="530"/>
      <c r="I951" s="530"/>
      <c r="J951" s="302"/>
      <c r="K951" s="129"/>
    </row>
    <row r="952" spans="1:11" s="129" customFormat="1" ht="15.75" x14ac:dyDescent="0.25">
      <c r="A952" s="298" t="s">
        <v>511</v>
      </c>
      <c r="B952" s="296">
        <v>907</v>
      </c>
      <c r="C952" s="299" t="s">
        <v>251</v>
      </c>
      <c r="D952" s="299" t="s">
        <v>116</v>
      </c>
      <c r="E952" s="299" t="s">
        <v>790</v>
      </c>
      <c r="F952" s="299"/>
      <c r="G952" s="28">
        <f>G953+G956+G959+G962</f>
        <v>436</v>
      </c>
      <c r="H952" s="532"/>
      <c r="I952" s="532"/>
      <c r="J952" s="302"/>
    </row>
    <row r="953" spans="1:11" ht="31.7" hidden="1" customHeight="1" x14ac:dyDescent="0.25">
      <c r="A953" s="345" t="s">
        <v>195</v>
      </c>
      <c r="B953" s="591">
        <v>907</v>
      </c>
      <c r="C953" s="346" t="s">
        <v>251</v>
      </c>
      <c r="D953" s="346" t="s">
        <v>116</v>
      </c>
      <c r="E953" s="346" t="s">
        <v>832</v>
      </c>
      <c r="F953" s="346"/>
      <c r="G953" s="300">
        <f>G954</f>
        <v>0</v>
      </c>
      <c r="H953" s="532"/>
      <c r="I953" s="532"/>
      <c r="J953" s="302"/>
      <c r="K953" s="129"/>
    </row>
    <row r="954" spans="1:11" ht="31.7" hidden="1" customHeight="1" x14ac:dyDescent="0.25">
      <c r="A954" s="345" t="s">
        <v>191</v>
      </c>
      <c r="B954" s="591">
        <v>907</v>
      </c>
      <c r="C954" s="346" t="s">
        <v>251</v>
      </c>
      <c r="D954" s="346" t="s">
        <v>116</v>
      </c>
      <c r="E954" s="346" t="s">
        <v>832</v>
      </c>
      <c r="F954" s="346" t="s">
        <v>192</v>
      </c>
      <c r="G954" s="300">
        <f>G955</f>
        <v>0</v>
      </c>
      <c r="H954" s="532"/>
      <c r="I954" s="532"/>
      <c r="J954" s="302"/>
      <c r="K954" s="129"/>
    </row>
    <row r="955" spans="1:11" ht="15.6" hidden="1" customHeight="1" x14ac:dyDescent="0.25">
      <c r="A955" s="345" t="s">
        <v>193</v>
      </c>
      <c r="B955" s="591">
        <v>907</v>
      </c>
      <c r="C955" s="346" t="s">
        <v>251</v>
      </c>
      <c r="D955" s="346" t="s">
        <v>116</v>
      </c>
      <c r="E955" s="346" t="s">
        <v>832</v>
      </c>
      <c r="F955" s="346" t="s">
        <v>194</v>
      </c>
      <c r="G955" s="300"/>
      <c r="H955" s="530"/>
      <c r="I955" s="530"/>
      <c r="J955" s="302"/>
      <c r="K955" s="129"/>
    </row>
    <row r="956" spans="1:11" ht="33" customHeight="1" x14ac:dyDescent="0.25">
      <c r="A956" s="345" t="s">
        <v>196</v>
      </c>
      <c r="B956" s="591">
        <v>907</v>
      </c>
      <c r="C956" s="346" t="s">
        <v>251</v>
      </c>
      <c r="D956" s="346" t="s">
        <v>116</v>
      </c>
      <c r="E956" s="346" t="s">
        <v>833</v>
      </c>
      <c r="F956" s="346"/>
      <c r="G956" s="300">
        <f>G957</f>
        <v>400</v>
      </c>
      <c r="H956" s="532"/>
      <c r="I956" s="532"/>
      <c r="J956" s="302"/>
      <c r="K956" s="129"/>
    </row>
    <row r="957" spans="1:11" ht="37.5" customHeight="1" x14ac:dyDescent="0.25">
      <c r="A957" s="345" t="s">
        <v>191</v>
      </c>
      <c r="B957" s="591">
        <v>907</v>
      </c>
      <c r="C957" s="346" t="s">
        <v>251</v>
      </c>
      <c r="D957" s="346" t="s">
        <v>116</v>
      </c>
      <c r="E957" s="346" t="s">
        <v>833</v>
      </c>
      <c r="F957" s="346" t="s">
        <v>192</v>
      </c>
      <c r="G957" s="300">
        <f>G958</f>
        <v>400</v>
      </c>
      <c r="H957" s="532"/>
      <c r="I957" s="532"/>
      <c r="J957" s="302"/>
      <c r="K957" s="129"/>
    </row>
    <row r="958" spans="1:11" ht="15.75" customHeight="1" x14ac:dyDescent="0.25">
      <c r="A958" s="345" t="s">
        <v>193</v>
      </c>
      <c r="B958" s="591">
        <v>907</v>
      </c>
      <c r="C958" s="346" t="s">
        <v>251</v>
      </c>
      <c r="D958" s="346" t="s">
        <v>116</v>
      </c>
      <c r="E958" s="346" t="s">
        <v>833</v>
      </c>
      <c r="F958" s="346" t="s">
        <v>194</v>
      </c>
      <c r="G958" s="300">
        <v>400</v>
      </c>
      <c r="H958" s="532"/>
      <c r="I958" s="532"/>
      <c r="J958" s="302"/>
      <c r="K958" s="129"/>
    </row>
    <row r="959" spans="1:11" s="129" customFormat="1" ht="15.75" customHeight="1" x14ac:dyDescent="0.25">
      <c r="A959" s="345" t="s">
        <v>405</v>
      </c>
      <c r="B959" s="591">
        <v>907</v>
      </c>
      <c r="C959" s="346" t="s">
        <v>251</v>
      </c>
      <c r="D959" s="346" t="s">
        <v>116</v>
      </c>
      <c r="E959" s="346" t="s">
        <v>791</v>
      </c>
      <c r="F959" s="346"/>
      <c r="G959" s="300">
        <f>G960</f>
        <v>36</v>
      </c>
      <c r="H959" s="532"/>
      <c r="I959" s="532"/>
      <c r="J959" s="302"/>
    </row>
    <row r="960" spans="1:11" s="129" customFormat="1" ht="41.25" customHeight="1" x14ac:dyDescent="0.25">
      <c r="A960" s="345" t="s">
        <v>191</v>
      </c>
      <c r="B960" s="591">
        <v>907</v>
      </c>
      <c r="C960" s="346" t="s">
        <v>251</v>
      </c>
      <c r="D960" s="346" t="s">
        <v>116</v>
      </c>
      <c r="E960" s="346" t="s">
        <v>791</v>
      </c>
      <c r="F960" s="346" t="s">
        <v>192</v>
      </c>
      <c r="G960" s="300">
        <f>G961</f>
        <v>36</v>
      </c>
      <c r="H960" s="532"/>
      <c r="I960" s="532"/>
      <c r="J960" s="302"/>
    </row>
    <row r="961" spans="1:11" s="129" customFormat="1" ht="15.75" customHeight="1" x14ac:dyDescent="0.25">
      <c r="A961" s="345" t="s">
        <v>193</v>
      </c>
      <c r="B961" s="591">
        <v>907</v>
      </c>
      <c r="C961" s="346" t="s">
        <v>251</v>
      </c>
      <c r="D961" s="346" t="s">
        <v>116</v>
      </c>
      <c r="E961" s="346" t="s">
        <v>791</v>
      </c>
      <c r="F961" s="346" t="s">
        <v>194</v>
      </c>
      <c r="G961" s="300">
        <v>36</v>
      </c>
      <c r="H961" s="532"/>
      <c r="I961" s="532"/>
      <c r="J961" s="302"/>
    </row>
    <row r="962" spans="1:11" s="129" customFormat="1" ht="33.75" hidden="1" customHeight="1" x14ac:dyDescent="0.25">
      <c r="A962" s="345" t="s">
        <v>199</v>
      </c>
      <c r="B962" s="591">
        <v>907</v>
      </c>
      <c r="C962" s="346" t="s">
        <v>251</v>
      </c>
      <c r="D962" s="346" t="s">
        <v>116</v>
      </c>
      <c r="E962" s="346" t="s">
        <v>1089</v>
      </c>
      <c r="F962" s="346"/>
      <c r="G962" s="300">
        <f>G964</f>
        <v>0</v>
      </c>
      <c r="H962" s="532"/>
      <c r="I962" s="532"/>
      <c r="J962" s="302"/>
    </row>
    <row r="963" spans="1:11" s="129" customFormat="1" ht="15.75" hidden="1" customHeight="1" x14ac:dyDescent="0.25">
      <c r="A963" s="345" t="s">
        <v>191</v>
      </c>
      <c r="B963" s="591">
        <v>907</v>
      </c>
      <c r="C963" s="346" t="s">
        <v>251</v>
      </c>
      <c r="D963" s="346" t="s">
        <v>116</v>
      </c>
      <c r="E963" s="346" t="s">
        <v>1089</v>
      </c>
      <c r="F963" s="346" t="s">
        <v>192</v>
      </c>
      <c r="G963" s="300">
        <f>G964</f>
        <v>0</v>
      </c>
      <c r="H963" s="532"/>
      <c r="I963" s="532"/>
      <c r="J963" s="302"/>
    </row>
    <row r="964" spans="1:11" s="129" customFormat="1" ht="15.75" hidden="1" customHeight="1" x14ac:dyDescent="0.25">
      <c r="A964" s="345" t="s">
        <v>193</v>
      </c>
      <c r="B964" s="591">
        <v>907</v>
      </c>
      <c r="C964" s="346" t="s">
        <v>251</v>
      </c>
      <c r="D964" s="346" t="s">
        <v>116</v>
      </c>
      <c r="E964" s="346" t="s">
        <v>1089</v>
      </c>
      <c r="F964" s="346" t="s">
        <v>194</v>
      </c>
      <c r="G964" s="300"/>
      <c r="H964" s="532"/>
      <c r="I964" s="532"/>
      <c r="J964" s="302"/>
    </row>
    <row r="965" spans="1:11" s="129" customFormat="1" ht="35.450000000000003" customHeight="1" x14ac:dyDescent="0.25">
      <c r="A965" s="298" t="s">
        <v>512</v>
      </c>
      <c r="B965" s="296">
        <v>907</v>
      </c>
      <c r="C965" s="299" t="s">
        <v>251</v>
      </c>
      <c r="D965" s="299" t="s">
        <v>116</v>
      </c>
      <c r="E965" s="299" t="s">
        <v>792</v>
      </c>
      <c r="F965" s="299"/>
      <c r="G965" s="297">
        <f>G966+G969</f>
        <v>1290</v>
      </c>
      <c r="H965" s="532"/>
      <c r="I965" s="532"/>
      <c r="J965" s="302"/>
    </row>
    <row r="966" spans="1:11" ht="33.75" hidden="1" customHeight="1" x14ac:dyDescent="0.25">
      <c r="A966" s="345" t="s">
        <v>367</v>
      </c>
      <c r="B966" s="591">
        <v>907</v>
      </c>
      <c r="C966" s="346" t="s">
        <v>251</v>
      </c>
      <c r="D966" s="346" t="s">
        <v>116</v>
      </c>
      <c r="E966" s="346" t="s">
        <v>820</v>
      </c>
      <c r="F966" s="346"/>
      <c r="G966" s="300">
        <f>G967</f>
        <v>0</v>
      </c>
      <c r="H966" s="532"/>
      <c r="I966" s="532"/>
      <c r="J966" s="302"/>
      <c r="K966" s="129"/>
    </row>
    <row r="967" spans="1:11" ht="31.5" hidden="1" x14ac:dyDescent="0.25">
      <c r="A967" s="345" t="s">
        <v>191</v>
      </c>
      <c r="B967" s="591">
        <v>907</v>
      </c>
      <c r="C967" s="346" t="s">
        <v>251</v>
      </c>
      <c r="D967" s="346" t="s">
        <v>116</v>
      </c>
      <c r="E967" s="346" t="s">
        <v>820</v>
      </c>
      <c r="F967" s="346" t="s">
        <v>192</v>
      </c>
      <c r="G967" s="300">
        <f>G968</f>
        <v>0</v>
      </c>
      <c r="H967" s="532"/>
      <c r="I967" s="532"/>
      <c r="J967" s="302"/>
      <c r="K967" s="129"/>
    </row>
    <row r="968" spans="1:11" ht="15.75" hidden="1" customHeight="1" x14ac:dyDescent="0.25">
      <c r="A968" s="345" t="s">
        <v>193</v>
      </c>
      <c r="B968" s="591">
        <v>907</v>
      </c>
      <c r="C968" s="346" t="s">
        <v>251</v>
      </c>
      <c r="D968" s="346" t="s">
        <v>116</v>
      </c>
      <c r="E968" s="346" t="s">
        <v>820</v>
      </c>
      <c r="F968" s="346" t="s">
        <v>194</v>
      </c>
      <c r="G968" s="300"/>
      <c r="H968" s="532"/>
      <c r="I968" s="532"/>
      <c r="J968" s="302"/>
      <c r="K968" s="129"/>
    </row>
    <row r="969" spans="1:11" ht="34.5" customHeight="1" x14ac:dyDescent="0.25">
      <c r="A969" s="29" t="s">
        <v>342</v>
      </c>
      <c r="B969" s="591">
        <v>907</v>
      </c>
      <c r="C969" s="346" t="s">
        <v>251</v>
      </c>
      <c r="D969" s="346" t="s">
        <v>116</v>
      </c>
      <c r="E969" s="346" t="s">
        <v>793</v>
      </c>
      <c r="F969" s="346"/>
      <c r="G969" s="300">
        <f>G970</f>
        <v>1290</v>
      </c>
      <c r="H969" s="532"/>
      <c r="I969" s="532"/>
      <c r="J969" s="302"/>
      <c r="K969" s="129"/>
    </row>
    <row r="970" spans="1:11" ht="33" customHeight="1" x14ac:dyDescent="0.25">
      <c r="A970" s="22" t="s">
        <v>191</v>
      </c>
      <c r="B970" s="591">
        <v>907</v>
      </c>
      <c r="C970" s="346" t="s">
        <v>251</v>
      </c>
      <c r="D970" s="346" t="s">
        <v>116</v>
      </c>
      <c r="E970" s="346" t="s">
        <v>793</v>
      </c>
      <c r="F970" s="346" t="s">
        <v>192</v>
      </c>
      <c r="G970" s="300">
        <f>G971</f>
        <v>1290</v>
      </c>
      <c r="H970" s="532"/>
      <c r="I970" s="532"/>
      <c r="J970" s="302"/>
      <c r="K970" s="129"/>
    </row>
    <row r="971" spans="1:11" ht="15.75" customHeight="1" x14ac:dyDescent="0.25">
      <c r="A971" s="22" t="s">
        <v>193</v>
      </c>
      <c r="B971" s="591">
        <v>907</v>
      </c>
      <c r="C971" s="346" t="s">
        <v>251</v>
      </c>
      <c r="D971" s="346" t="s">
        <v>116</v>
      </c>
      <c r="E971" s="346" t="s">
        <v>793</v>
      </c>
      <c r="F971" s="346" t="s">
        <v>194</v>
      </c>
      <c r="G971" s="300">
        <f>1204+86</f>
        <v>1290</v>
      </c>
      <c r="H971" s="532"/>
      <c r="I971" s="532"/>
      <c r="J971" s="302"/>
      <c r="K971" s="129"/>
    </row>
    <row r="972" spans="1:11" s="129" customFormat="1" ht="40.700000000000003" customHeight="1" x14ac:dyDescent="0.25">
      <c r="A972" s="298" t="s">
        <v>469</v>
      </c>
      <c r="B972" s="296">
        <v>907</v>
      </c>
      <c r="C972" s="299" t="s">
        <v>251</v>
      </c>
      <c r="D972" s="299" t="s">
        <v>116</v>
      </c>
      <c r="E972" s="299" t="s">
        <v>794</v>
      </c>
      <c r="F972" s="299"/>
      <c r="G972" s="297">
        <f t="shared" ref="G972:G974" si="71">G973</f>
        <v>883.9</v>
      </c>
      <c r="H972" s="532"/>
      <c r="I972" s="532"/>
      <c r="J972" s="302"/>
    </row>
    <row r="973" spans="1:11" s="129" customFormat="1" ht="78.75" x14ac:dyDescent="0.25">
      <c r="A973" s="22" t="s">
        <v>245</v>
      </c>
      <c r="B973" s="591">
        <v>907</v>
      </c>
      <c r="C973" s="346" t="s">
        <v>251</v>
      </c>
      <c r="D973" s="346" t="s">
        <v>116</v>
      </c>
      <c r="E973" s="346" t="s">
        <v>897</v>
      </c>
      <c r="F973" s="346"/>
      <c r="G973" s="300">
        <f t="shared" si="71"/>
        <v>883.9</v>
      </c>
      <c r="H973" s="532"/>
      <c r="I973" s="532"/>
      <c r="J973" s="302"/>
    </row>
    <row r="974" spans="1:11" s="129" customFormat="1" ht="31.5" x14ac:dyDescent="0.25">
      <c r="A974" s="345" t="s">
        <v>191</v>
      </c>
      <c r="B974" s="591">
        <v>907</v>
      </c>
      <c r="C974" s="346" t="s">
        <v>251</v>
      </c>
      <c r="D974" s="346" t="s">
        <v>116</v>
      </c>
      <c r="E974" s="346" t="s">
        <v>897</v>
      </c>
      <c r="F974" s="346" t="s">
        <v>192</v>
      </c>
      <c r="G974" s="300">
        <f t="shared" si="71"/>
        <v>883.9</v>
      </c>
      <c r="H974" s="532"/>
      <c r="I974" s="532"/>
      <c r="J974" s="302"/>
    </row>
    <row r="975" spans="1:11" s="129" customFormat="1" ht="15.75" x14ac:dyDescent="0.25">
      <c r="A975" s="345" t="s">
        <v>193</v>
      </c>
      <c r="B975" s="591">
        <v>907</v>
      </c>
      <c r="C975" s="346" t="s">
        <v>251</v>
      </c>
      <c r="D975" s="346" t="s">
        <v>116</v>
      </c>
      <c r="E975" s="346" t="s">
        <v>897</v>
      </c>
      <c r="F975" s="346" t="s">
        <v>194</v>
      </c>
      <c r="G975" s="300">
        <v>883.9</v>
      </c>
      <c r="H975" s="532"/>
      <c r="I975" s="532"/>
      <c r="J975" s="302"/>
    </row>
    <row r="976" spans="1:11" s="129" customFormat="1" ht="47.25" customHeight="1" x14ac:dyDescent="0.25">
      <c r="A976" s="298" t="s">
        <v>1070</v>
      </c>
      <c r="B976" s="296">
        <v>907</v>
      </c>
      <c r="C976" s="299" t="s">
        <v>251</v>
      </c>
      <c r="D976" s="299" t="s">
        <v>116</v>
      </c>
      <c r="E976" s="299" t="s">
        <v>1068</v>
      </c>
      <c r="F976" s="299"/>
      <c r="G976" s="297">
        <f t="shared" ref="G976:G977" si="72">G977</f>
        <v>5022.3</v>
      </c>
      <c r="H976" s="532"/>
      <c r="I976" s="532"/>
      <c r="J976" s="302"/>
    </row>
    <row r="977" spans="1:12" s="129" customFormat="1" ht="31.5" x14ac:dyDescent="0.25">
      <c r="A977" s="22" t="s">
        <v>1071</v>
      </c>
      <c r="B977" s="591">
        <v>907</v>
      </c>
      <c r="C977" s="346" t="s">
        <v>251</v>
      </c>
      <c r="D977" s="346" t="s">
        <v>116</v>
      </c>
      <c r="E977" s="346" t="s">
        <v>1069</v>
      </c>
      <c r="F977" s="346"/>
      <c r="G977" s="300">
        <f t="shared" si="72"/>
        <v>5022.3</v>
      </c>
      <c r="H977" s="532"/>
      <c r="I977" s="532"/>
      <c r="J977" s="302"/>
    </row>
    <row r="978" spans="1:12" s="129" customFormat="1" ht="31.5" x14ac:dyDescent="0.25">
      <c r="A978" s="345" t="s">
        <v>191</v>
      </c>
      <c r="B978" s="591">
        <v>907</v>
      </c>
      <c r="C978" s="346" t="s">
        <v>251</v>
      </c>
      <c r="D978" s="346" t="s">
        <v>116</v>
      </c>
      <c r="E978" s="346" t="s">
        <v>1069</v>
      </c>
      <c r="F978" s="346" t="s">
        <v>192</v>
      </c>
      <c r="G978" s="300">
        <f>G979</f>
        <v>5022.3</v>
      </c>
      <c r="H978" s="535"/>
      <c r="I978" s="535"/>
      <c r="J978" s="302"/>
    </row>
    <row r="979" spans="1:12" s="129" customFormat="1" ht="15.75" x14ac:dyDescent="0.25">
      <c r="A979" s="345" t="s">
        <v>193</v>
      </c>
      <c r="B979" s="591">
        <v>907</v>
      </c>
      <c r="C979" s="346" t="s">
        <v>251</v>
      </c>
      <c r="D979" s="346" t="s">
        <v>116</v>
      </c>
      <c r="E979" s="346" t="s">
        <v>1069</v>
      </c>
      <c r="F979" s="346" t="s">
        <v>194</v>
      </c>
      <c r="G979" s="300">
        <f>3515.6+1506.7</f>
        <v>5022.3</v>
      </c>
      <c r="H979" s="530"/>
      <c r="I979" s="530"/>
      <c r="J979" s="302"/>
    </row>
    <row r="980" spans="1:12" s="338" customFormat="1" ht="31.5" x14ac:dyDescent="0.25">
      <c r="A980" s="340" t="s">
        <v>1139</v>
      </c>
      <c r="B980" s="296">
        <v>907</v>
      </c>
      <c r="C980" s="299" t="s">
        <v>251</v>
      </c>
      <c r="D980" s="299" t="s">
        <v>116</v>
      </c>
      <c r="E980" s="299" t="s">
        <v>1140</v>
      </c>
      <c r="F980" s="299"/>
      <c r="G980" s="297">
        <f>G981</f>
        <v>430.1</v>
      </c>
      <c r="H980" s="537"/>
      <c r="I980" s="537"/>
      <c r="J980" s="302"/>
    </row>
    <row r="981" spans="1:12" s="338" customFormat="1" ht="31.5" x14ac:dyDescent="0.25">
      <c r="A981" s="20" t="s">
        <v>1142</v>
      </c>
      <c r="B981" s="591">
        <v>907</v>
      </c>
      <c r="C981" s="346" t="s">
        <v>251</v>
      </c>
      <c r="D981" s="346" t="s">
        <v>116</v>
      </c>
      <c r="E981" s="346" t="s">
        <v>1141</v>
      </c>
      <c r="F981" s="346"/>
      <c r="G981" s="300">
        <f>G982</f>
        <v>430.1</v>
      </c>
      <c r="H981" s="537"/>
      <c r="I981" s="537"/>
      <c r="J981" s="302"/>
    </row>
    <row r="982" spans="1:12" s="338" customFormat="1" ht="31.5" x14ac:dyDescent="0.25">
      <c r="A982" s="345" t="s">
        <v>191</v>
      </c>
      <c r="B982" s="591">
        <v>907</v>
      </c>
      <c r="C982" s="346" t="s">
        <v>251</v>
      </c>
      <c r="D982" s="346" t="s">
        <v>116</v>
      </c>
      <c r="E982" s="346" t="s">
        <v>1141</v>
      </c>
      <c r="F982" s="346" t="s">
        <v>192</v>
      </c>
      <c r="G982" s="300">
        <f>G983</f>
        <v>430.1</v>
      </c>
      <c r="H982" s="537"/>
      <c r="I982" s="537"/>
      <c r="J982" s="302"/>
    </row>
    <row r="983" spans="1:12" s="338" customFormat="1" ht="15.75" x14ac:dyDescent="0.25">
      <c r="A983" s="345" t="s">
        <v>193</v>
      </c>
      <c r="B983" s="591">
        <v>907</v>
      </c>
      <c r="C983" s="346" t="s">
        <v>251</v>
      </c>
      <c r="D983" s="346" t="s">
        <v>116</v>
      </c>
      <c r="E983" s="346" t="s">
        <v>1141</v>
      </c>
      <c r="F983" s="346" t="s">
        <v>194</v>
      </c>
      <c r="G983" s="300">
        <f>400+17.1+13</f>
        <v>430.1</v>
      </c>
      <c r="H983" s="537"/>
      <c r="I983" s="537"/>
      <c r="J983" s="302"/>
    </row>
    <row r="984" spans="1:12" s="344" customFormat="1" ht="32.450000000000003" customHeight="1" x14ac:dyDescent="0.25">
      <c r="A984" s="298" t="s">
        <v>1323</v>
      </c>
      <c r="B984" s="296">
        <v>907</v>
      </c>
      <c r="C984" s="299" t="s">
        <v>251</v>
      </c>
      <c r="D984" s="299" t="s">
        <v>116</v>
      </c>
      <c r="E984" s="299" t="s">
        <v>1324</v>
      </c>
      <c r="F984" s="299"/>
      <c r="G984" s="297">
        <f>G985</f>
        <v>298.39999999999998</v>
      </c>
      <c r="H984" s="537"/>
      <c r="I984" s="537"/>
      <c r="J984" s="302"/>
    </row>
    <row r="985" spans="1:12" s="344" customFormat="1" ht="31.5" x14ac:dyDescent="0.25">
      <c r="A985" s="345" t="s">
        <v>1322</v>
      </c>
      <c r="B985" s="591">
        <v>907</v>
      </c>
      <c r="C985" s="346" t="s">
        <v>251</v>
      </c>
      <c r="D985" s="346" t="s">
        <v>116</v>
      </c>
      <c r="E985" s="346" t="s">
        <v>1325</v>
      </c>
      <c r="F985" s="346"/>
      <c r="G985" s="300">
        <f>G986</f>
        <v>298.39999999999998</v>
      </c>
      <c r="H985" s="537"/>
      <c r="I985" s="537"/>
      <c r="J985" s="302"/>
    </row>
    <row r="986" spans="1:12" s="344" customFormat="1" ht="31.5" x14ac:dyDescent="0.25">
      <c r="A986" s="345" t="s">
        <v>191</v>
      </c>
      <c r="B986" s="591">
        <v>907</v>
      </c>
      <c r="C986" s="346" t="s">
        <v>251</v>
      </c>
      <c r="D986" s="346" t="s">
        <v>116</v>
      </c>
      <c r="E986" s="346" t="s">
        <v>1325</v>
      </c>
      <c r="F986" s="346" t="s">
        <v>192</v>
      </c>
      <c r="G986" s="300">
        <f>G987</f>
        <v>298.39999999999998</v>
      </c>
      <c r="H986" s="537"/>
      <c r="I986" s="537"/>
      <c r="J986" s="302"/>
    </row>
    <row r="987" spans="1:12" s="344" customFormat="1" ht="15.75" x14ac:dyDescent="0.25">
      <c r="A987" s="345" t="s">
        <v>193</v>
      </c>
      <c r="B987" s="591">
        <v>907</v>
      </c>
      <c r="C987" s="346" t="s">
        <v>251</v>
      </c>
      <c r="D987" s="346" t="s">
        <v>116</v>
      </c>
      <c r="E987" s="346" t="s">
        <v>1325</v>
      </c>
      <c r="F987" s="346" t="s">
        <v>194</v>
      </c>
      <c r="G987" s="300">
        <v>298.39999999999998</v>
      </c>
      <c r="H987" s="537"/>
      <c r="I987" s="537"/>
      <c r="J987" s="302"/>
    </row>
    <row r="988" spans="1:12" s="129" customFormat="1" ht="47.25" hidden="1" x14ac:dyDescent="0.25">
      <c r="A988" s="298" t="s">
        <v>838</v>
      </c>
      <c r="B988" s="296">
        <v>907</v>
      </c>
      <c r="C988" s="299" t="s">
        <v>251</v>
      </c>
      <c r="D988" s="299" t="s">
        <v>116</v>
      </c>
      <c r="E988" s="299" t="s">
        <v>795</v>
      </c>
      <c r="F988" s="299"/>
      <c r="G988" s="297">
        <f t="shared" ref="G988:G990" si="73">G989</f>
        <v>0</v>
      </c>
      <c r="H988" s="532"/>
      <c r="I988" s="532"/>
      <c r="J988" s="302"/>
    </row>
    <row r="989" spans="1:12" s="131" customFormat="1" ht="47.25" hidden="1" x14ac:dyDescent="0.25">
      <c r="A989" s="345" t="s">
        <v>731</v>
      </c>
      <c r="B989" s="591">
        <v>907</v>
      </c>
      <c r="C989" s="346" t="s">
        <v>251</v>
      </c>
      <c r="D989" s="346" t="s">
        <v>116</v>
      </c>
      <c r="E989" s="346" t="s">
        <v>834</v>
      </c>
      <c r="F989" s="346"/>
      <c r="G989" s="300">
        <f t="shared" si="73"/>
        <v>0</v>
      </c>
      <c r="H989" s="532"/>
      <c r="I989" s="532"/>
      <c r="J989" s="75"/>
    </row>
    <row r="990" spans="1:12" s="131" customFormat="1" ht="31.5" hidden="1" x14ac:dyDescent="0.25">
      <c r="A990" s="345" t="s">
        <v>191</v>
      </c>
      <c r="B990" s="591">
        <v>907</v>
      </c>
      <c r="C990" s="346" t="s">
        <v>251</v>
      </c>
      <c r="D990" s="346" t="s">
        <v>116</v>
      </c>
      <c r="E990" s="346" t="s">
        <v>834</v>
      </c>
      <c r="F990" s="346" t="s">
        <v>192</v>
      </c>
      <c r="G990" s="300">
        <f t="shared" si="73"/>
        <v>0</v>
      </c>
      <c r="H990" s="532"/>
      <c r="I990" s="532"/>
      <c r="J990" s="75"/>
    </row>
    <row r="991" spans="1:12" s="131" customFormat="1" ht="15.75" hidden="1" x14ac:dyDescent="0.25">
      <c r="A991" s="345" t="s">
        <v>193</v>
      </c>
      <c r="B991" s="591">
        <v>907</v>
      </c>
      <c r="C991" s="346" t="s">
        <v>251</v>
      </c>
      <c r="D991" s="346" t="s">
        <v>116</v>
      </c>
      <c r="E991" s="346" t="s">
        <v>834</v>
      </c>
      <c r="F991" s="346" t="s">
        <v>194</v>
      </c>
      <c r="G991" s="300"/>
      <c r="H991" s="532"/>
      <c r="I991" s="532"/>
      <c r="J991" s="75"/>
      <c r="L991" s="75"/>
    </row>
    <row r="992" spans="1:12" ht="47.25" x14ac:dyDescent="0.25">
      <c r="A992" s="340" t="s">
        <v>845</v>
      </c>
      <c r="B992" s="296">
        <v>907</v>
      </c>
      <c r="C992" s="299" t="s">
        <v>251</v>
      </c>
      <c r="D992" s="299" t="s">
        <v>116</v>
      </c>
      <c r="E992" s="299" t="s">
        <v>339</v>
      </c>
      <c r="F992" s="304"/>
      <c r="G992" s="297">
        <f t="shared" ref="G992:G995" si="74">G993</f>
        <v>579.1</v>
      </c>
      <c r="H992" s="532"/>
      <c r="I992" s="532"/>
      <c r="J992" s="302"/>
      <c r="K992" s="129"/>
    </row>
    <row r="993" spans="1:11" s="129" customFormat="1" ht="47.25" x14ac:dyDescent="0.25">
      <c r="A993" s="340" t="s">
        <v>461</v>
      </c>
      <c r="B993" s="296">
        <v>907</v>
      </c>
      <c r="C993" s="299" t="s">
        <v>251</v>
      </c>
      <c r="D993" s="299" t="s">
        <v>116</v>
      </c>
      <c r="E993" s="299" t="s">
        <v>459</v>
      </c>
      <c r="F993" s="304"/>
      <c r="G993" s="297">
        <f t="shared" si="74"/>
        <v>579.1</v>
      </c>
      <c r="H993" s="532"/>
      <c r="I993" s="532"/>
      <c r="J993" s="302"/>
    </row>
    <row r="994" spans="1:11" ht="39.200000000000003" customHeight="1" x14ac:dyDescent="0.25">
      <c r="A994" s="67" t="s">
        <v>357</v>
      </c>
      <c r="B994" s="591">
        <v>907</v>
      </c>
      <c r="C994" s="346" t="s">
        <v>251</v>
      </c>
      <c r="D994" s="346" t="s">
        <v>116</v>
      </c>
      <c r="E994" s="346" t="s">
        <v>504</v>
      </c>
      <c r="F994" s="301"/>
      <c r="G994" s="300">
        <f t="shared" si="74"/>
        <v>579.1</v>
      </c>
      <c r="H994" s="532"/>
      <c r="I994" s="532"/>
      <c r="J994" s="302"/>
      <c r="K994" s="129"/>
    </row>
    <row r="995" spans="1:11" ht="31.5" x14ac:dyDescent="0.25">
      <c r="A995" s="20" t="s">
        <v>191</v>
      </c>
      <c r="B995" s="591">
        <v>907</v>
      </c>
      <c r="C995" s="346" t="s">
        <v>251</v>
      </c>
      <c r="D995" s="346" t="s">
        <v>116</v>
      </c>
      <c r="E995" s="346" t="s">
        <v>504</v>
      </c>
      <c r="F995" s="301" t="s">
        <v>192</v>
      </c>
      <c r="G995" s="300">
        <f t="shared" si="74"/>
        <v>579.1</v>
      </c>
      <c r="H995" s="532"/>
      <c r="I995" s="532"/>
      <c r="J995" s="302"/>
      <c r="K995" s="129"/>
    </row>
    <row r="996" spans="1:11" ht="15.75" x14ac:dyDescent="0.25">
      <c r="A996" s="108" t="s">
        <v>193</v>
      </c>
      <c r="B996" s="591">
        <v>907</v>
      </c>
      <c r="C996" s="346" t="s">
        <v>251</v>
      </c>
      <c r="D996" s="346" t="s">
        <v>116</v>
      </c>
      <c r="E996" s="346" t="s">
        <v>504</v>
      </c>
      <c r="F996" s="301" t="s">
        <v>194</v>
      </c>
      <c r="G996" s="300">
        <v>579.1</v>
      </c>
      <c r="H996" s="532"/>
      <c r="I996" s="532"/>
      <c r="J996" s="302"/>
      <c r="K996" s="129"/>
    </row>
    <row r="997" spans="1:11" ht="19.5" customHeight="1" x14ac:dyDescent="0.25">
      <c r="A997" s="298" t="s">
        <v>254</v>
      </c>
      <c r="B997" s="296">
        <v>907</v>
      </c>
      <c r="C997" s="299" t="s">
        <v>251</v>
      </c>
      <c r="D997" s="299" t="s">
        <v>168</v>
      </c>
      <c r="E997" s="299"/>
      <c r="F997" s="299"/>
      <c r="G997" s="297">
        <f>G998+G1019+G1042</f>
        <v>18452.163639999999</v>
      </c>
      <c r="H997" s="532"/>
      <c r="I997" s="532"/>
      <c r="J997" s="302"/>
      <c r="K997" s="129"/>
    </row>
    <row r="998" spans="1:11" ht="31.5" x14ac:dyDescent="0.25">
      <c r="A998" s="298" t="s">
        <v>486</v>
      </c>
      <c r="B998" s="296">
        <v>907</v>
      </c>
      <c r="C998" s="299" t="s">
        <v>251</v>
      </c>
      <c r="D998" s="299" t="s">
        <v>168</v>
      </c>
      <c r="E998" s="299" t="s">
        <v>432</v>
      </c>
      <c r="F998" s="299"/>
      <c r="G998" s="297">
        <f>G999</f>
        <v>9836.364669999999</v>
      </c>
      <c r="H998" s="532"/>
      <c r="I998" s="532"/>
      <c r="J998" s="302"/>
      <c r="K998" s="129"/>
    </row>
    <row r="999" spans="1:11" ht="15.75" x14ac:dyDescent="0.25">
      <c r="A999" s="298" t="s">
        <v>487</v>
      </c>
      <c r="B999" s="296">
        <v>907</v>
      </c>
      <c r="C999" s="299" t="s">
        <v>251</v>
      </c>
      <c r="D999" s="299" t="s">
        <v>168</v>
      </c>
      <c r="E999" s="299" t="s">
        <v>433</v>
      </c>
      <c r="F999" s="299"/>
      <c r="G999" s="297">
        <f>G1000+G1016+G1007</f>
        <v>9836.364669999999</v>
      </c>
      <c r="H999" s="532"/>
      <c r="I999" s="532"/>
      <c r="J999" s="302"/>
      <c r="K999" s="129"/>
    </row>
    <row r="1000" spans="1:11" ht="28.15" customHeight="1" x14ac:dyDescent="0.25">
      <c r="A1000" s="345" t="s">
        <v>466</v>
      </c>
      <c r="B1000" s="591">
        <v>907</v>
      </c>
      <c r="C1000" s="346" t="s">
        <v>251</v>
      </c>
      <c r="D1000" s="346" t="s">
        <v>168</v>
      </c>
      <c r="E1000" s="346" t="s">
        <v>434</v>
      </c>
      <c r="F1000" s="346"/>
      <c r="G1000" s="300">
        <f>G1001+G1003+G1005</f>
        <v>6765.0077499999998</v>
      </c>
      <c r="H1000" s="532"/>
      <c r="I1000" s="532"/>
      <c r="J1000" s="302"/>
      <c r="K1000" s="129"/>
    </row>
    <row r="1001" spans="1:11" ht="64.5" customHeight="1" x14ac:dyDescent="0.25">
      <c r="A1001" s="345" t="s">
        <v>119</v>
      </c>
      <c r="B1001" s="591">
        <v>907</v>
      </c>
      <c r="C1001" s="346" t="s">
        <v>251</v>
      </c>
      <c r="D1001" s="346" t="s">
        <v>168</v>
      </c>
      <c r="E1001" s="346" t="s">
        <v>434</v>
      </c>
      <c r="F1001" s="346" t="s">
        <v>120</v>
      </c>
      <c r="G1001" s="300">
        <f>G1002</f>
        <v>6631.66</v>
      </c>
      <c r="H1001" s="532"/>
      <c r="I1001" s="532"/>
      <c r="J1001" s="302"/>
      <c r="K1001" s="129"/>
    </row>
    <row r="1002" spans="1:11" ht="31.5" x14ac:dyDescent="0.25">
      <c r="A1002" s="345" t="s">
        <v>121</v>
      </c>
      <c r="B1002" s="591">
        <v>907</v>
      </c>
      <c r="C1002" s="346" t="s">
        <v>251</v>
      </c>
      <c r="D1002" s="346" t="s">
        <v>168</v>
      </c>
      <c r="E1002" s="346" t="s">
        <v>434</v>
      </c>
      <c r="F1002" s="346" t="s">
        <v>122</v>
      </c>
      <c r="G1002" s="18">
        <f>4917.99+60+60+1414.9+29+116.1+33.67</f>
        <v>6631.66</v>
      </c>
      <c r="H1002" s="532"/>
      <c r="I1002" s="532"/>
      <c r="J1002" s="302"/>
      <c r="K1002" s="129"/>
    </row>
    <row r="1003" spans="1:11" s="344" customFormat="1" ht="31.5" x14ac:dyDescent="0.25">
      <c r="A1003" s="345" t="s">
        <v>123</v>
      </c>
      <c r="B1003" s="591">
        <v>907</v>
      </c>
      <c r="C1003" s="346" t="s">
        <v>251</v>
      </c>
      <c r="D1003" s="346" t="s">
        <v>168</v>
      </c>
      <c r="E1003" s="346" t="s">
        <v>434</v>
      </c>
      <c r="F1003" s="346" t="s">
        <v>124</v>
      </c>
      <c r="G1003" s="18">
        <f>G1004</f>
        <v>133.34275</v>
      </c>
      <c r="H1003" s="532"/>
      <c r="I1003" s="532"/>
      <c r="J1003" s="302"/>
    </row>
    <row r="1004" spans="1:11" s="344" customFormat="1" ht="31.5" x14ac:dyDescent="0.25">
      <c r="A1004" s="345" t="s">
        <v>125</v>
      </c>
      <c r="B1004" s="591">
        <v>907</v>
      </c>
      <c r="C1004" s="346" t="s">
        <v>251</v>
      </c>
      <c r="D1004" s="346" t="s">
        <v>168</v>
      </c>
      <c r="E1004" s="346" t="s">
        <v>434</v>
      </c>
      <c r="F1004" s="346" t="s">
        <v>126</v>
      </c>
      <c r="G1004" s="18">
        <f>54.80475+59.95+43.188-60+28+5+2.4</f>
        <v>133.34275</v>
      </c>
      <c r="H1004" s="532"/>
      <c r="I1004" s="532"/>
      <c r="J1004" s="302"/>
    </row>
    <row r="1005" spans="1:11" s="344" customFormat="1" ht="15.75" x14ac:dyDescent="0.25">
      <c r="A1005" s="345" t="s">
        <v>127</v>
      </c>
      <c r="B1005" s="591">
        <v>907</v>
      </c>
      <c r="C1005" s="346" t="s">
        <v>251</v>
      </c>
      <c r="D1005" s="346" t="s">
        <v>168</v>
      </c>
      <c r="E1005" s="346" t="s">
        <v>434</v>
      </c>
      <c r="F1005" s="346" t="s">
        <v>134</v>
      </c>
      <c r="G1005" s="18">
        <f>G1006</f>
        <v>5.0000000000000001E-3</v>
      </c>
      <c r="H1005" s="532"/>
      <c r="I1005" s="532"/>
      <c r="J1005" s="302"/>
    </row>
    <row r="1006" spans="1:11" s="344" customFormat="1" ht="15.75" x14ac:dyDescent="0.25">
      <c r="A1006" s="345" t="s">
        <v>280</v>
      </c>
      <c r="B1006" s="591">
        <v>907</v>
      </c>
      <c r="C1006" s="346" t="s">
        <v>251</v>
      </c>
      <c r="D1006" s="346" t="s">
        <v>168</v>
      </c>
      <c r="E1006" s="346" t="s">
        <v>434</v>
      </c>
      <c r="F1006" s="346" t="s">
        <v>130</v>
      </c>
      <c r="G1006" s="18">
        <f>0.005</f>
        <v>5.0000000000000001E-3</v>
      </c>
      <c r="H1006" s="640"/>
      <c r="I1006" s="640"/>
      <c r="J1006" s="641"/>
    </row>
    <row r="1007" spans="1:11" s="344" customFormat="1" ht="31.5" x14ac:dyDescent="0.25">
      <c r="A1007" s="345" t="s">
        <v>415</v>
      </c>
      <c r="B1007" s="591">
        <v>907</v>
      </c>
      <c r="C1007" s="346" t="s">
        <v>251</v>
      </c>
      <c r="D1007" s="346" t="s">
        <v>168</v>
      </c>
      <c r="E1007" s="346" t="s">
        <v>435</v>
      </c>
      <c r="F1007" s="346"/>
      <c r="G1007" s="18">
        <f>G1008+G1010+G1014+G1012</f>
        <v>2750.72192</v>
      </c>
      <c r="H1007" s="532"/>
      <c r="I1007" s="532"/>
      <c r="J1007" s="302"/>
    </row>
    <row r="1008" spans="1:11" s="344" customFormat="1" ht="63" x14ac:dyDescent="0.25">
      <c r="A1008" s="345" t="s">
        <v>119</v>
      </c>
      <c r="B1008" s="591">
        <v>907</v>
      </c>
      <c r="C1008" s="346" t="s">
        <v>251</v>
      </c>
      <c r="D1008" s="346" t="s">
        <v>168</v>
      </c>
      <c r="E1008" s="346" t="s">
        <v>435</v>
      </c>
      <c r="F1008" s="346" t="s">
        <v>120</v>
      </c>
      <c r="G1008" s="18">
        <f>G1009</f>
        <v>2059.3226300000001</v>
      </c>
      <c r="H1008" s="532"/>
      <c r="I1008" s="532"/>
      <c r="J1008" s="302"/>
    </row>
    <row r="1009" spans="1:11" s="344" customFormat="1" ht="31.5" x14ac:dyDescent="0.25">
      <c r="A1009" s="345" t="s">
        <v>121</v>
      </c>
      <c r="B1009" s="591">
        <v>907</v>
      </c>
      <c r="C1009" s="346" t="s">
        <v>251</v>
      </c>
      <c r="D1009" s="346" t="s">
        <v>168</v>
      </c>
      <c r="E1009" s="346" t="s">
        <v>435</v>
      </c>
      <c r="F1009" s="346" t="s">
        <v>122</v>
      </c>
      <c r="G1009" s="18">
        <f>4700.5+46-2687.17737</f>
        <v>2059.3226300000001</v>
      </c>
      <c r="H1009" s="532"/>
      <c r="I1009" s="532"/>
      <c r="J1009" s="302"/>
    </row>
    <row r="1010" spans="1:11" s="344" customFormat="1" ht="31.5" x14ac:dyDescent="0.25">
      <c r="A1010" s="345" t="s">
        <v>123</v>
      </c>
      <c r="B1010" s="591">
        <v>907</v>
      </c>
      <c r="C1010" s="346" t="s">
        <v>251</v>
      </c>
      <c r="D1010" s="346" t="s">
        <v>168</v>
      </c>
      <c r="E1010" s="346" t="s">
        <v>435</v>
      </c>
      <c r="F1010" s="346" t="s">
        <v>124</v>
      </c>
      <c r="G1010" s="18">
        <f>G1011</f>
        <v>86.407249999999976</v>
      </c>
      <c r="H1010" s="532"/>
      <c r="I1010" s="532"/>
      <c r="J1010" s="302"/>
    </row>
    <row r="1011" spans="1:11" s="344" customFormat="1" ht="31.5" x14ac:dyDescent="0.25">
      <c r="A1011" s="345" t="s">
        <v>125</v>
      </c>
      <c r="B1011" s="591">
        <v>907</v>
      </c>
      <c r="C1011" s="346" t="s">
        <v>251</v>
      </c>
      <c r="D1011" s="346" t="s">
        <v>168</v>
      </c>
      <c r="E1011" s="346" t="s">
        <v>435</v>
      </c>
      <c r="F1011" s="346" t="s">
        <v>126</v>
      </c>
      <c r="G1011" s="18">
        <f>275.3+69.6-258.49275</f>
        <v>86.407249999999976</v>
      </c>
      <c r="H1011" s="532"/>
      <c r="I1011" s="532"/>
      <c r="J1011" s="302"/>
    </row>
    <row r="1012" spans="1:11" s="344" customFormat="1" ht="15.75" x14ac:dyDescent="0.25">
      <c r="A1012" s="345" t="s">
        <v>177</v>
      </c>
      <c r="B1012" s="591">
        <v>907</v>
      </c>
      <c r="C1012" s="346" t="s">
        <v>251</v>
      </c>
      <c r="D1012" s="346" t="s">
        <v>168</v>
      </c>
      <c r="E1012" s="346" t="s">
        <v>435</v>
      </c>
      <c r="F1012" s="346" t="s">
        <v>178</v>
      </c>
      <c r="G1012" s="18">
        <f>G1013</f>
        <v>604.87764000000004</v>
      </c>
      <c r="H1012" s="532"/>
      <c r="I1012" s="532"/>
      <c r="J1012" s="302"/>
    </row>
    <row r="1013" spans="1:11" s="344" customFormat="1" ht="31.5" x14ac:dyDescent="0.25">
      <c r="A1013" s="345" t="s">
        <v>179</v>
      </c>
      <c r="B1013" s="591">
        <v>907</v>
      </c>
      <c r="C1013" s="346" t="s">
        <v>251</v>
      </c>
      <c r="D1013" s="346" t="s">
        <v>168</v>
      </c>
      <c r="E1013" s="346" t="s">
        <v>435</v>
      </c>
      <c r="F1013" s="346" t="s">
        <v>180</v>
      </c>
      <c r="G1013" s="18">
        <f>242+360+2.87764</f>
        <v>604.87764000000004</v>
      </c>
      <c r="H1013" s="532"/>
      <c r="I1013" s="532"/>
      <c r="J1013" s="302"/>
    </row>
    <row r="1014" spans="1:11" s="344" customFormat="1" ht="15.75" x14ac:dyDescent="0.25">
      <c r="A1014" s="345" t="s">
        <v>127</v>
      </c>
      <c r="B1014" s="591">
        <v>907</v>
      </c>
      <c r="C1014" s="346" t="s">
        <v>251</v>
      </c>
      <c r="D1014" s="346" t="s">
        <v>168</v>
      </c>
      <c r="E1014" s="346" t="s">
        <v>435</v>
      </c>
      <c r="F1014" s="346" t="s">
        <v>134</v>
      </c>
      <c r="G1014" s="18">
        <f>G1015</f>
        <v>0.11440000000000339</v>
      </c>
      <c r="H1014" s="532"/>
      <c r="I1014" s="532"/>
      <c r="J1014" s="302"/>
    </row>
    <row r="1015" spans="1:11" s="344" customFormat="1" ht="15.75" x14ac:dyDescent="0.25">
      <c r="A1015" s="345" t="s">
        <v>280</v>
      </c>
      <c r="B1015" s="591">
        <v>907</v>
      </c>
      <c r="C1015" s="346" t="s">
        <v>251</v>
      </c>
      <c r="D1015" s="346" t="s">
        <v>168</v>
      </c>
      <c r="E1015" s="346" t="s">
        <v>435</v>
      </c>
      <c r="F1015" s="346" t="s">
        <v>130</v>
      </c>
      <c r="G1015" s="18">
        <f>51-50.8856</f>
        <v>0.11440000000000339</v>
      </c>
      <c r="H1015" s="532"/>
      <c r="I1015" s="532"/>
      <c r="J1015" s="302"/>
    </row>
    <row r="1016" spans="1:11" s="129" customFormat="1" ht="36.75" customHeight="1" x14ac:dyDescent="0.25">
      <c r="A1016" s="345" t="s">
        <v>414</v>
      </c>
      <c r="B1016" s="591">
        <v>907</v>
      </c>
      <c r="C1016" s="346" t="s">
        <v>251</v>
      </c>
      <c r="D1016" s="346" t="s">
        <v>168</v>
      </c>
      <c r="E1016" s="346" t="s">
        <v>436</v>
      </c>
      <c r="F1016" s="346"/>
      <c r="G1016" s="300">
        <f>G1017</f>
        <v>320.63499999999999</v>
      </c>
      <c r="H1016" s="532"/>
      <c r="I1016" s="532"/>
      <c r="J1016" s="302"/>
    </row>
    <row r="1017" spans="1:11" s="129" customFormat="1" ht="47.25" customHeight="1" x14ac:dyDescent="0.25">
      <c r="A1017" s="345" t="s">
        <v>119</v>
      </c>
      <c r="B1017" s="591">
        <v>907</v>
      </c>
      <c r="C1017" s="346" t="s">
        <v>251</v>
      </c>
      <c r="D1017" s="346" t="s">
        <v>168</v>
      </c>
      <c r="E1017" s="346" t="s">
        <v>436</v>
      </c>
      <c r="F1017" s="346" t="s">
        <v>120</v>
      </c>
      <c r="G1017" s="300">
        <f>G1018</f>
        <v>320.63499999999999</v>
      </c>
      <c r="H1017" s="532"/>
      <c r="I1017" s="532"/>
      <c r="J1017" s="302"/>
    </row>
    <row r="1018" spans="1:11" s="129" customFormat="1" ht="34.5" customHeight="1" x14ac:dyDescent="0.25">
      <c r="A1018" s="345" t="s">
        <v>121</v>
      </c>
      <c r="B1018" s="591">
        <v>907</v>
      </c>
      <c r="C1018" s="346" t="s">
        <v>251</v>
      </c>
      <c r="D1018" s="346" t="s">
        <v>168</v>
      </c>
      <c r="E1018" s="346" t="s">
        <v>436</v>
      </c>
      <c r="F1018" s="346" t="s">
        <v>122</v>
      </c>
      <c r="G1018" s="300">
        <f>258+387+51.55-143.46364-232.45136</f>
        <v>320.63499999999999</v>
      </c>
      <c r="H1018" s="532"/>
      <c r="I1018" s="532"/>
      <c r="J1018" s="302"/>
    </row>
    <row r="1019" spans="1:11" ht="15.75" x14ac:dyDescent="0.25">
      <c r="A1019" s="298" t="s">
        <v>133</v>
      </c>
      <c r="B1019" s="296">
        <v>907</v>
      </c>
      <c r="C1019" s="299" t="s">
        <v>251</v>
      </c>
      <c r="D1019" s="299" t="s">
        <v>168</v>
      </c>
      <c r="E1019" s="299" t="s">
        <v>440</v>
      </c>
      <c r="F1019" s="299"/>
      <c r="G1019" s="297">
        <f>G1031+G1020</f>
        <v>5915.7989699999998</v>
      </c>
      <c r="H1019" s="532"/>
      <c r="I1019" s="532"/>
      <c r="J1019" s="302"/>
      <c r="K1019" s="129"/>
    </row>
    <row r="1020" spans="1:11" s="344" customFormat="1" ht="15.75" x14ac:dyDescent="0.25">
      <c r="A1020" s="298" t="s">
        <v>1115</v>
      </c>
      <c r="B1020" s="296">
        <v>907</v>
      </c>
      <c r="C1020" s="299" t="s">
        <v>251</v>
      </c>
      <c r="D1020" s="299" t="s">
        <v>168</v>
      </c>
      <c r="E1020" s="299" t="s">
        <v>516</v>
      </c>
      <c r="F1020" s="299"/>
      <c r="G1020" s="297">
        <f>G1021+G1024</f>
        <v>5832.2129699999996</v>
      </c>
      <c r="H1020" s="532"/>
      <c r="I1020" s="532"/>
      <c r="J1020" s="302"/>
    </row>
    <row r="1021" spans="1:11" s="344" customFormat="1" ht="31.5" hidden="1" x14ac:dyDescent="0.25">
      <c r="A1021" s="345" t="s">
        <v>414</v>
      </c>
      <c r="B1021" s="591">
        <v>907</v>
      </c>
      <c r="C1021" s="346" t="s">
        <v>251</v>
      </c>
      <c r="D1021" s="346" t="s">
        <v>168</v>
      </c>
      <c r="E1021" s="346" t="s">
        <v>519</v>
      </c>
      <c r="F1021" s="346"/>
      <c r="G1021" s="300">
        <f>G1022</f>
        <v>0</v>
      </c>
      <c r="H1021" s="532"/>
      <c r="I1021" s="532"/>
      <c r="J1021" s="302"/>
    </row>
    <row r="1022" spans="1:11" s="344" customFormat="1" ht="63" hidden="1" x14ac:dyDescent="0.25">
      <c r="A1022" s="345" t="s">
        <v>119</v>
      </c>
      <c r="B1022" s="591">
        <v>907</v>
      </c>
      <c r="C1022" s="346" t="s">
        <v>251</v>
      </c>
      <c r="D1022" s="346" t="s">
        <v>168</v>
      </c>
      <c r="E1022" s="346" t="s">
        <v>519</v>
      </c>
      <c r="F1022" s="346" t="s">
        <v>120</v>
      </c>
      <c r="G1022" s="300">
        <f>G1023</f>
        <v>0</v>
      </c>
      <c r="H1022" s="532"/>
      <c r="I1022" s="532"/>
      <c r="J1022" s="302"/>
    </row>
    <row r="1023" spans="1:11" s="344" customFormat="1" ht="15.75" hidden="1" x14ac:dyDescent="0.25">
      <c r="A1023" s="345" t="s">
        <v>212</v>
      </c>
      <c r="B1023" s="591">
        <v>907</v>
      </c>
      <c r="C1023" s="346" t="s">
        <v>251</v>
      </c>
      <c r="D1023" s="346" t="s">
        <v>168</v>
      </c>
      <c r="E1023" s="346" t="s">
        <v>519</v>
      </c>
      <c r="F1023" s="346" t="s">
        <v>156</v>
      </c>
      <c r="G1023" s="300">
        <f>51.55-51.55</f>
        <v>0</v>
      </c>
      <c r="H1023" s="532"/>
      <c r="I1023" s="532"/>
      <c r="J1023" s="302"/>
    </row>
    <row r="1024" spans="1:11" s="344" customFormat="1" ht="15.75" x14ac:dyDescent="0.25">
      <c r="A1024" s="345" t="s">
        <v>377</v>
      </c>
      <c r="B1024" s="591">
        <v>907</v>
      </c>
      <c r="C1024" s="346" t="s">
        <v>251</v>
      </c>
      <c r="D1024" s="346" t="s">
        <v>168</v>
      </c>
      <c r="E1024" s="346" t="s">
        <v>518</v>
      </c>
      <c r="F1024" s="346"/>
      <c r="G1024" s="300">
        <f>G1025+G1027+G1029</f>
        <v>5832.2129699999996</v>
      </c>
      <c r="H1024" s="532"/>
      <c r="I1024" s="532"/>
      <c r="J1024" s="302"/>
    </row>
    <row r="1025" spans="1:36" s="344" customFormat="1" ht="63" x14ac:dyDescent="0.25">
      <c r="A1025" s="345" t="s">
        <v>119</v>
      </c>
      <c r="B1025" s="591">
        <v>907</v>
      </c>
      <c r="C1025" s="346" t="s">
        <v>251</v>
      </c>
      <c r="D1025" s="346" t="s">
        <v>168</v>
      </c>
      <c r="E1025" s="346" t="s">
        <v>518</v>
      </c>
      <c r="F1025" s="346" t="s">
        <v>120</v>
      </c>
      <c r="G1025" s="300">
        <f>G1026</f>
        <v>5634.7773699999998</v>
      </c>
      <c r="H1025" s="532"/>
      <c r="I1025" s="532"/>
      <c r="J1025" s="302"/>
    </row>
    <row r="1026" spans="1:36" s="344" customFormat="1" ht="15.75" x14ac:dyDescent="0.25">
      <c r="A1026" s="345" t="s">
        <v>212</v>
      </c>
      <c r="B1026" s="591">
        <v>907</v>
      </c>
      <c r="C1026" s="346" t="s">
        <v>251</v>
      </c>
      <c r="D1026" s="346" t="s">
        <v>168</v>
      </c>
      <c r="E1026" s="346" t="s">
        <v>518</v>
      </c>
      <c r="F1026" s="346" t="s">
        <v>156</v>
      </c>
      <c r="G1026" s="300">
        <f>2687.17737-46+2902.6+91</f>
        <v>5634.7773699999998</v>
      </c>
      <c r="H1026" s="532"/>
      <c r="I1026" s="532"/>
      <c r="J1026" s="302"/>
    </row>
    <row r="1027" spans="1:36" s="344" customFormat="1" ht="31.5" x14ac:dyDescent="0.25">
      <c r="A1027" s="345" t="s">
        <v>123</v>
      </c>
      <c r="B1027" s="591">
        <v>907</v>
      </c>
      <c r="C1027" s="346" t="s">
        <v>251</v>
      </c>
      <c r="D1027" s="346" t="s">
        <v>168</v>
      </c>
      <c r="E1027" s="346" t="s">
        <v>518</v>
      </c>
      <c r="F1027" s="346" t="s">
        <v>124</v>
      </c>
      <c r="G1027" s="300">
        <f>G1028</f>
        <v>192.55</v>
      </c>
      <c r="H1027" s="532"/>
      <c r="I1027" s="532"/>
      <c r="J1027" s="302"/>
    </row>
    <row r="1028" spans="1:36" s="344" customFormat="1" ht="31.5" x14ac:dyDescent="0.25">
      <c r="A1028" s="345" t="s">
        <v>125</v>
      </c>
      <c r="B1028" s="591">
        <v>907</v>
      </c>
      <c r="C1028" s="346" t="s">
        <v>251</v>
      </c>
      <c r="D1028" s="346" t="s">
        <v>168</v>
      </c>
      <c r="E1028" s="346" t="s">
        <v>518</v>
      </c>
      <c r="F1028" s="346" t="s">
        <v>126</v>
      </c>
      <c r="G1028" s="300">
        <f>258.49275-54.80475-59.95+48.812</f>
        <v>192.55</v>
      </c>
      <c r="H1028" s="532"/>
      <c r="I1028" s="532"/>
      <c r="J1028" s="302"/>
    </row>
    <row r="1029" spans="1:36" s="344" customFormat="1" ht="15.75" x14ac:dyDescent="0.25">
      <c r="A1029" s="345" t="s">
        <v>127</v>
      </c>
      <c r="B1029" s="591">
        <v>907</v>
      </c>
      <c r="C1029" s="346" t="s">
        <v>251</v>
      </c>
      <c r="D1029" s="346" t="s">
        <v>168</v>
      </c>
      <c r="E1029" s="346" t="s">
        <v>518</v>
      </c>
      <c r="F1029" s="346" t="s">
        <v>134</v>
      </c>
      <c r="G1029" s="300">
        <f>G1030</f>
        <v>4.8855999999999966</v>
      </c>
      <c r="H1029" s="532"/>
      <c r="I1029" s="532"/>
      <c r="J1029" s="302"/>
    </row>
    <row r="1030" spans="1:36" s="344" customFormat="1" ht="15.75" x14ac:dyDescent="0.25">
      <c r="A1030" s="345" t="s">
        <v>280</v>
      </c>
      <c r="B1030" s="591">
        <v>907</v>
      </c>
      <c r="C1030" s="346" t="s">
        <v>251</v>
      </c>
      <c r="D1030" s="346" t="s">
        <v>168</v>
      </c>
      <c r="E1030" s="346" t="s">
        <v>518</v>
      </c>
      <c r="F1030" s="346" t="s">
        <v>130</v>
      </c>
      <c r="G1030" s="300">
        <f>50.8856-46</f>
        <v>4.8855999999999966</v>
      </c>
      <c r="H1030" s="532"/>
      <c r="I1030" s="532"/>
      <c r="J1030" s="302"/>
    </row>
    <row r="1031" spans="1:36" s="129" customFormat="1" ht="31.5" hidden="1" x14ac:dyDescent="0.25">
      <c r="A1031" s="298" t="s">
        <v>498</v>
      </c>
      <c r="B1031" s="296">
        <v>907</v>
      </c>
      <c r="C1031" s="299" t="s">
        <v>251</v>
      </c>
      <c r="D1031" s="299" t="s">
        <v>168</v>
      </c>
      <c r="E1031" s="299" t="s">
        <v>483</v>
      </c>
      <c r="F1031" s="299"/>
      <c r="G1031" s="297">
        <f>G1032+G1039</f>
        <v>83.585999999999999</v>
      </c>
      <c r="H1031" s="532"/>
      <c r="I1031" s="532"/>
      <c r="J1031" s="302"/>
    </row>
    <row r="1032" spans="1:36" ht="31.5" hidden="1" x14ac:dyDescent="0.25">
      <c r="A1032" s="345" t="s">
        <v>472</v>
      </c>
      <c r="B1032" s="591">
        <v>907</v>
      </c>
      <c r="C1032" s="346" t="s">
        <v>251</v>
      </c>
      <c r="D1032" s="346" t="s">
        <v>168</v>
      </c>
      <c r="E1032" s="346" t="s">
        <v>484</v>
      </c>
      <c r="F1032" s="346"/>
      <c r="G1032" s="300">
        <f>G1033+G1035+G1037</f>
        <v>0</v>
      </c>
      <c r="H1032" s="532"/>
      <c r="I1032" s="532"/>
      <c r="J1032" s="302"/>
      <c r="K1032" s="129"/>
      <c r="AD1032" s="1"/>
      <c r="AE1032" s="1"/>
      <c r="AG1032" s="1"/>
      <c r="AH1032" s="1"/>
      <c r="AJ1032" s="1"/>
    </row>
    <row r="1033" spans="1:36" ht="72.75" hidden="1" customHeight="1" x14ac:dyDescent="0.25">
      <c r="A1033" s="345" t="s">
        <v>119</v>
      </c>
      <c r="B1033" s="591">
        <v>907</v>
      </c>
      <c r="C1033" s="346" t="s">
        <v>251</v>
      </c>
      <c r="D1033" s="346" t="s">
        <v>168</v>
      </c>
      <c r="E1033" s="346" t="s">
        <v>484</v>
      </c>
      <c r="F1033" s="346" t="s">
        <v>120</v>
      </c>
      <c r="G1033" s="300">
        <f>G1034</f>
        <v>0</v>
      </c>
      <c r="H1033" s="532"/>
      <c r="I1033" s="532"/>
      <c r="J1033" s="302"/>
      <c r="K1033" s="129"/>
      <c r="AD1033" s="1"/>
      <c r="AE1033" s="1"/>
      <c r="AG1033" s="1"/>
      <c r="AH1033" s="1"/>
      <c r="AJ1033" s="1"/>
    </row>
    <row r="1034" spans="1:36" ht="25.5" hidden="1" customHeight="1" x14ac:dyDescent="0.25">
      <c r="A1034" s="345" t="s">
        <v>212</v>
      </c>
      <c r="B1034" s="591">
        <v>907</v>
      </c>
      <c r="C1034" s="346" t="s">
        <v>251</v>
      </c>
      <c r="D1034" s="346" t="s">
        <v>168</v>
      </c>
      <c r="E1034" s="346" t="s">
        <v>484</v>
      </c>
      <c r="F1034" s="346" t="s">
        <v>156</v>
      </c>
      <c r="G1034" s="18"/>
      <c r="H1034" s="532"/>
      <c r="I1034" s="532"/>
      <c r="J1034" s="302"/>
      <c r="K1034" s="129"/>
      <c r="AD1034" s="1"/>
      <c r="AE1034" s="1"/>
      <c r="AG1034" s="1"/>
      <c r="AH1034" s="1"/>
      <c r="AJ1034" s="1"/>
    </row>
    <row r="1035" spans="1:36" ht="31.5" hidden="1" x14ac:dyDescent="0.25">
      <c r="A1035" s="345" t="s">
        <v>123</v>
      </c>
      <c r="B1035" s="591">
        <v>907</v>
      </c>
      <c r="C1035" s="346" t="s">
        <v>251</v>
      </c>
      <c r="D1035" s="346" t="s">
        <v>168</v>
      </c>
      <c r="E1035" s="346" t="s">
        <v>484</v>
      </c>
      <c r="F1035" s="346" t="s">
        <v>124</v>
      </c>
      <c r="G1035" s="300">
        <f>G1036</f>
        <v>0</v>
      </c>
      <c r="H1035" s="532"/>
      <c r="I1035" s="532"/>
      <c r="J1035" s="302"/>
      <c r="K1035" s="129"/>
      <c r="AD1035" s="1"/>
      <c r="AE1035" s="1"/>
      <c r="AG1035" s="1"/>
      <c r="AH1035" s="1"/>
      <c r="AJ1035" s="1"/>
    </row>
    <row r="1036" spans="1:36" ht="31.5" hidden="1" x14ac:dyDescent="0.25">
      <c r="A1036" s="345" t="s">
        <v>125</v>
      </c>
      <c r="B1036" s="591">
        <v>907</v>
      </c>
      <c r="C1036" s="346" t="s">
        <v>251</v>
      </c>
      <c r="D1036" s="346" t="s">
        <v>168</v>
      </c>
      <c r="E1036" s="346" t="s">
        <v>484</v>
      </c>
      <c r="F1036" s="346" t="s">
        <v>126</v>
      </c>
      <c r="G1036" s="18"/>
      <c r="H1036" s="532"/>
      <c r="I1036" s="532"/>
      <c r="J1036" s="302"/>
      <c r="K1036" s="129"/>
      <c r="AD1036" s="1"/>
      <c r="AE1036" s="1"/>
      <c r="AG1036" s="1"/>
      <c r="AH1036" s="1"/>
      <c r="AJ1036" s="1"/>
    </row>
    <row r="1037" spans="1:36" ht="15.75" hidden="1" x14ac:dyDescent="0.25">
      <c r="A1037" s="345" t="s">
        <v>127</v>
      </c>
      <c r="B1037" s="591">
        <v>907</v>
      </c>
      <c r="C1037" s="346" t="s">
        <v>251</v>
      </c>
      <c r="D1037" s="346" t="s">
        <v>168</v>
      </c>
      <c r="E1037" s="346" t="s">
        <v>484</v>
      </c>
      <c r="F1037" s="346" t="s">
        <v>134</v>
      </c>
      <c r="G1037" s="300">
        <f>G1038</f>
        <v>0</v>
      </c>
      <c r="H1037" s="532"/>
      <c r="I1037" s="532"/>
      <c r="J1037" s="302"/>
      <c r="K1037" s="129"/>
      <c r="AD1037" s="1"/>
      <c r="AE1037" s="1"/>
      <c r="AG1037" s="1"/>
      <c r="AH1037" s="1"/>
      <c r="AJ1037" s="1"/>
    </row>
    <row r="1038" spans="1:36" ht="15.75" hidden="1" x14ac:dyDescent="0.25">
      <c r="A1038" s="345" t="s">
        <v>280</v>
      </c>
      <c r="B1038" s="591">
        <v>907</v>
      </c>
      <c r="C1038" s="346" t="s">
        <v>251</v>
      </c>
      <c r="D1038" s="346" t="s">
        <v>168</v>
      </c>
      <c r="E1038" s="346" t="s">
        <v>484</v>
      </c>
      <c r="F1038" s="346" t="s">
        <v>130</v>
      </c>
      <c r="G1038" s="300"/>
      <c r="H1038" s="532"/>
      <c r="I1038" s="532"/>
      <c r="J1038" s="302"/>
      <c r="K1038" s="129"/>
      <c r="AD1038" s="1"/>
      <c r="AE1038" s="1"/>
      <c r="AG1038" s="1"/>
      <c r="AH1038" s="1"/>
      <c r="AJ1038" s="1"/>
    </row>
    <row r="1039" spans="1:36" s="129" customFormat="1" ht="31.5" x14ac:dyDescent="0.25">
      <c r="A1039" s="345" t="s">
        <v>414</v>
      </c>
      <c r="B1039" s="591">
        <v>907</v>
      </c>
      <c r="C1039" s="346" t="s">
        <v>251</v>
      </c>
      <c r="D1039" s="346" t="s">
        <v>168</v>
      </c>
      <c r="E1039" s="346" t="s">
        <v>519</v>
      </c>
      <c r="F1039" s="346"/>
      <c r="G1039" s="300">
        <f>G1040</f>
        <v>83.585999999999999</v>
      </c>
      <c r="H1039" s="532"/>
      <c r="I1039" s="532"/>
      <c r="J1039" s="302"/>
    </row>
    <row r="1040" spans="1:36" s="129" customFormat="1" ht="63" x14ac:dyDescent="0.25">
      <c r="A1040" s="345" t="s">
        <v>119</v>
      </c>
      <c r="B1040" s="591">
        <v>907</v>
      </c>
      <c r="C1040" s="346" t="s">
        <v>251</v>
      </c>
      <c r="D1040" s="346" t="s">
        <v>168</v>
      </c>
      <c r="E1040" s="346" t="s">
        <v>519</v>
      </c>
      <c r="F1040" s="346" t="s">
        <v>120</v>
      </c>
      <c r="G1040" s="300">
        <f>G1041</f>
        <v>83.585999999999999</v>
      </c>
      <c r="H1040" s="532"/>
      <c r="I1040" s="532"/>
      <c r="J1040" s="302"/>
    </row>
    <row r="1041" spans="1:36" s="129" customFormat="1" ht="15.75" x14ac:dyDescent="0.25">
      <c r="A1041" s="345" t="s">
        <v>212</v>
      </c>
      <c r="B1041" s="591">
        <v>907</v>
      </c>
      <c r="C1041" s="346" t="s">
        <v>251</v>
      </c>
      <c r="D1041" s="346" t="s">
        <v>168</v>
      </c>
      <c r="E1041" s="346" t="s">
        <v>519</v>
      </c>
      <c r="F1041" s="346" t="s">
        <v>156</v>
      </c>
      <c r="G1041" s="300">
        <f>83.586</f>
        <v>83.585999999999999</v>
      </c>
      <c r="H1041" s="532"/>
      <c r="I1041" s="532"/>
      <c r="J1041" s="302"/>
    </row>
    <row r="1042" spans="1:36" s="129" customFormat="1" ht="31.5" x14ac:dyDescent="0.25">
      <c r="A1042" s="340" t="s">
        <v>863</v>
      </c>
      <c r="B1042" s="296">
        <v>907</v>
      </c>
      <c r="C1042" s="299" t="s">
        <v>251</v>
      </c>
      <c r="D1042" s="299" t="s">
        <v>168</v>
      </c>
      <c r="E1042" s="6" t="s">
        <v>249</v>
      </c>
      <c r="F1042" s="299"/>
      <c r="G1042" s="297">
        <f>G1043</f>
        <v>2700</v>
      </c>
      <c r="H1042" s="532"/>
      <c r="I1042" s="532"/>
      <c r="J1042" s="302"/>
    </row>
    <row r="1043" spans="1:36" s="129" customFormat="1" ht="31.5" x14ac:dyDescent="0.25">
      <c r="A1043" s="34" t="s">
        <v>514</v>
      </c>
      <c r="B1043" s="296">
        <v>907</v>
      </c>
      <c r="C1043" s="299" t="s">
        <v>251</v>
      </c>
      <c r="D1043" s="299" t="s">
        <v>168</v>
      </c>
      <c r="E1043" s="6" t="s">
        <v>796</v>
      </c>
      <c r="F1043" s="299"/>
      <c r="G1043" s="297">
        <f>G1044</f>
        <v>2700</v>
      </c>
      <c r="H1043" s="532"/>
      <c r="I1043" s="532"/>
      <c r="J1043" s="302"/>
    </row>
    <row r="1044" spans="1:36" s="129" customFormat="1" ht="15.75" x14ac:dyDescent="0.25">
      <c r="A1044" s="20" t="s">
        <v>515</v>
      </c>
      <c r="B1044" s="591">
        <v>907</v>
      </c>
      <c r="C1044" s="346" t="s">
        <v>251</v>
      </c>
      <c r="D1044" s="346" t="s">
        <v>168</v>
      </c>
      <c r="E1044" s="341" t="s">
        <v>797</v>
      </c>
      <c r="F1044" s="346"/>
      <c r="G1044" s="300">
        <f>G1045+G1047</f>
        <v>2700</v>
      </c>
      <c r="H1044" s="532"/>
      <c r="I1044" s="532"/>
      <c r="J1044" s="302"/>
    </row>
    <row r="1045" spans="1:36" s="129" customFormat="1" ht="63" x14ac:dyDescent="0.25">
      <c r="A1045" s="345" t="s">
        <v>119</v>
      </c>
      <c r="B1045" s="591">
        <v>907</v>
      </c>
      <c r="C1045" s="346" t="s">
        <v>251</v>
      </c>
      <c r="D1045" s="346" t="s">
        <v>168</v>
      </c>
      <c r="E1045" s="341" t="s">
        <v>797</v>
      </c>
      <c r="F1045" s="346" t="s">
        <v>120</v>
      </c>
      <c r="G1045" s="300">
        <f>G1046</f>
        <v>2200</v>
      </c>
      <c r="H1045" s="532"/>
      <c r="I1045" s="532"/>
      <c r="J1045" s="302"/>
    </row>
    <row r="1046" spans="1:36" s="129" customFormat="1" ht="15.75" x14ac:dyDescent="0.25">
      <c r="A1046" s="345" t="s">
        <v>212</v>
      </c>
      <c r="B1046" s="591">
        <v>907</v>
      </c>
      <c r="C1046" s="346" t="s">
        <v>251</v>
      </c>
      <c r="D1046" s="346" t="s">
        <v>168</v>
      </c>
      <c r="E1046" s="341" t="s">
        <v>797</v>
      </c>
      <c r="F1046" s="346" t="s">
        <v>156</v>
      </c>
      <c r="G1046" s="300">
        <f>2286-86</f>
        <v>2200</v>
      </c>
      <c r="H1046" s="532"/>
      <c r="I1046" s="532"/>
      <c r="J1046" s="302"/>
    </row>
    <row r="1047" spans="1:36" s="129" customFormat="1" ht="31.5" x14ac:dyDescent="0.25">
      <c r="A1047" s="20" t="s">
        <v>123</v>
      </c>
      <c r="B1047" s="591">
        <v>907</v>
      </c>
      <c r="C1047" s="346" t="s">
        <v>251</v>
      </c>
      <c r="D1047" s="346" t="s">
        <v>168</v>
      </c>
      <c r="E1047" s="341" t="s">
        <v>797</v>
      </c>
      <c r="F1047" s="346" t="s">
        <v>124</v>
      </c>
      <c r="G1047" s="300">
        <f>G1048</f>
        <v>500</v>
      </c>
      <c r="H1047" s="532"/>
      <c r="I1047" s="532"/>
      <c r="J1047" s="302"/>
    </row>
    <row r="1048" spans="1:36" s="129" customFormat="1" ht="31.5" x14ac:dyDescent="0.25">
      <c r="A1048" s="20" t="s">
        <v>125</v>
      </c>
      <c r="B1048" s="591">
        <v>907</v>
      </c>
      <c r="C1048" s="346" t="s">
        <v>251</v>
      </c>
      <c r="D1048" s="346" t="s">
        <v>168</v>
      </c>
      <c r="E1048" s="341" t="s">
        <v>797</v>
      </c>
      <c r="F1048" s="346" t="s">
        <v>126</v>
      </c>
      <c r="G1048" s="300">
        <f>414+86</f>
        <v>500</v>
      </c>
      <c r="H1048" s="532"/>
      <c r="I1048" s="532"/>
      <c r="J1048" s="302"/>
    </row>
    <row r="1049" spans="1:36" ht="31.5" x14ac:dyDescent="0.25">
      <c r="A1049" s="296" t="s">
        <v>255</v>
      </c>
      <c r="B1049" s="296">
        <v>908</v>
      </c>
      <c r="C1049" s="346"/>
      <c r="D1049" s="346"/>
      <c r="E1049" s="346"/>
      <c r="F1049" s="346"/>
      <c r="G1049" s="297">
        <f>G1069+G1085+G1106+G1328+G1050+G1321</f>
        <v>224412.80190999998</v>
      </c>
      <c r="H1049" s="532"/>
      <c r="I1049" s="532"/>
      <c r="J1049" s="302"/>
      <c r="K1049" s="129"/>
      <c r="AD1049" s="1"/>
      <c r="AE1049" s="1"/>
      <c r="AG1049" s="1"/>
      <c r="AH1049" s="1"/>
      <c r="AJ1049" s="1"/>
    </row>
    <row r="1050" spans="1:36" ht="15.75" x14ac:dyDescent="0.25">
      <c r="A1050" s="24" t="s">
        <v>115</v>
      </c>
      <c r="B1050" s="296">
        <v>908</v>
      </c>
      <c r="C1050" s="299" t="s">
        <v>116</v>
      </c>
      <c r="D1050" s="346"/>
      <c r="E1050" s="346"/>
      <c r="F1050" s="346"/>
      <c r="G1050" s="297">
        <f t="shared" ref="G1050:G1051" si="75">G1051</f>
        <v>57460.439999999995</v>
      </c>
      <c r="H1050" s="532"/>
      <c r="I1050" s="532"/>
      <c r="J1050" s="302"/>
      <c r="K1050" s="129"/>
      <c r="AD1050" s="1"/>
      <c r="AE1050" s="1"/>
      <c r="AG1050" s="1"/>
      <c r="AH1050" s="1"/>
      <c r="AJ1050" s="1"/>
    </row>
    <row r="1051" spans="1:36" ht="15.75" x14ac:dyDescent="0.25">
      <c r="A1051" s="24" t="s">
        <v>131</v>
      </c>
      <c r="B1051" s="296">
        <v>908</v>
      </c>
      <c r="C1051" s="299" t="s">
        <v>116</v>
      </c>
      <c r="D1051" s="299" t="s">
        <v>132</v>
      </c>
      <c r="E1051" s="346"/>
      <c r="F1051" s="346"/>
      <c r="G1051" s="297">
        <f t="shared" si="75"/>
        <v>57460.439999999995</v>
      </c>
      <c r="H1051" s="532"/>
      <c r="I1051" s="532"/>
      <c r="J1051" s="302"/>
      <c r="K1051" s="129"/>
      <c r="AD1051" s="1"/>
      <c r="AE1051" s="1"/>
      <c r="AG1051" s="1"/>
      <c r="AH1051" s="1"/>
      <c r="AJ1051" s="1"/>
    </row>
    <row r="1052" spans="1:36" ht="21.2" customHeight="1" x14ac:dyDescent="0.25">
      <c r="A1052" s="298" t="s">
        <v>133</v>
      </c>
      <c r="B1052" s="296">
        <v>908</v>
      </c>
      <c r="C1052" s="299" t="s">
        <v>116</v>
      </c>
      <c r="D1052" s="299" t="s">
        <v>132</v>
      </c>
      <c r="E1052" s="299" t="s">
        <v>440</v>
      </c>
      <c r="F1052" s="299"/>
      <c r="G1052" s="28">
        <f>G1053+G1065</f>
        <v>57460.439999999995</v>
      </c>
      <c r="H1052" s="532"/>
      <c r="I1052" s="532"/>
      <c r="J1052" s="302"/>
      <c r="K1052" s="129"/>
      <c r="AD1052" s="1"/>
      <c r="AE1052" s="1"/>
      <c r="AG1052" s="1"/>
      <c r="AH1052" s="1"/>
      <c r="AJ1052" s="1"/>
    </row>
    <row r="1053" spans="1:36" ht="15.75" x14ac:dyDescent="0.25">
      <c r="A1053" s="298" t="s">
        <v>517</v>
      </c>
      <c r="B1053" s="296">
        <v>908</v>
      </c>
      <c r="C1053" s="299" t="s">
        <v>116</v>
      </c>
      <c r="D1053" s="299" t="s">
        <v>132</v>
      </c>
      <c r="E1053" s="299" t="s">
        <v>516</v>
      </c>
      <c r="F1053" s="299"/>
      <c r="G1053" s="28">
        <f>G1054+G1057</f>
        <v>57319.74</v>
      </c>
      <c r="H1053" s="532"/>
      <c r="I1053" s="532"/>
      <c r="J1053" s="302"/>
      <c r="K1053" s="129"/>
      <c r="AD1053" s="1"/>
      <c r="AE1053" s="1"/>
      <c r="AG1053" s="1"/>
      <c r="AH1053" s="1"/>
      <c r="AJ1053" s="1"/>
    </row>
    <row r="1054" spans="1:36" s="129" customFormat="1" ht="31.5" x14ac:dyDescent="0.25">
      <c r="A1054" s="345" t="s">
        <v>414</v>
      </c>
      <c r="B1054" s="591">
        <v>908</v>
      </c>
      <c r="C1054" s="346" t="s">
        <v>116</v>
      </c>
      <c r="D1054" s="346" t="s">
        <v>132</v>
      </c>
      <c r="E1054" s="346" t="s">
        <v>519</v>
      </c>
      <c r="F1054" s="346"/>
      <c r="G1054" s="300">
        <f>G1055</f>
        <v>890.1</v>
      </c>
      <c r="H1054" s="532"/>
      <c r="I1054" s="532"/>
      <c r="J1054" s="302"/>
    </row>
    <row r="1055" spans="1:36" s="129" customFormat="1" ht="63" x14ac:dyDescent="0.25">
      <c r="A1055" s="345" t="s">
        <v>119</v>
      </c>
      <c r="B1055" s="591">
        <v>908</v>
      </c>
      <c r="C1055" s="346" t="s">
        <v>116</v>
      </c>
      <c r="D1055" s="346" t="s">
        <v>132</v>
      </c>
      <c r="E1055" s="346" t="s">
        <v>519</v>
      </c>
      <c r="F1055" s="346" t="s">
        <v>120</v>
      </c>
      <c r="G1055" s="300">
        <f>G1056</f>
        <v>890.1</v>
      </c>
      <c r="H1055" s="532"/>
      <c r="I1055" s="532"/>
      <c r="J1055" s="302"/>
    </row>
    <row r="1056" spans="1:36" s="129" customFormat="1" ht="31.5" x14ac:dyDescent="0.25">
      <c r="A1056" s="345" t="s">
        <v>121</v>
      </c>
      <c r="B1056" s="591">
        <v>908</v>
      </c>
      <c r="C1056" s="346" t="s">
        <v>116</v>
      </c>
      <c r="D1056" s="346" t="s">
        <v>132</v>
      </c>
      <c r="E1056" s="346" t="s">
        <v>519</v>
      </c>
      <c r="F1056" s="346" t="s">
        <v>156</v>
      </c>
      <c r="G1056" s="300">
        <f>1118-40-0.5-34.3-49.5-103.6</f>
        <v>890.1</v>
      </c>
      <c r="H1056" s="532"/>
      <c r="I1056" s="532"/>
      <c r="J1056" s="302"/>
    </row>
    <row r="1057" spans="1:36" s="129" customFormat="1" ht="15.75" x14ac:dyDescent="0.25">
      <c r="A1057" s="345" t="s">
        <v>377</v>
      </c>
      <c r="B1057" s="591">
        <v>908</v>
      </c>
      <c r="C1057" s="346" t="s">
        <v>116</v>
      </c>
      <c r="D1057" s="346" t="s">
        <v>132</v>
      </c>
      <c r="E1057" s="346" t="s">
        <v>518</v>
      </c>
      <c r="F1057" s="346"/>
      <c r="G1057" s="18">
        <f>G1058+G1060+G1062</f>
        <v>56429.64</v>
      </c>
      <c r="H1057" s="532"/>
      <c r="I1057" s="532"/>
      <c r="J1057" s="302"/>
    </row>
    <row r="1058" spans="1:36" ht="74.25" customHeight="1" x14ac:dyDescent="0.25">
      <c r="A1058" s="345" t="s">
        <v>119</v>
      </c>
      <c r="B1058" s="591">
        <v>908</v>
      </c>
      <c r="C1058" s="346" t="s">
        <v>116</v>
      </c>
      <c r="D1058" s="346" t="s">
        <v>132</v>
      </c>
      <c r="E1058" s="346" t="s">
        <v>518</v>
      </c>
      <c r="F1058" s="346" t="s">
        <v>120</v>
      </c>
      <c r="G1058" s="18">
        <f>G1059</f>
        <v>39526.54</v>
      </c>
      <c r="H1058" s="532"/>
      <c r="I1058" s="532"/>
      <c r="J1058" s="302"/>
      <c r="K1058" s="129"/>
      <c r="AD1058" s="1"/>
      <c r="AE1058" s="1"/>
      <c r="AG1058" s="1"/>
      <c r="AH1058" s="1"/>
      <c r="AJ1058" s="1"/>
    </row>
    <row r="1059" spans="1:36" ht="15.75" x14ac:dyDescent="0.25">
      <c r="A1059" s="30" t="s">
        <v>212</v>
      </c>
      <c r="B1059" s="591">
        <v>908</v>
      </c>
      <c r="C1059" s="346" t="s">
        <v>116</v>
      </c>
      <c r="D1059" s="346" t="s">
        <v>132</v>
      </c>
      <c r="E1059" s="346" t="s">
        <v>518</v>
      </c>
      <c r="F1059" s="346" t="s">
        <v>156</v>
      </c>
      <c r="G1059" s="18">
        <f>34371.34-1540-1000+1000-1200+6031.9+2700-600-200-36.7</f>
        <v>39526.54</v>
      </c>
      <c r="H1059" s="532"/>
      <c r="I1059" s="532"/>
      <c r="J1059" s="310"/>
      <c r="K1059" s="344"/>
      <c r="AD1059" s="1"/>
      <c r="AE1059" s="1"/>
      <c r="AG1059" s="1"/>
      <c r="AH1059" s="1"/>
      <c r="AJ1059" s="1"/>
    </row>
    <row r="1060" spans="1:36" ht="28.15" customHeight="1" x14ac:dyDescent="0.25">
      <c r="A1060" s="345" t="s">
        <v>123</v>
      </c>
      <c r="B1060" s="591">
        <v>908</v>
      </c>
      <c r="C1060" s="346" t="s">
        <v>116</v>
      </c>
      <c r="D1060" s="346" t="s">
        <v>132</v>
      </c>
      <c r="E1060" s="346" t="s">
        <v>518</v>
      </c>
      <c r="F1060" s="346" t="s">
        <v>124</v>
      </c>
      <c r="G1060" s="18">
        <f>G1061</f>
        <v>16449.099999999995</v>
      </c>
      <c r="H1060" s="532"/>
      <c r="I1060" s="532"/>
      <c r="J1060" s="302"/>
      <c r="K1060" s="344"/>
      <c r="AD1060" s="1"/>
      <c r="AE1060" s="1"/>
      <c r="AG1060" s="1"/>
      <c r="AH1060" s="1"/>
      <c r="AJ1060" s="1"/>
    </row>
    <row r="1061" spans="1:36" ht="31.5" x14ac:dyDescent="0.25">
      <c r="A1061" s="345" t="s">
        <v>125</v>
      </c>
      <c r="B1061" s="591">
        <v>908</v>
      </c>
      <c r="C1061" s="346" t="s">
        <v>116</v>
      </c>
      <c r="D1061" s="346" t="s">
        <v>132</v>
      </c>
      <c r="E1061" s="346" t="s">
        <v>518</v>
      </c>
      <c r="F1061" s="346" t="s">
        <v>126</v>
      </c>
      <c r="G1061" s="18">
        <f>9244.3-207.2+500+1540+1261.3+2.8+11.5+40+4200+576-2700+0.5+378.1+150-150+184.3-89.3+138.8+1344.7-20.2-120.7+7.5+120.7+36</f>
        <v>16449.099999999995</v>
      </c>
      <c r="H1061" s="530"/>
      <c r="I1061" s="530"/>
      <c r="J1061" s="302"/>
      <c r="K1061" s="344"/>
      <c r="AD1061" s="1"/>
      <c r="AE1061" s="1"/>
      <c r="AG1061" s="1"/>
      <c r="AH1061" s="1"/>
      <c r="AJ1061" s="1"/>
    </row>
    <row r="1062" spans="1:36" ht="15.75" x14ac:dyDescent="0.25">
      <c r="A1062" s="345" t="s">
        <v>127</v>
      </c>
      <c r="B1062" s="591">
        <v>908</v>
      </c>
      <c r="C1062" s="346" t="s">
        <v>116</v>
      </c>
      <c r="D1062" s="346" t="s">
        <v>132</v>
      </c>
      <c r="E1062" s="346" t="s">
        <v>518</v>
      </c>
      <c r="F1062" s="346" t="s">
        <v>134</v>
      </c>
      <c r="G1062" s="18">
        <f>G1064+G1063</f>
        <v>454</v>
      </c>
      <c r="H1062" s="532"/>
      <c r="I1062" s="532"/>
      <c r="J1062" s="302"/>
      <c r="K1062" s="344"/>
      <c r="AD1062" s="1"/>
      <c r="AE1062" s="1"/>
      <c r="AG1062" s="1"/>
      <c r="AH1062" s="1"/>
      <c r="AJ1062" s="1"/>
    </row>
    <row r="1063" spans="1:36" s="344" customFormat="1" ht="15.75" hidden="1" x14ac:dyDescent="0.25">
      <c r="A1063" s="345" t="s">
        <v>135</v>
      </c>
      <c r="B1063" s="591">
        <v>908</v>
      </c>
      <c r="C1063" s="346" t="s">
        <v>116</v>
      </c>
      <c r="D1063" s="346" t="s">
        <v>132</v>
      </c>
      <c r="E1063" s="346" t="s">
        <v>518</v>
      </c>
      <c r="F1063" s="346" t="s">
        <v>136</v>
      </c>
      <c r="G1063" s="18">
        <f>30+2-32</f>
        <v>0</v>
      </c>
      <c r="H1063" s="532"/>
      <c r="I1063" s="532"/>
      <c r="J1063" s="302"/>
    </row>
    <row r="1064" spans="1:36" ht="15.75" x14ac:dyDescent="0.25">
      <c r="A1064" s="345" t="s">
        <v>338</v>
      </c>
      <c r="B1064" s="591">
        <v>908</v>
      </c>
      <c r="C1064" s="346" t="s">
        <v>116</v>
      </c>
      <c r="D1064" s="346" t="s">
        <v>132</v>
      </c>
      <c r="E1064" s="346" t="s">
        <v>518</v>
      </c>
      <c r="F1064" s="346" t="s">
        <v>130</v>
      </c>
      <c r="G1064" s="18">
        <f>421-30+32-15+51.7-5.7</f>
        <v>454</v>
      </c>
      <c r="H1064" s="532"/>
      <c r="I1064" s="532"/>
      <c r="J1064" s="302"/>
      <c r="K1064" s="344"/>
      <c r="AD1064" s="1"/>
      <c r="AE1064" s="1"/>
      <c r="AG1064" s="1"/>
      <c r="AH1064" s="1"/>
      <c r="AJ1064" s="1"/>
    </row>
    <row r="1065" spans="1:36" s="344" customFormat="1" ht="31.5" x14ac:dyDescent="0.25">
      <c r="A1065" s="298" t="s">
        <v>444</v>
      </c>
      <c r="B1065" s="296">
        <v>908</v>
      </c>
      <c r="C1065" s="299" t="s">
        <v>116</v>
      </c>
      <c r="D1065" s="299" t="s">
        <v>132</v>
      </c>
      <c r="E1065" s="299" t="s">
        <v>439</v>
      </c>
      <c r="F1065" s="299"/>
      <c r="G1065" s="297">
        <f>G1066</f>
        <v>140.69999999999999</v>
      </c>
      <c r="H1065" s="532"/>
      <c r="I1065" s="532"/>
      <c r="J1065" s="302"/>
    </row>
    <row r="1066" spans="1:36" s="344" customFormat="1" ht="15.75" x14ac:dyDescent="0.25">
      <c r="A1066" s="345" t="s">
        <v>595</v>
      </c>
      <c r="B1066" s="591">
        <v>908</v>
      </c>
      <c r="C1066" s="346" t="s">
        <v>116</v>
      </c>
      <c r="D1066" s="346" t="s">
        <v>132</v>
      </c>
      <c r="E1066" s="346" t="s">
        <v>1326</v>
      </c>
      <c r="F1066" s="346"/>
      <c r="G1066" s="18">
        <f>G1067</f>
        <v>140.69999999999999</v>
      </c>
      <c r="H1066" s="532"/>
      <c r="I1066" s="532"/>
      <c r="J1066" s="302"/>
    </row>
    <row r="1067" spans="1:36" s="344" customFormat="1" ht="63" x14ac:dyDescent="0.25">
      <c r="A1067" s="345" t="s">
        <v>119</v>
      </c>
      <c r="B1067" s="591">
        <v>908</v>
      </c>
      <c r="C1067" s="346" t="s">
        <v>116</v>
      </c>
      <c r="D1067" s="346" t="s">
        <v>132</v>
      </c>
      <c r="E1067" s="346" t="s">
        <v>1326</v>
      </c>
      <c r="F1067" s="346" t="s">
        <v>120</v>
      </c>
      <c r="G1067" s="18">
        <f>G1068</f>
        <v>140.69999999999999</v>
      </c>
      <c r="H1067" s="532"/>
      <c r="I1067" s="532"/>
      <c r="J1067" s="302"/>
    </row>
    <row r="1068" spans="1:36" s="344" customFormat="1" ht="31.5" x14ac:dyDescent="0.25">
      <c r="A1068" s="345" t="s">
        <v>121</v>
      </c>
      <c r="B1068" s="591">
        <v>908</v>
      </c>
      <c r="C1068" s="346" t="s">
        <v>116</v>
      </c>
      <c r="D1068" s="346" t="s">
        <v>132</v>
      </c>
      <c r="E1068" s="346" t="s">
        <v>1326</v>
      </c>
      <c r="F1068" s="346" t="s">
        <v>156</v>
      </c>
      <c r="G1068" s="18">
        <f>149.2-8.5</f>
        <v>140.69999999999999</v>
      </c>
      <c r="H1068" s="532"/>
      <c r="I1068" s="532"/>
      <c r="J1068" s="302"/>
    </row>
    <row r="1069" spans="1:36" ht="31.5" x14ac:dyDescent="0.25">
      <c r="A1069" s="298" t="s">
        <v>163</v>
      </c>
      <c r="B1069" s="296">
        <v>908</v>
      </c>
      <c r="C1069" s="299" t="s">
        <v>159</v>
      </c>
      <c r="D1069" s="299"/>
      <c r="E1069" s="299"/>
      <c r="F1069" s="299"/>
      <c r="G1069" s="297">
        <f t="shared" ref="G1069:G1074" si="76">G1070</f>
        <v>122.93</v>
      </c>
      <c r="H1069" s="532"/>
      <c r="I1069" s="532"/>
      <c r="J1069" s="302"/>
      <c r="K1069" s="344"/>
      <c r="AD1069" s="1"/>
      <c r="AE1069" s="1"/>
      <c r="AG1069" s="1"/>
      <c r="AH1069" s="1"/>
      <c r="AJ1069" s="1"/>
    </row>
    <row r="1070" spans="1:36" ht="47.85" customHeight="1" x14ac:dyDescent="0.25">
      <c r="A1070" s="298" t="s">
        <v>849</v>
      </c>
      <c r="B1070" s="296">
        <v>908</v>
      </c>
      <c r="C1070" s="299" t="s">
        <v>159</v>
      </c>
      <c r="D1070" s="299" t="s">
        <v>174</v>
      </c>
      <c r="E1070" s="299"/>
      <c r="F1070" s="299"/>
      <c r="G1070" s="297">
        <f>G1071+G1076</f>
        <v>122.93</v>
      </c>
      <c r="H1070" s="532"/>
      <c r="I1070" s="532"/>
      <c r="J1070" s="302"/>
      <c r="K1070" s="344"/>
      <c r="AD1070" s="1"/>
      <c r="AE1070" s="1"/>
      <c r="AG1070" s="1"/>
      <c r="AH1070" s="1"/>
      <c r="AJ1070" s="1"/>
    </row>
    <row r="1071" spans="1:36" ht="21.75" customHeight="1" x14ac:dyDescent="0.25">
      <c r="A1071" s="298" t="s">
        <v>133</v>
      </c>
      <c r="B1071" s="296">
        <v>908</v>
      </c>
      <c r="C1071" s="299" t="s">
        <v>159</v>
      </c>
      <c r="D1071" s="299" t="s">
        <v>174</v>
      </c>
      <c r="E1071" s="299" t="s">
        <v>440</v>
      </c>
      <c r="F1071" s="299"/>
      <c r="G1071" s="297">
        <f t="shared" si="76"/>
        <v>122.93</v>
      </c>
      <c r="H1071" s="532"/>
      <c r="I1071" s="532"/>
      <c r="J1071" s="302"/>
      <c r="K1071" s="344"/>
      <c r="AD1071" s="1"/>
      <c r="AE1071" s="1"/>
      <c r="AG1071" s="1"/>
      <c r="AH1071" s="1"/>
      <c r="AJ1071" s="1"/>
    </row>
    <row r="1072" spans="1:36" ht="31.5" x14ac:dyDescent="0.25">
      <c r="A1072" s="298" t="s">
        <v>444</v>
      </c>
      <c r="B1072" s="296">
        <v>908</v>
      </c>
      <c r="C1072" s="299" t="s">
        <v>159</v>
      </c>
      <c r="D1072" s="299" t="s">
        <v>174</v>
      </c>
      <c r="E1072" s="299" t="s">
        <v>439</v>
      </c>
      <c r="F1072" s="299"/>
      <c r="G1072" s="297">
        <f t="shared" si="76"/>
        <v>122.93</v>
      </c>
      <c r="H1072" s="532"/>
      <c r="I1072" s="532"/>
      <c r="J1072" s="302"/>
      <c r="K1072" s="344"/>
      <c r="AD1072" s="1"/>
      <c r="AE1072" s="1"/>
      <c r="AG1072" s="1"/>
      <c r="AH1072" s="1"/>
      <c r="AJ1072" s="1"/>
    </row>
    <row r="1073" spans="1:36" ht="15.75" x14ac:dyDescent="0.25">
      <c r="A1073" s="345" t="s">
        <v>165</v>
      </c>
      <c r="B1073" s="591">
        <v>908</v>
      </c>
      <c r="C1073" s="346" t="s">
        <v>159</v>
      </c>
      <c r="D1073" s="346" t="s">
        <v>174</v>
      </c>
      <c r="E1073" s="346" t="s">
        <v>450</v>
      </c>
      <c r="F1073" s="346"/>
      <c r="G1073" s="300">
        <f t="shared" si="76"/>
        <v>122.93</v>
      </c>
      <c r="H1073" s="532"/>
      <c r="I1073" s="532"/>
      <c r="J1073" s="302"/>
      <c r="K1073" s="344"/>
      <c r="AD1073" s="1"/>
      <c r="AE1073" s="1"/>
      <c r="AG1073" s="1"/>
      <c r="AH1073" s="1"/>
      <c r="AJ1073" s="1"/>
    </row>
    <row r="1074" spans="1:36" ht="31.5" x14ac:dyDescent="0.25">
      <c r="A1074" s="345" t="s">
        <v>123</v>
      </c>
      <c r="B1074" s="591">
        <v>908</v>
      </c>
      <c r="C1074" s="346" t="s">
        <v>159</v>
      </c>
      <c r="D1074" s="346" t="s">
        <v>174</v>
      </c>
      <c r="E1074" s="346" t="s">
        <v>450</v>
      </c>
      <c r="F1074" s="346" t="s">
        <v>124</v>
      </c>
      <c r="G1074" s="300">
        <f t="shared" si="76"/>
        <v>122.93</v>
      </c>
      <c r="H1074" s="532"/>
      <c r="I1074" s="532"/>
      <c r="J1074" s="302"/>
      <c r="K1074" s="344"/>
      <c r="AD1074" s="1"/>
      <c r="AE1074" s="1"/>
      <c r="AG1074" s="1"/>
      <c r="AH1074" s="1"/>
      <c r="AJ1074" s="1"/>
    </row>
    <row r="1075" spans="1:36" ht="31.5" x14ac:dyDescent="0.25">
      <c r="A1075" s="345" t="s">
        <v>125</v>
      </c>
      <c r="B1075" s="591">
        <v>908</v>
      </c>
      <c r="C1075" s="346" t="s">
        <v>159</v>
      </c>
      <c r="D1075" s="346" t="s">
        <v>174</v>
      </c>
      <c r="E1075" s="346" t="s">
        <v>450</v>
      </c>
      <c r="F1075" s="346" t="s">
        <v>126</v>
      </c>
      <c r="G1075" s="300">
        <f>107-107+122.93</f>
        <v>122.93</v>
      </c>
      <c r="H1075" s="532"/>
      <c r="I1075" s="532"/>
      <c r="J1075" s="302"/>
      <c r="K1075" s="344"/>
      <c r="AD1075" s="1"/>
      <c r="AE1075" s="1"/>
      <c r="AG1075" s="1"/>
      <c r="AH1075" s="1"/>
      <c r="AJ1075" s="1"/>
    </row>
    <row r="1076" spans="1:36" s="344" customFormat="1" ht="31.5" hidden="1" x14ac:dyDescent="0.25">
      <c r="A1076" s="298" t="s">
        <v>492</v>
      </c>
      <c r="B1076" s="296">
        <v>908</v>
      </c>
      <c r="C1076" s="299" t="s">
        <v>159</v>
      </c>
      <c r="D1076" s="299" t="s">
        <v>174</v>
      </c>
      <c r="E1076" s="299" t="s">
        <v>446</v>
      </c>
      <c r="F1076" s="299"/>
      <c r="G1076" s="297">
        <f>G1077+G1082</f>
        <v>0</v>
      </c>
      <c r="H1076" s="532"/>
      <c r="I1076" s="532"/>
      <c r="J1076" s="302"/>
    </row>
    <row r="1077" spans="1:36" s="344" customFormat="1" ht="31.5" hidden="1" x14ac:dyDescent="0.25">
      <c r="A1077" s="345" t="s">
        <v>496</v>
      </c>
      <c r="B1077" s="591">
        <v>908</v>
      </c>
      <c r="C1077" s="346" t="s">
        <v>159</v>
      </c>
      <c r="D1077" s="346" t="s">
        <v>174</v>
      </c>
      <c r="E1077" s="346" t="s">
        <v>447</v>
      </c>
      <c r="F1077" s="346"/>
      <c r="G1077" s="300">
        <f>G1078+G1080</f>
        <v>0</v>
      </c>
      <c r="H1077" s="532"/>
      <c r="I1077" s="532"/>
      <c r="J1077" s="302"/>
    </row>
    <row r="1078" spans="1:36" s="344" customFormat="1" ht="63" hidden="1" x14ac:dyDescent="0.25">
      <c r="A1078" s="345" t="s">
        <v>119</v>
      </c>
      <c r="B1078" s="591">
        <v>908</v>
      </c>
      <c r="C1078" s="346" t="s">
        <v>159</v>
      </c>
      <c r="D1078" s="346" t="s">
        <v>174</v>
      </c>
      <c r="E1078" s="346" t="s">
        <v>447</v>
      </c>
      <c r="F1078" s="346" t="s">
        <v>120</v>
      </c>
      <c r="G1078" s="300">
        <f>G1079</f>
        <v>0</v>
      </c>
      <c r="H1078" s="532"/>
      <c r="I1078" s="532"/>
      <c r="J1078" s="302"/>
    </row>
    <row r="1079" spans="1:36" s="344" customFormat="1" ht="15.75" hidden="1" x14ac:dyDescent="0.25">
      <c r="A1079" s="345" t="s">
        <v>155</v>
      </c>
      <c r="B1079" s="591">
        <v>908</v>
      </c>
      <c r="C1079" s="346" t="s">
        <v>159</v>
      </c>
      <c r="D1079" s="346" t="s">
        <v>174</v>
      </c>
      <c r="E1079" s="346" t="s">
        <v>447</v>
      </c>
      <c r="F1079" s="346" t="s">
        <v>156</v>
      </c>
      <c r="G1079" s="18">
        <f>5884-5884</f>
        <v>0</v>
      </c>
      <c r="H1079" s="532"/>
      <c r="I1079" s="532"/>
      <c r="J1079" s="302"/>
    </row>
    <row r="1080" spans="1:36" s="344" customFormat="1" ht="31.5" hidden="1" x14ac:dyDescent="0.25">
      <c r="A1080" s="345" t="s">
        <v>153</v>
      </c>
      <c r="B1080" s="591">
        <v>908</v>
      </c>
      <c r="C1080" s="346" t="s">
        <v>159</v>
      </c>
      <c r="D1080" s="346" t="s">
        <v>174</v>
      </c>
      <c r="E1080" s="346" t="s">
        <v>447</v>
      </c>
      <c r="F1080" s="346" t="s">
        <v>124</v>
      </c>
      <c r="G1080" s="300">
        <f>G1081</f>
        <v>0</v>
      </c>
      <c r="H1080" s="532"/>
      <c r="I1080" s="532"/>
      <c r="J1080" s="302"/>
    </row>
    <row r="1081" spans="1:36" s="344" customFormat="1" ht="31.5" hidden="1" x14ac:dyDescent="0.25">
      <c r="A1081" s="345" t="s">
        <v>125</v>
      </c>
      <c r="B1081" s="591">
        <v>908</v>
      </c>
      <c r="C1081" s="346" t="s">
        <v>159</v>
      </c>
      <c r="D1081" s="346" t="s">
        <v>174</v>
      </c>
      <c r="E1081" s="346" t="s">
        <v>447</v>
      </c>
      <c r="F1081" s="346" t="s">
        <v>126</v>
      </c>
      <c r="G1081" s="18">
        <f>163-163</f>
        <v>0</v>
      </c>
      <c r="H1081" s="532"/>
      <c r="I1081" s="532"/>
      <c r="J1081" s="302"/>
    </row>
    <row r="1082" spans="1:36" s="344" customFormat="1" ht="31.5" hidden="1" x14ac:dyDescent="0.25">
      <c r="A1082" s="345" t="s">
        <v>414</v>
      </c>
      <c r="B1082" s="591">
        <v>908</v>
      </c>
      <c r="C1082" s="346" t="s">
        <v>159</v>
      </c>
      <c r="D1082" s="346" t="s">
        <v>174</v>
      </c>
      <c r="E1082" s="346" t="s">
        <v>448</v>
      </c>
      <c r="F1082" s="346"/>
      <c r="G1082" s="300">
        <f>G1083</f>
        <v>0</v>
      </c>
      <c r="H1082" s="532"/>
      <c r="I1082" s="532"/>
      <c r="J1082" s="302"/>
    </row>
    <row r="1083" spans="1:36" s="344" customFormat="1" ht="63" hidden="1" x14ac:dyDescent="0.25">
      <c r="A1083" s="345" t="s">
        <v>119</v>
      </c>
      <c r="B1083" s="591">
        <v>908</v>
      </c>
      <c r="C1083" s="346" t="s">
        <v>159</v>
      </c>
      <c r="D1083" s="346" t="s">
        <v>174</v>
      </c>
      <c r="E1083" s="346" t="s">
        <v>448</v>
      </c>
      <c r="F1083" s="346" t="s">
        <v>120</v>
      </c>
      <c r="G1083" s="300">
        <f>G1084</f>
        <v>0</v>
      </c>
      <c r="H1083" s="532"/>
      <c r="I1083" s="532"/>
      <c r="J1083" s="302"/>
    </row>
    <row r="1084" spans="1:36" s="344" customFormat="1" ht="15.75" hidden="1" x14ac:dyDescent="0.25">
      <c r="A1084" s="345" t="s">
        <v>155</v>
      </c>
      <c r="B1084" s="591">
        <v>908</v>
      </c>
      <c r="C1084" s="346" t="s">
        <v>159</v>
      </c>
      <c r="D1084" s="346" t="s">
        <v>174</v>
      </c>
      <c r="E1084" s="346" t="s">
        <v>448</v>
      </c>
      <c r="F1084" s="346" t="s">
        <v>156</v>
      </c>
      <c r="G1084" s="300">
        <f>258-258</f>
        <v>0</v>
      </c>
      <c r="H1084" s="532"/>
      <c r="I1084" s="532"/>
      <c r="J1084" s="302"/>
    </row>
    <row r="1085" spans="1:36" ht="15.75" x14ac:dyDescent="0.25">
      <c r="A1085" s="298" t="s">
        <v>166</v>
      </c>
      <c r="B1085" s="296">
        <v>908</v>
      </c>
      <c r="C1085" s="299" t="s">
        <v>139</v>
      </c>
      <c r="D1085" s="299"/>
      <c r="E1085" s="299"/>
      <c r="F1085" s="299"/>
      <c r="G1085" s="297">
        <f>G1086+G1092</f>
        <v>7368.4000000000005</v>
      </c>
      <c r="H1085" s="532"/>
      <c r="I1085" s="532"/>
      <c r="J1085" s="302"/>
      <c r="K1085" s="344"/>
      <c r="AD1085" s="1"/>
      <c r="AE1085" s="1"/>
      <c r="AG1085" s="1"/>
      <c r="AH1085" s="1"/>
      <c r="AJ1085" s="1"/>
    </row>
    <row r="1086" spans="1:36" ht="15.75" x14ac:dyDescent="0.25">
      <c r="A1086" s="298" t="s">
        <v>256</v>
      </c>
      <c r="B1086" s="296">
        <v>908</v>
      </c>
      <c r="C1086" s="299" t="s">
        <v>139</v>
      </c>
      <c r="D1086" s="299" t="s">
        <v>203</v>
      </c>
      <c r="E1086" s="299"/>
      <c r="F1086" s="299"/>
      <c r="G1086" s="297">
        <f t="shared" ref="G1086:G1090" si="77">G1087</f>
        <v>3258</v>
      </c>
      <c r="H1086" s="532"/>
      <c r="I1086" s="532"/>
      <c r="J1086" s="302"/>
      <c r="K1086" s="129"/>
      <c r="AD1086" s="1"/>
      <c r="AE1086" s="1"/>
      <c r="AG1086" s="1"/>
      <c r="AH1086" s="1"/>
      <c r="AJ1086" s="1"/>
    </row>
    <row r="1087" spans="1:36" ht="15.75" x14ac:dyDescent="0.25">
      <c r="A1087" s="298" t="s">
        <v>133</v>
      </c>
      <c r="B1087" s="296">
        <v>908</v>
      </c>
      <c r="C1087" s="299" t="s">
        <v>139</v>
      </c>
      <c r="D1087" s="299" t="s">
        <v>203</v>
      </c>
      <c r="E1087" s="299" t="s">
        <v>440</v>
      </c>
      <c r="F1087" s="299"/>
      <c r="G1087" s="297">
        <f t="shared" si="77"/>
        <v>3258</v>
      </c>
      <c r="H1087" s="532"/>
      <c r="I1087" s="532"/>
      <c r="J1087" s="302"/>
      <c r="K1087" s="129"/>
      <c r="AD1087" s="1"/>
      <c r="AE1087" s="1"/>
      <c r="AG1087" s="1"/>
      <c r="AH1087" s="1"/>
      <c r="AJ1087" s="1"/>
    </row>
    <row r="1088" spans="1:36" ht="31.5" x14ac:dyDescent="0.25">
      <c r="A1088" s="298" t="s">
        <v>444</v>
      </c>
      <c r="B1088" s="296">
        <v>908</v>
      </c>
      <c r="C1088" s="299" t="s">
        <v>139</v>
      </c>
      <c r="D1088" s="299" t="s">
        <v>203</v>
      </c>
      <c r="E1088" s="299" t="s">
        <v>439</v>
      </c>
      <c r="F1088" s="299"/>
      <c r="G1088" s="297">
        <f t="shared" si="77"/>
        <v>3258</v>
      </c>
      <c r="H1088" s="532"/>
      <c r="I1088" s="532"/>
      <c r="J1088" s="302"/>
      <c r="K1088" s="129"/>
      <c r="AD1088" s="1"/>
      <c r="AE1088" s="1"/>
      <c r="AG1088" s="1"/>
      <c r="AH1088" s="1"/>
      <c r="AJ1088" s="1"/>
    </row>
    <row r="1089" spans="1:36" ht="18" customHeight="1" x14ac:dyDescent="0.25">
      <c r="A1089" s="345" t="s">
        <v>257</v>
      </c>
      <c r="B1089" s="591">
        <v>908</v>
      </c>
      <c r="C1089" s="346" t="s">
        <v>139</v>
      </c>
      <c r="D1089" s="346" t="s">
        <v>203</v>
      </c>
      <c r="E1089" s="346" t="s">
        <v>520</v>
      </c>
      <c r="F1089" s="346"/>
      <c r="G1089" s="300">
        <f t="shared" si="77"/>
        <v>3258</v>
      </c>
      <c r="H1089" s="532"/>
      <c r="I1089" s="532"/>
      <c r="J1089" s="302"/>
      <c r="K1089" s="129"/>
      <c r="AD1089" s="1"/>
      <c r="AE1089" s="1"/>
      <c r="AG1089" s="1"/>
      <c r="AH1089" s="1"/>
      <c r="AJ1089" s="1"/>
    </row>
    <row r="1090" spans="1:36" ht="31.5" x14ac:dyDescent="0.25">
      <c r="A1090" s="345" t="s">
        <v>123</v>
      </c>
      <c r="B1090" s="591">
        <v>908</v>
      </c>
      <c r="C1090" s="346" t="s">
        <v>139</v>
      </c>
      <c r="D1090" s="346" t="s">
        <v>203</v>
      </c>
      <c r="E1090" s="346" t="s">
        <v>520</v>
      </c>
      <c r="F1090" s="346" t="s">
        <v>124</v>
      </c>
      <c r="G1090" s="300">
        <f t="shared" si="77"/>
        <v>3258</v>
      </c>
      <c r="H1090" s="532"/>
      <c r="I1090" s="532"/>
      <c r="J1090" s="302"/>
      <c r="K1090" s="129"/>
      <c r="AD1090" s="1"/>
      <c r="AE1090" s="1"/>
      <c r="AG1090" s="1"/>
      <c r="AH1090" s="1"/>
      <c r="AJ1090" s="1"/>
    </row>
    <row r="1091" spans="1:36" ht="31.5" x14ac:dyDescent="0.25">
      <c r="A1091" s="345" t="s">
        <v>125</v>
      </c>
      <c r="B1091" s="591">
        <v>908</v>
      </c>
      <c r="C1091" s="346" t="s">
        <v>139</v>
      </c>
      <c r="D1091" s="346" t="s">
        <v>203</v>
      </c>
      <c r="E1091" s="346" t="s">
        <v>520</v>
      </c>
      <c r="F1091" s="346" t="s">
        <v>126</v>
      </c>
      <c r="G1091" s="300">
        <v>3258</v>
      </c>
      <c r="H1091" s="532"/>
      <c r="I1091" s="532"/>
      <c r="J1091" s="302"/>
      <c r="K1091" s="129"/>
      <c r="AD1091" s="1"/>
      <c r="AE1091" s="1"/>
      <c r="AG1091" s="1"/>
      <c r="AH1091" s="1"/>
      <c r="AJ1091" s="1"/>
    </row>
    <row r="1092" spans="1:36" ht="15.75" x14ac:dyDescent="0.25">
      <c r="A1092" s="298" t="s">
        <v>258</v>
      </c>
      <c r="B1092" s="296">
        <v>908</v>
      </c>
      <c r="C1092" s="299" t="s">
        <v>139</v>
      </c>
      <c r="D1092" s="299" t="s">
        <v>161</v>
      </c>
      <c r="E1092" s="346"/>
      <c r="F1092" s="299"/>
      <c r="G1092" s="297">
        <f>G1093</f>
        <v>4110.4000000000005</v>
      </c>
      <c r="H1092" s="532"/>
      <c r="I1092" s="532"/>
      <c r="J1092" s="302"/>
      <c r="K1092" s="129"/>
      <c r="AD1092" s="1"/>
      <c r="AE1092" s="1"/>
      <c r="AG1092" s="1"/>
      <c r="AH1092" s="1"/>
      <c r="AJ1092" s="1"/>
    </row>
    <row r="1093" spans="1:36" ht="36.75" customHeight="1" x14ac:dyDescent="0.25">
      <c r="A1093" s="24" t="s">
        <v>864</v>
      </c>
      <c r="B1093" s="296">
        <v>908</v>
      </c>
      <c r="C1093" s="299" t="s">
        <v>139</v>
      </c>
      <c r="D1093" s="299" t="s">
        <v>161</v>
      </c>
      <c r="E1093" s="299" t="s">
        <v>259</v>
      </c>
      <c r="F1093" s="299"/>
      <c r="G1093" s="297">
        <f>G1099+G1094</f>
        <v>4110.4000000000005</v>
      </c>
      <c r="H1093" s="532"/>
      <c r="I1093" s="532"/>
      <c r="J1093" s="302"/>
      <c r="K1093" s="129"/>
      <c r="AD1093" s="1"/>
      <c r="AE1093" s="1"/>
      <c r="AG1093" s="1"/>
      <c r="AH1093" s="1"/>
      <c r="AJ1093" s="1"/>
    </row>
    <row r="1094" spans="1:36" s="129" customFormat="1" ht="31.5" x14ac:dyDescent="0.25">
      <c r="A1094" s="24" t="s">
        <v>560</v>
      </c>
      <c r="B1094" s="296">
        <v>908</v>
      </c>
      <c r="C1094" s="299" t="s">
        <v>139</v>
      </c>
      <c r="D1094" s="299" t="s">
        <v>161</v>
      </c>
      <c r="E1094" s="6" t="s">
        <v>521</v>
      </c>
      <c r="F1094" s="299"/>
      <c r="G1094" s="297">
        <f t="shared" ref="G1094:G1096" si="78">G1095</f>
        <v>144.30000000000001</v>
      </c>
      <c r="H1094" s="532"/>
      <c r="I1094" s="532"/>
      <c r="J1094" s="302"/>
    </row>
    <row r="1095" spans="1:36" s="129" customFormat="1" ht="15.75" x14ac:dyDescent="0.25">
      <c r="A1095" s="20" t="s">
        <v>562</v>
      </c>
      <c r="B1095" s="591">
        <v>908</v>
      </c>
      <c r="C1095" s="346" t="s">
        <v>139</v>
      </c>
      <c r="D1095" s="346" t="s">
        <v>161</v>
      </c>
      <c r="E1095" s="341" t="s">
        <v>561</v>
      </c>
      <c r="F1095" s="346"/>
      <c r="G1095" s="300">
        <f t="shared" si="78"/>
        <v>144.30000000000001</v>
      </c>
      <c r="H1095" s="532"/>
      <c r="I1095" s="532"/>
      <c r="J1095" s="302"/>
    </row>
    <row r="1096" spans="1:36" s="129" customFormat="1" ht="31.5" x14ac:dyDescent="0.25">
      <c r="A1096" s="345" t="s">
        <v>123</v>
      </c>
      <c r="B1096" s="591">
        <v>908</v>
      </c>
      <c r="C1096" s="346" t="s">
        <v>139</v>
      </c>
      <c r="D1096" s="346" t="s">
        <v>161</v>
      </c>
      <c r="E1096" s="341" t="s">
        <v>561</v>
      </c>
      <c r="F1096" s="346" t="s">
        <v>124</v>
      </c>
      <c r="G1096" s="300">
        <f t="shared" si="78"/>
        <v>144.30000000000001</v>
      </c>
      <c r="H1096" s="532"/>
      <c r="I1096" s="532"/>
      <c r="J1096" s="302"/>
    </row>
    <row r="1097" spans="1:36" s="129" customFormat="1" ht="31.5" x14ac:dyDescent="0.25">
      <c r="A1097" s="345" t="s">
        <v>125</v>
      </c>
      <c r="B1097" s="591">
        <v>908</v>
      </c>
      <c r="C1097" s="346" t="s">
        <v>139</v>
      </c>
      <c r="D1097" s="346" t="s">
        <v>161</v>
      </c>
      <c r="E1097" s="341" t="s">
        <v>561</v>
      </c>
      <c r="F1097" s="346" t="s">
        <v>126</v>
      </c>
      <c r="G1097" s="300">
        <f>902-902+144.3</f>
        <v>144.30000000000001</v>
      </c>
      <c r="H1097" s="532"/>
      <c r="I1097" s="532"/>
      <c r="J1097" s="302"/>
    </row>
    <row r="1098" spans="1:36" s="129" customFormat="1" ht="31.5" x14ac:dyDescent="0.25">
      <c r="A1098" s="24" t="s">
        <v>616</v>
      </c>
      <c r="B1098" s="296">
        <v>908</v>
      </c>
      <c r="C1098" s="299" t="s">
        <v>139</v>
      </c>
      <c r="D1098" s="299" t="s">
        <v>161</v>
      </c>
      <c r="E1098" s="299" t="s">
        <v>522</v>
      </c>
      <c r="F1098" s="299"/>
      <c r="G1098" s="297">
        <f>G1099</f>
        <v>3966.1000000000004</v>
      </c>
      <c r="H1098" s="532"/>
      <c r="I1098" s="532"/>
      <c r="J1098" s="302"/>
    </row>
    <row r="1099" spans="1:36" ht="15.75" x14ac:dyDescent="0.25">
      <c r="A1099" s="20" t="s">
        <v>260</v>
      </c>
      <c r="B1099" s="591">
        <v>908</v>
      </c>
      <c r="C1099" s="346" t="s">
        <v>139</v>
      </c>
      <c r="D1099" s="346" t="s">
        <v>161</v>
      </c>
      <c r="E1099" s="341" t="s">
        <v>563</v>
      </c>
      <c r="F1099" s="346"/>
      <c r="G1099" s="300">
        <f>G1102+G1104+G1100</f>
        <v>3966.1000000000004</v>
      </c>
      <c r="H1099" s="532"/>
      <c r="I1099" s="532"/>
      <c r="J1099" s="302"/>
      <c r="K1099" s="129"/>
      <c r="AD1099" s="1"/>
      <c r="AE1099" s="1"/>
      <c r="AG1099" s="1"/>
      <c r="AH1099" s="1"/>
      <c r="AJ1099" s="1"/>
    </row>
    <row r="1100" spans="1:36" s="129" customFormat="1" ht="63" x14ac:dyDescent="0.25">
      <c r="A1100" s="345" t="s">
        <v>119</v>
      </c>
      <c r="B1100" s="591">
        <v>908</v>
      </c>
      <c r="C1100" s="346" t="s">
        <v>139</v>
      </c>
      <c r="D1100" s="346" t="s">
        <v>161</v>
      </c>
      <c r="E1100" s="341" t="s">
        <v>563</v>
      </c>
      <c r="F1100" s="346" t="s">
        <v>120</v>
      </c>
      <c r="G1100" s="300">
        <f>G1101</f>
        <v>2770.4</v>
      </c>
      <c r="H1100" s="532"/>
      <c r="I1100" s="532"/>
      <c r="J1100" s="302"/>
    </row>
    <row r="1101" spans="1:36" s="129" customFormat="1" ht="15.75" x14ac:dyDescent="0.25">
      <c r="A1101" s="345" t="s">
        <v>212</v>
      </c>
      <c r="B1101" s="591">
        <v>908</v>
      </c>
      <c r="C1101" s="346" t="s">
        <v>139</v>
      </c>
      <c r="D1101" s="346" t="s">
        <v>161</v>
      </c>
      <c r="E1101" s="341" t="s">
        <v>563</v>
      </c>
      <c r="F1101" s="346" t="s">
        <v>156</v>
      </c>
      <c r="G1101" s="300">
        <f>1907.4-31.5+600+200+78.1+16.4</f>
        <v>2770.4</v>
      </c>
      <c r="H1101" s="532"/>
      <c r="I1101" s="532"/>
      <c r="J1101" s="302"/>
    </row>
    <row r="1102" spans="1:36" ht="31.5" x14ac:dyDescent="0.25">
      <c r="A1102" s="345" t="s">
        <v>123</v>
      </c>
      <c r="B1102" s="591">
        <v>908</v>
      </c>
      <c r="C1102" s="346" t="s">
        <v>139</v>
      </c>
      <c r="D1102" s="346" t="s">
        <v>161</v>
      </c>
      <c r="E1102" s="341" t="s">
        <v>563</v>
      </c>
      <c r="F1102" s="346" t="s">
        <v>124</v>
      </c>
      <c r="G1102" s="300">
        <f>G1103</f>
        <v>1195.7</v>
      </c>
      <c r="H1102" s="532"/>
      <c r="I1102" s="532"/>
      <c r="J1102" s="302"/>
      <c r="K1102" s="129"/>
      <c r="AD1102" s="1"/>
      <c r="AE1102" s="1"/>
      <c r="AG1102" s="1"/>
      <c r="AH1102" s="1"/>
      <c r="AJ1102" s="1"/>
    </row>
    <row r="1103" spans="1:36" ht="31.5" x14ac:dyDescent="0.25">
      <c r="A1103" s="345" t="s">
        <v>125</v>
      </c>
      <c r="B1103" s="591">
        <v>908</v>
      </c>
      <c r="C1103" s="346" t="s">
        <v>139</v>
      </c>
      <c r="D1103" s="346" t="s">
        <v>161</v>
      </c>
      <c r="E1103" s="341" t="s">
        <v>563</v>
      </c>
      <c r="F1103" s="346" t="s">
        <v>126</v>
      </c>
      <c r="G1103" s="300">
        <f>957+207.2+31.5</f>
        <v>1195.7</v>
      </c>
      <c r="H1103" s="532"/>
      <c r="I1103" s="532"/>
      <c r="J1103" s="302"/>
      <c r="K1103" s="129"/>
      <c r="AD1103" s="1"/>
      <c r="AE1103" s="1"/>
      <c r="AG1103" s="1"/>
      <c r="AH1103" s="1"/>
      <c r="AJ1103" s="1"/>
    </row>
    <row r="1104" spans="1:36" ht="15.75" hidden="1" x14ac:dyDescent="0.25">
      <c r="A1104" s="345" t="s">
        <v>127</v>
      </c>
      <c r="B1104" s="591">
        <v>908</v>
      </c>
      <c r="C1104" s="346" t="s">
        <v>139</v>
      </c>
      <c r="D1104" s="346" t="s">
        <v>161</v>
      </c>
      <c r="E1104" s="341" t="s">
        <v>563</v>
      </c>
      <c r="F1104" s="346" t="s">
        <v>134</v>
      </c>
      <c r="G1104" s="300">
        <f>G1105</f>
        <v>0</v>
      </c>
      <c r="H1104" s="532"/>
      <c r="I1104" s="532"/>
      <c r="J1104" s="302"/>
      <c r="K1104" s="129"/>
      <c r="AD1104" s="1"/>
      <c r="AE1104" s="1"/>
      <c r="AG1104" s="1"/>
      <c r="AH1104" s="1"/>
      <c r="AJ1104" s="1"/>
    </row>
    <row r="1105" spans="1:36" ht="15.75" hidden="1" x14ac:dyDescent="0.25">
      <c r="A1105" s="345" t="s">
        <v>280</v>
      </c>
      <c r="B1105" s="591">
        <v>908</v>
      </c>
      <c r="C1105" s="346" t="s">
        <v>139</v>
      </c>
      <c r="D1105" s="346" t="s">
        <v>161</v>
      </c>
      <c r="E1105" s="341" t="s">
        <v>563</v>
      </c>
      <c r="F1105" s="346" t="s">
        <v>130</v>
      </c>
      <c r="G1105" s="300">
        <v>0</v>
      </c>
      <c r="H1105" s="532"/>
      <c r="I1105" s="532"/>
      <c r="J1105" s="302"/>
      <c r="K1105" s="129"/>
      <c r="AD1105" s="1"/>
      <c r="AE1105" s="1"/>
      <c r="AG1105" s="1"/>
      <c r="AH1105" s="1"/>
      <c r="AJ1105" s="1"/>
    </row>
    <row r="1106" spans="1:36" ht="15.75" x14ac:dyDescent="0.25">
      <c r="A1106" s="298" t="s">
        <v>231</v>
      </c>
      <c r="B1106" s="296">
        <v>908</v>
      </c>
      <c r="C1106" s="299" t="s">
        <v>168</v>
      </c>
      <c r="D1106" s="299"/>
      <c r="E1106" s="299"/>
      <c r="F1106" s="299"/>
      <c r="G1106" s="297">
        <f>G1107+G1124+G1196+G1269</f>
        <v>152810.77351</v>
      </c>
      <c r="H1106" s="532"/>
      <c r="I1106" s="532"/>
      <c r="J1106" s="302"/>
      <c r="K1106" s="129"/>
      <c r="AD1106" s="1"/>
      <c r="AE1106" s="1"/>
      <c r="AG1106" s="1"/>
      <c r="AH1106" s="1"/>
      <c r="AJ1106" s="1"/>
    </row>
    <row r="1107" spans="1:36" ht="15.75" x14ac:dyDescent="0.25">
      <c r="A1107" s="298" t="s">
        <v>232</v>
      </c>
      <c r="B1107" s="296">
        <v>908</v>
      </c>
      <c r="C1107" s="299" t="s">
        <v>168</v>
      </c>
      <c r="D1107" s="299" t="s">
        <v>116</v>
      </c>
      <c r="E1107" s="299"/>
      <c r="F1107" s="299"/>
      <c r="G1107" s="297">
        <f>G1108</f>
        <v>18303.33654</v>
      </c>
      <c r="H1107" s="532"/>
      <c r="I1107" s="532"/>
      <c r="J1107" s="302"/>
      <c r="K1107" s="129"/>
      <c r="AD1107" s="1"/>
      <c r="AE1107" s="1"/>
      <c r="AG1107" s="1"/>
      <c r="AH1107" s="1"/>
      <c r="AJ1107" s="1"/>
    </row>
    <row r="1108" spans="1:36" ht="15.75" x14ac:dyDescent="0.25">
      <c r="A1108" s="298" t="s">
        <v>133</v>
      </c>
      <c r="B1108" s="296">
        <v>908</v>
      </c>
      <c r="C1108" s="299" t="s">
        <v>168</v>
      </c>
      <c r="D1108" s="299" t="s">
        <v>116</v>
      </c>
      <c r="E1108" s="299" t="s">
        <v>440</v>
      </c>
      <c r="F1108" s="299"/>
      <c r="G1108" s="297">
        <f>G1109</f>
        <v>18303.33654</v>
      </c>
      <c r="H1108" s="532"/>
      <c r="I1108" s="532"/>
      <c r="J1108" s="302"/>
      <c r="K1108" s="129"/>
      <c r="AD1108" s="1"/>
      <c r="AE1108" s="1"/>
      <c r="AG1108" s="1"/>
      <c r="AH1108" s="1"/>
      <c r="AJ1108" s="1"/>
    </row>
    <row r="1109" spans="1:36" ht="31.5" x14ac:dyDescent="0.25">
      <c r="A1109" s="298" t="s">
        <v>444</v>
      </c>
      <c r="B1109" s="296">
        <v>908</v>
      </c>
      <c r="C1109" s="299" t="s">
        <v>168</v>
      </c>
      <c r="D1109" s="299" t="s">
        <v>116</v>
      </c>
      <c r="E1109" s="299" t="s">
        <v>439</v>
      </c>
      <c r="F1109" s="299"/>
      <c r="G1109" s="297">
        <f>G1118+G1115+G1110+G1121</f>
        <v>18303.33654</v>
      </c>
      <c r="H1109" s="532"/>
      <c r="I1109" s="532"/>
      <c r="J1109" s="302"/>
      <c r="K1109" s="129"/>
      <c r="AD1109" s="1"/>
      <c r="AE1109" s="1"/>
      <c r="AG1109" s="1"/>
      <c r="AH1109" s="1"/>
      <c r="AJ1109" s="1"/>
    </row>
    <row r="1110" spans="1:36" ht="15.75" x14ac:dyDescent="0.25">
      <c r="A1110" s="345" t="s">
        <v>261</v>
      </c>
      <c r="B1110" s="591">
        <v>908</v>
      </c>
      <c r="C1110" s="346" t="s">
        <v>351</v>
      </c>
      <c r="D1110" s="346" t="s">
        <v>116</v>
      </c>
      <c r="E1110" s="346" t="s">
        <v>523</v>
      </c>
      <c r="F1110" s="299"/>
      <c r="G1110" s="300">
        <f>G1113+G1111</f>
        <v>300</v>
      </c>
      <c r="H1110" s="532"/>
      <c r="I1110" s="532"/>
      <c r="J1110" s="302"/>
      <c r="K1110" s="129"/>
      <c r="AD1110" s="1"/>
      <c r="AE1110" s="1"/>
      <c r="AG1110" s="1"/>
      <c r="AH1110" s="1"/>
      <c r="AJ1110" s="1"/>
    </row>
    <row r="1111" spans="1:36" s="129" customFormat="1" ht="31.5" x14ac:dyDescent="0.25">
      <c r="A1111" s="345" t="s">
        <v>123</v>
      </c>
      <c r="B1111" s="591">
        <v>908</v>
      </c>
      <c r="C1111" s="346" t="s">
        <v>168</v>
      </c>
      <c r="D1111" s="346" t="s">
        <v>116</v>
      </c>
      <c r="E1111" s="346" t="s">
        <v>523</v>
      </c>
      <c r="F1111" s="346" t="s">
        <v>124</v>
      </c>
      <c r="G1111" s="300">
        <f>G1112</f>
        <v>300</v>
      </c>
      <c r="H1111" s="532"/>
      <c r="I1111" s="532"/>
      <c r="J1111" s="302"/>
    </row>
    <row r="1112" spans="1:36" s="129" customFormat="1" ht="31.5" x14ac:dyDescent="0.25">
      <c r="A1112" s="345" t="s">
        <v>125</v>
      </c>
      <c r="B1112" s="591">
        <v>908</v>
      </c>
      <c r="C1112" s="346" t="s">
        <v>168</v>
      </c>
      <c r="D1112" s="346" t="s">
        <v>116</v>
      </c>
      <c r="E1112" s="346" t="s">
        <v>523</v>
      </c>
      <c r="F1112" s="346" t="s">
        <v>126</v>
      </c>
      <c r="G1112" s="300">
        <f>70+70+160</f>
        <v>300</v>
      </c>
      <c r="H1112" s="532"/>
      <c r="I1112" s="532"/>
      <c r="J1112" s="302"/>
    </row>
    <row r="1113" spans="1:36" ht="15.75" hidden="1" x14ac:dyDescent="0.25">
      <c r="A1113" s="345" t="s">
        <v>127</v>
      </c>
      <c r="B1113" s="591">
        <v>908</v>
      </c>
      <c r="C1113" s="346" t="s">
        <v>168</v>
      </c>
      <c r="D1113" s="346" t="s">
        <v>116</v>
      </c>
      <c r="E1113" s="346" t="s">
        <v>523</v>
      </c>
      <c r="F1113" s="346" t="s">
        <v>134</v>
      </c>
      <c r="G1113" s="300">
        <f>G1114</f>
        <v>0</v>
      </c>
      <c r="H1113" s="532"/>
      <c r="I1113" s="532"/>
      <c r="J1113" s="302"/>
      <c r="K1113" s="129"/>
      <c r="AD1113" s="1"/>
      <c r="AE1113" s="1"/>
      <c r="AG1113" s="1"/>
      <c r="AH1113" s="1"/>
      <c r="AJ1113" s="1"/>
    </row>
    <row r="1114" spans="1:36" ht="48.75" hidden="1" customHeight="1" x14ac:dyDescent="0.25">
      <c r="A1114" s="345" t="s">
        <v>148</v>
      </c>
      <c r="B1114" s="591">
        <v>908</v>
      </c>
      <c r="C1114" s="346" t="s">
        <v>168</v>
      </c>
      <c r="D1114" s="346" t="s">
        <v>116</v>
      </c>
      <c r="E1114" s="346" t="s">
        <v>523</v>
      </c>
      <c r="F1114" s="346" t="s">
        <v>142</v>
      </c>
      <c r="G1114" s="300"/>
      <c r="H1114" s="532"/>
      <c r="I1114" s="532"/>
      <c r="J1114" s="302"/>
      <c r="K1114" s="129"/>
      <c r="AD1114" s="1"/>
      <c r="AE1114" s="1"/>
      <c r="AG1114" s="1"/>
      <c r="AH1114" s="1"/>
      <c r="AJ1114" s="1"/>
    </row>
    <row r="1115" spans="1:36" ht="31.5" x14ac:dyDescent="0.25">
      <c r="A1115" s="20" t="s">
        <v>233</v>
      </c>
      <c r="B1115" s="591">
        <v>908</v>
      </c>
      <c r="C1115" s="346" t="s">
        <v>168</v>
      </c>
      <c r="D1115" s="346" t="s">
        <v>116</v>
      </c>
      <c r="E1115" s="346" t="s">
        <v>524</v>
      </c>
      <c r="F1115" s="299"/>
      <c r="G1115" s="300">
        <f>G1116</f>
        <v>4920.3999999999996</v>
      </c>
      <c r="H1115" s="532"/>
      <c r="I1115" s="532"/>
      <c r="J1115" s="302"/>
      <c r="K1115" s="129"/>
      <c r="AD1115" s="1"/>
      <c r="AE1115" s="1"/>
      <c r="AG1115" s="1"/>
      <c r="AH1115" s="1"/>
      <c r="AJ1115" s="1"/>
    </row>
    <row r="1116" spans="1:36" ht="31.5" x14ac:dyDescent="0.25">
      <c r="A1116" s="345" t="s">
        <v>123</v>
      </c>
      <c r="B1116" s="591">
        <v>908</v>
      </c>
      <c r="C1116" s="346" t="s">
        <v>168</v>
      </c>
      <c r="D1116" s="346" t="s">
        <v>116</v>
      </c>
      <c r="E1116" s="346" t="s">
        <v>524</v>
      </c>
      <c r="F1116" s="346" t="s">
        <v>124</v>
      </c>
      <c r="G1116" s="300">
        <f>G1117</f>
        <v>4920.3999999999996</v>
      </c>
      <c r="H1116" s="532"/>
      <c r="I1116" s="532"/>
      <c r="J1116" s="302"/>
      <c r="K1116" s="129"/>
      <c r="AD1116" s="1"/>
      <c r="AE1116" s="1"/>
      <c r="AG1116" s="1"/>
      <c r="AH1116" s="1"/>
      <c r="AJ1116" s="1"/>
    </row>
    <row r="1117" spans="1:36" ht="33" customHeight="1" x14ac:dyDescent="0.25">
      <c r="A1117" s="345" t="s">
        <v>125</v>
      </c>
      <c r="B1117" s="591">
        <v>908</v>
      </c>
      <c r="C1117" s="346" t="s">
        <v>168</v>
      </c>
      <c r="D1117" s="346" t="s">
        <v>116</v>
      </c>
      <c r="E1117" s="346" t="s">
        <v>524</v>
      </c>
      <c r="F1117" s="346" t="s">
        <v>126</v>
      </c>
      <c r="G1117" s="18">
        <v>4920.3999999999996</v>
      </c>
      <c r="H1117" s="532"/>
      <c r="I1117" s="532"/>
      <c r="J1117" s="302"/>
      <c r="K1117" s="129"/>
      <c r="AD1117" s="1"/>
      <c r="AE1117" s="1"/>
      <c r="AG1117" s="1"/>
      <c r="AH1117" s="1"/>
      <c r="AJ1117" s="1"/>
    </row>
    <row r="1118" spans="1:36" ht="31.5" x14ac:dyDescent="0.25">
      <c r="A1118" s="20" t="s">
        <v>501</v>
      </c>
      <c r="B1118" s="591">
        <v>908</v>
      </c>
      <c r="C1118" s="346" t="s">
        <v>168</v>
      </c>
      <c r="D1118" s="346" t="s">
        <v>116</v>
      </c>
      <c r="E1118" s="346" t="s">
        <v>525</v>
      </c>
      <c r="F1118" s="299"/>
      <c r="G1118" s="300">
        <f>G1119</f>
        <v>976.40000000000009</v>
      </c>
      <c r="H1118" s="532"/>
      <c r="I1118" s="532"/>
      <c r="J1118" s="302"/>
      <c r="K1118" s="129"/>
      <c r="AD1118" s="1"/>
      <c r="AE1118" s="1"/>
      <c r="AG1118" s="1"/>
      <c r="AH1118" s="1"/>
      <c r="AJ1118" s="1"/>
    </row>
    <row r="1119" spans="1:36" ht="31.5" x14ac:dyDescent="0.25">
      <c r="A1119" s="345" t="s">
        <v>123</v>
      </c>
      <c r="B1119" s="591">
        <v>908</v>
      </c>
      <c r="C1119" s="346" t="s">
        <v>168</v>
      </c>
      <c r="D1119" s="346" t="s">
        <v>116</v>
      </c>
      <c r="E1119" s="346" t="s">
        <v>525</v>
      </c>
      <c r="F1119" s="346" t="s">
        <v>124</v>
      </c>
      <c r="G1119" s="300">
        <f>G1120</f>
        <v>976.40000000000009</v>
      </c>
      <c r="H1119" s="532"/>
      <c r="I1119" s="532"/>
      <c r="J1119" s="302"/>
      <c r="K1119" s="129"/>
      <c r="AD1119" s="1"/>
      <c r="AE1119" s="1"/>
      <c r="AG1119" s="1"/>
      <c r="AH1119" s="1"/>
      <c r="AJ1119" s="1"/>
    </row>
    <row r="1120" spans="1:36" ht="33" customHeight="1" x14ac:dyDescent="0.25">
      <c r="A1120" s="345" t="s">
        <v>125</v>
      </c>
      <c r="B1120" s="591">
        <v>908</v>
      </c>
      <c r="C1120" s="346" t="s">
        <v>168</v>
      </c>
      <c r="D1120" s="346" t="s">
        <v>116</v>
      </c>
      <c r="E1120" s="346" t="s">
        <v>525</v>
      </c>
      <c r="F1120" s="346" t="s">
        <v>126</v>
      </c>
      <c r="G1120" s="300">
        <f>1140-3.6-160</f>
        <v>976.40000000000009</v>
      </c>
      <c r="H1120" s="532"/>
      <c r="I1120" s="532"/>
      <c r="J1120" s="302"/>
      <c r="K1120" s="320"/>
      <c r="AD1120" s="1"/>
      <c r="AE1120" s="1"/>
      <c r="AG1120" s="1"/>
      <c r="AH1120" s="1"/>
      <c r="AJ1120" s="1"/>
    </row>
    <row r="1121" spans="1:36" s="129" customFormat="1" ht="33" customHeight="1" x14ac:dyDescent="0.25">
      <c r="A1121" s="345" t="s">
        <v>1015</v>
      </c>
      <c r="B1121" s="591">
        <v>908</v>
      </c>
      <c r="C1121" s="346" t="s">
        <v>168</v>
      </c>
      <c r="D1121" s="346" t="s">
        <v>116</v>
      </c>
      <c r="E1121" s="346" t="s">
        <v>1016</v>
      </c>
      <c r="F1121" s="346"/>
      <c r="G1121" s="300">
        <f>G1122</f>
        <v>12106.536540000001</v>
      </c>
      <c r="H1121" s="532"/>
      <c r="I1121" s="532"/>
      <c r="J1121" s="302"/>
    </row>
    <row r="1122" spans="1:36" s="129" customFormat="1" ht="33" customHeight="1" x14ac:dyDescent="0.25">
      <c r="A1122" s="345" t="s">
        <v>123</v>
      </c>
      <c r="B1122" s="591">
        <v>908</v>
      </c>
      <c r="C1122" s="346" t="s">
        <v>168</v>
      </c>
      <c r="D1122" s="346" t="s">
        <v>116</v>
      </c>
      <c r="E1122" s="346" t="s">
        <v>1016</v>
      </c>
      <c r="F1122" s="346" t="s">
        <v>124</v>
      </c>
      <c r="G1122" s="300">
        <f>G1123</f>
        <v>12106.536540000001</v>
      </c>
      <c r="H1122" s="532"/>
      <c r="I1122" s="532"/>
      <c r="J1122" s="302"/>
    </row>
    <row r="1123" spans="1:36" s="129" customFormat="1" ht="33" customHeight="1" x14ac:dyDescent="0.25">
      <c r="A1123" s="345" t="s">
        <v>125</v>
      </c>
      <c r="B1123" s="591">
        <v>908</v>
      </c>
      <c r="C1123" s="346" t="s">
        <v>168</v>
      </c>
      <c r="D1123" s="346" t="s">
        <v>116</v>
      </c>
      <c r="E1123" s="346" t="s">
        <v>1016</v>
      </c>
      <c r="F1123" s="346" t="s">
        <v>126</v>
      </c>
      <c r="G1123" s="300">
        <f>6871.46205+517.20795+4396.16654+188+321.5-187.8</f>
        <v>12106.536540000001</v>
      </c>
      <c r="H1123" s="530"/>
      <c r="I1123" s="530"/>
      <c r="J1123" s="310"/>
    </row>
    <row r="1124" spans="1:36" ht="15.75" x14ac:dyDescent="0.25">
      <c r="A1124" s="298" t="s">
        <v>262</v>
      </c>
      <c r="B1124" s="296">
        <v>908</v>
      </c>
      <c r="C1124" s="299" t="s">
        <v>168</v>
      </c>
      <c r="D1124" s="299" t="s">
        <v>158</v>
      </c>
      <c r="E1124" s="299"/>
      <c r="F1124" s="299"/>
      <c r="G1124" s="297">
        <f>G1125+G1156+G1191</f>
        <v>50519.080010000005</v>
      </c>
      <c r="H1124" s="532"/>
      <c r="I1124" s="532"/>
      <c r="J1124" s="302"/>
      <c r="K1124" s="129"/>
      <c r="AD1124" s="1"/>
      <c r="AE1124" s="1"/>
      <c r="AG1124" s="1"/>
      <c r="AH1124" s="1"/>
      <c r="AJ1124" s="1"/>
    </row>
    <row r="1125" spans="1:36" s="129" customFormat="1" ht="15.75" x14ac:dyDescent="0.25">
      <c r="A1125" s="298" t="s">
        <v>133</v>
      </c>
      <c r="B1125" s="296">
        <v>908</v>
      </c>
      <c r="C1125" s="299" t="s">
        <v>168</v>
      </c>
      <c r="D1125" s="299" t="s">
        <v>158</v>
      </c>
      <c r="E1125" s="299" t="s">
        <v>440</v>
      </c>
      <c r="F1125" s="299"/>
      <c r="G1125" s="297">
        <f>G1126+G1139</f>
        <v>26627.920000000006</v>
      </c>
      <c r="H1125" s="532"/>
      <c r="I1125" s="532"/>
      <c r="J1125" s="302"/>
    </row>
    <row r="1126" spans="1:36" s="129" customFormat="1" ht="31.5" x14ac:dyDescent="0.25">
      <c r="A1126" s="298" t="s">
        <v>444</v>
      </c>
      <c r="B1126" s="296">
        <v>908</v>
      </c>
      <c r="C1126" s="299" t="s">
        <v>168</v>
      </c>
      <c r="D1126" s="299" t="s">
        <v>158</v>
      </c>
      <c r="E1126" s="299" t="s">
        <v>439</v>
      </c>
      <c r="F1126" s="299"/>
      <c r="G1126" s="297">
        <f>G1127+G1133</f>
        <v>26627.920000000006</v>
      </c>
      <c r="H1126" s="532"/>
      <c r="I1126" s="532"/>
      <c r="J1126" s="302"/>
    </row>
    <row r="1127" spans="1:36" s="129" customFormat="1" ht="15.75" x14ac:dyDescent="0.25">
      <c r="A1127" s="25" t="s">
        <v>271</v>
      </c>
      <c r="B1127" s="591">
        <v>908</v>
      </c>
      <c r="C1127" s="346" t="s">
        <v>168</v>
      </c>
      <c r="D1127" s="346" t="s">
        <v>158</v>
      </c>
      <c r="E1127" s="346" t="s">
        <v>542</v>
      </c>
      <c r="F1127" s="346"/>
      <c r="G1127" s="300">
        <f>G1128+G1130</f>
        <v>800.00000000000182</v>
      </c>
      <c r="H1127" s="532"/>
      <c r="I1127" s="532"/>
      <c r="J1127" s="302"/>
    </row>
    <row r="1128" spans="1:36" s="129" customFormat="1" ht="31.5" x14ac:dyDescent="0.25">
      <c r="A1128" s="345" t="s">
        <v>123</v>
      </c>
      <c r="B1128" s="591">
        <v>908</v>
      </c>
      <c r="C1128" s="346" t="s">
        <v>168</v>
      </c>
      <c r="D1128" s="346" t="s">
        <v>158</v>
      </c>
      <c r="E1128" s="346" t="s">
        <v>542</v>
      </c>
      <c r="F1128" s="346" t="s">
        <v>124</v>
      </c>
      <c r="G1128" s="300">
        <f>G1129</f>
        <v>800.00000000000182</v>
      </c>
      <c r="H1128" s="532"/>
      <c r="I1128" s="532"/>
      <c r="J1128" s="302"/>
    </row>
    <row r="1129" spans="1:36" s="129" customFormat="1" ht="31.5" x14ac:dyDescent="0.25">
      <c r="A1129" s="345" t="s">
        <v>125</v>
      </c>
      <c r="B1129" s="591">
        <v>908</v>
      </c>
      <c r="C1129" s="346" t="s">
        <v>168</v>
      </c>
      <c r="D1129" s="346" t="s">
        <v>158</v>
      </c>
      <c r="E1129" s="346" t="s">
        <v>542</v>
      </c>
      <c r="F1129" s="346" t="s">
        <v>126</v>
      </c>
      <c r="G1129" s="300">
        <f>4000+7196.6-1926.63-120-944.3+800-488.6-1691.5224-1344.7-4680.8476</f>
        <v>800.00000000000182</v>
      </c>
      <c r="H1129" s="530"/>
      <c r="I1129" s="530"/>
      <c r="J1129" s="318"/>
    </row>
    <row r="1130" spans="1:36" s="129" customFormat="1" ht="15.75" hidden="1" x14ac:dyDescent="0.25">
      <c r="A1130" s="345" t="s">
        <v>127</v>
      </c>
      <c r="B1130" s="591">
        <v>908</v>
      </c>
      <c r="C1130" s="346" t="s">
        <v>168</v>
      </c>
      <c r="D1130" s="346" t="s">
        <v>158</v>
      </c>
      <c r="E1130" s="346" t="s">
        <v>542</v>
      </c>
      <c r="F1130" s="346" t="s">
        <v>134</v>
      </c>
      <c r="G1130" s="300">
        <f>G1131+G1132</f>
        <v>0</v>
      </c>
      <c r="H1130" s="532"/>
      <c r="I1130" s="532"/>
      <c r="J1130" s="302"/>
    </row>
    <row r="1131" spans="1:36" s="129" customFormat="1" ht="47.25" hidden="1" x14ac:dyDescent="0.25">
      <c r="A1131" s="345" t="s">
        <v>148</v>
      </c>
      <c r="B1131" s="591">
        <v>908</v>
      </c>
      <c r="C1131" s="346" t="s">
        <v>168</v>
      </c>
      <c r="D1131" s="346" t="s">
        <v>158</v>
      </c>
      <c r="E1131" s="346" t="s">
        <v>542</v>
      </c>
      <c r="F1131" s="346" t="s">
        <v>142</v>
      </c>
      <c r="G1131" s="300">
        <v>0</v>
      </c>
      <c r="H1131" s="532"/>
      <c r="I1131" s="532"/>
      <c r="J1131" s="302"/>
    </row>
    <row r="1132" spans="1:36" s="129" customFormat="1" ht="15.75" hidden="1" x14ac:dyDescent="0.25">
      <c r="A1132" s="345" t="s">
        <v>135</v>
      </c>
      <c r="B1132" s="591">
        <v>908</v>
      </c>
      <c r="C1132" s="346" t="s">
        <v>168</v>
      </c>
      <c r="D1132" s="346" t="s">
        <v>158</v>
      </c>
      <c r="E1132" s="346" t="s">
        <v>542</v>
      </c>
      <c r="F1132" s="346" t="s">
        <v>136</v>
      </c>
      <c r="G1132" s="300">
        <v>0</v>
      </c>
      <c r="H1132" s="532"/>
      <c r="I1132" s="532"/>
      <c r="J1132" s="302"/>
    </row>
    <row r="1133" spans="1:36" s="129" customFormat="1" ht="31.5" x14ac:dyDescent="0.25">
      <c r="A1133" s="20" t="s">
        <v>501</v>
      </c>
      <c r="B1133" s="591">
        <v>908</v>
      </c>
      <c r="C1133" s="346" t="s">
        <v>168</v>
      </c>
      <c r="D1133" s="346" t="s">
        <v>158</v>
      </c>
      <c r="E1133" s="346" t="s">
        <v>525</v>
      </c>
      <c r="F1133" s="346"/>
      <c r="G1133" s="300">
        <f>G1136+G1134</f>
        <v>25827.920000000006</v>
      </c>
      <c r="H1133" s="532"/>
      <c r="I1133" s="532"/>
      <c r="J1133" s="302"/>
    </row>
    <row r="1134" spans="1:36" s="129" customFormat="1" ht="31.5" x14ac:dyDescent="0.25">
      <c r="A1134" s="345" t="s">
        <v>123</v>
      </c>
      <c r="B1134" s="591">
        <v>908</v>
      </c>
      <c r="C1134" s="346" t="s">
        <v>168</v>
      </c>
      <c r="D1134" s="346" t="s">
        <v>158</v>
      </c>
      <c r="E1134" s="346" t="s">
        <v>525</v>
      </c>
      <c r="F1134" s="346" t="s">
        <v>124</v>
      </c>
      <c r="G1134" s="300">
        <f>G1135</f>
        <v>24239.520000000004</v>
      </c>
      <c r="H1134" s="532"/>
      <c r="I1134" s="532"/>
      <c r="J1134" s="302"/>
    </row>
    <row r="1135" spans="1:36" s="129" customFormat="1" ht="31.5" x14ac:dyDescent="0.25">
      <c r="A1135" s="345" t="s">
        <v>125</v>
      </c>
      <c r="B1135" s="591">
        <v>908</v>
      </c>
      <c r="C1135" s="346" t="s">
        <v>168</v>
      </c>
      <c r="D1135" s="346" t="s">
        <v>158</v>
      </c>
      <c r="E1135" s="346" t="s">
        <v>525</v>
      </c>
      <c r="F1135" s="346" t="s">
        <v>126</v>
      </c>
      <c r="G1135" s="300">
        <f>6774.62+2692.6-1951.3-304.9+1599-431.6+56.2-700-328.2-500-223.4-919.5-160-669+9000+1708.6+10305-1708.6</f>
        <v>24239.520000000004</v>
      </c>
      <c r="H1135" s="532"/>
      <c r="I1135" s="532"/>
      <c r="J1135" s="302"/>
    </row>
    <row r="1136" spans="1:36" s="129" customFormat="1" ht="20.25" customHeight="1" x14ac:dyDescent="0.25">
      <c r="A1136" s="345" t="s">
        <v>127</v>
      </c>
      <c r="B1136" s="591">
        <v>908</v>
      </c>
      <c r="C1136" s="346" t="s">
        <v>168</v>
      </c>
      <c r="D1136" s="346" t="s">
        <v>158</v>
      </c>
      <c r="E1136" s="346" t="s">
        <v>525</v>
      </c>
      <c r="F1136" s="346" t="s">
        <v>134</v>
      </c>
      <c r="G1136" s="300">
        <f>G1137+G1138</f>
        <v>1588.4</v>
      </c>
      <c r="H1136" s="532"/>
      <c r="I1136" s="532"/>
      <c r="J1136" s="302"/>
    </row>
    <row r="1137" spans="1:36" ht="20.25" customHeight="1" x14ac:dyDescent="0.25">
      <c r="A1137" s="345" t="s">
        <v>135</v>
      </c>
      <c r="B1137" s="591">
        <v>908</v>
      </c>
      <c r="C1137" s="346" t="s">
        <v>168</v>
      </c>
      <c r="D1137" s="346" t="s">
        <v>158</v>
      </c>
      <c r="E1137" s="346" t="s">
        <v>525</v>
      </c>
      <c r="F1137" s="346" t="s">
        <v>136</v>
      </c>
      <c r="G1137" s="300">
        <v>107.9</v>
      </c>
      <c r="H1137" s="532"/>
      <c r="I1137" s="532"/>
      <c r="J1137" s="302"/>
      <c r="K1137" s="129"/>
      <c r="AD1137" s="1"/>
      <c r="AE1137" s="1"/>
      <c r="AG1137" s="1"/>
      <c r="AH1137" s="1"/>
      <c r="AJ1137" s="1"/>
    </row>
    <row r="1138" spans="1:36" s="344" customFormat="1" ht="20.25" customHeight="1" x14ac:dyDescent="0.25">
      <c r="A1138" s="345" t="s">
        <v>338</v>
      </c>
      <c r="B1138" s="591">
        <v>908</v>
      </c>
      <c r="C1138" s="346" t="s">
        <v>168</v>
      </c>
      <c r="D1138" s="346" t="s">
        <v>158</v>
      </c>
      <c r="E1138" s="346" t="s">
        <v>525</v>
      </c>
      <c r="F1138" s="346" t="s">
        <v>130</v>
      </c>
      <c r="G1138" s="300">
        <f>811.6+669-0.1</f>
        <v>1480.5</v>
      </c>
      <c r="H1138" s="532"/>
      <c r="I1138" s="532"/>
      <c r="J1138" s="302"/>
    </row>
    <row r="1139" spans="1:36" s="129" customFormat="1" ht="48.75" hidden="1" customHeight="1" x14ac:dyDescent="0.25">
      <c r="A1139" s="298" t="s">
        <v>574</v>
      </c>
      <c r="B1139" s="296">
        <v>908</v>
      </c>
      <c r="C1139" s="299" t="s">
        <v>168</v>
      </c>
      <c r="D1139" s="299" t="s">
        <v>158</v>
      </c>
      <c r="E1139" s="299" t="s">
        <v>543</v>
      </c>
      <c r="F1139" s="299"/>
      <c r="G1139" s="297">
        <f>G1140+G1148+G1145+G1153</f>
        <v>0</v>
      </c>
      <c r="H1139" s="532"/>
      <c r="I1139" s="532"/>
      <c r="J1139" s="302"/>
    </row>
    <row r="1140" spans="1:36" s="129" customFormat="1" ht="35.450000000000003" hidden="1" customHeight="1" x14ac:dyDescent="0.25">
      <c r="A1140" s="345" t="s">
        <v>402</v>
      </c>
      <c r="B1140" s="591">
        <v>908</v>
      </c>
      <c r="C1140" s="346" t="s">
        <v>168</v>
      </c>
      <c r="D1140" s="346" t="s">
        <v>158</v>
      </c>
      <c r="E1140" s="346" t="s">
        <v>544</v>
      </c>
      <c r="F1140" s="346"/>
      <c r="G1140" s="300">
        <f>G1141+G1143</f>
        <v>0</v>
      </c>
      <c r="H1140" s="532"/>
      <c r="I1140" s="532"/>
      <c r="J1140" s="302"/>
      <c r="K1140" s="302"/>
      <c r="L1140" s="68"/>
      <c r="M1140" s="68"/>
      <c r="N1140" s="72"/>
    </row>
    <row r="1141" spans="1:36" s="129" customFormat="1" ht="34.5" hidden="1" customHeight="1" x14ac:dyDescent="0.25">
      <c r="A1141" s="345" t="s">
        <v>123</v>
      </c>
      <c r="B1141" s="591">
        <v>908</v>
      </c>
      <c r="C1141" s="346" t="s">
        <v>168</v>
      </c>
      <c r="D1141" s="346" t="s">
        <v>158</v>
      </c>
      <c r="E1141" s="346" t="s">
        <v>544</v>
      </c>
      <c r="F1141" s="346" t="s">
        <v>124</v>
      </c>
      <c r="G1141" s="300">
        <f>G1142</f>
        <v>0</v>
      </c>
      <c r="H1141" s="532"/>
      <c r="I1141" s="532"/>
      <c r="J1141" s="302"/>
      <c r="K1141" s="302"/>
      <c r="L1141" s="68"/>
      <c r="M1141" s="68"/>
      <c r="N1141" s="72"/>
    </row>
    <row r="1142" spans="1:36" s="129" customFormat="1" ht="33" hidden="1" customHeight="1" x14ac:dyDescent="0.25">
      <c r="A1142" s="345" t="s">
        <v>125</v>
      </c>
      <c r="B1142" s="591">
        <v>908</v>
      </c>
      <c r="C1142" s="346" t="s">
        <v>168</v>
      </c>
      <c r="D1142" s="346" t="s">
        <v>158</v>
      </c>
      <c r="E1142" s="346" t="s">
        <v>544</v>
      </c>
      <c r="F1142" s="346" t="s">
        <v>126</v>
      </c>
      <c r="G1142" s="300"/>
      <c r="H1142" s="532"/>
      <c r="I1142" s="532"/>
      <c r="J1142" s="302"/>
      <c r="K1142" s="302"/>
      <c r="L1142" s="68"/>
      <c r="M1142" s="68"/>
      <c r="N1142" s="72"/>
    </row>
    <row r="1143" spans="1:36" s="129" customFormat="1" ht="20.25" hidden="1" customHeight="1" x14ac:dyDescent="0.25">
      <c r="A1143" s="345" t="s">
        <v>127</v>
      </c>
      <c r="B1143" s="591">
        <v>908</v>
      </c>
      <c r="C1143" s="346" t="s">
        <v>168</v>
      </c>
      <c r="D1143" s="346" t="s">
        <v>158</v>
      </c>
      <c r="E1143" s="346" t="s">
        <v>544</v>
      </c>
      <c r="F1143" s="346" t="s">
        <v>412</v>
      </c>
      <c r="G1143" s="300">
        <f>G1144</f>
        <v>0</v>
      </c>
      <c r="H1143" s="532"/>
      <c r="I1143" s="532"/>
      <c r="J1143" s="72"/>
      <c r="K1143" s="302"/>
      <c r="L1143" s="68"/>
      <c r="M1143" s="68"/>
      <c r="N1143" s="68"/>
    </row>
    <row r="1144" spans="1:36" s="129" customFormat="1" ht="20.25" hidden="1" customHeight="1" x14ac:dyDescent="0.25">
      <c r="A1144" s="345" t="s">
        <v>280</v>
      </c>
      <c r="B1144" s="591">
        <v>908</v>
      </c>
      <c r="C1144" s="346" t="s">
        <v>168</v>
      </c>
      <c r="D1144" s="346" t="s">
        <v>158</v>
      </c>
      <c r="E1144" s="346" t="s">
        <v>544</v>
      </c>
      <c r="F1144" s="346" t="s">
        <v>622</v>
      </c>
      <c r="G1144" s="300">
        <v>0</v>
      </c>
      <c r="H1144" s="532"/>
      <c r="I1144" s="532"/>
      <c r="J1144" s="72"/>
      <c r="K1144" s="302"/>
      <c r="L1144" s="68"/>
      <c r="M1144" s="68"/>
      <c r="N1144" s="68"/>
    </row>
    <row r="1145" spans="1:36" s="129" customFormat="1" ht="47.25" hidden="1" customHeight="1" x14ac:dyDescent="0.25">
      <c r="A1145" s="345" t="s">
        <v>369</v>
      </c>
      <c r="B1145" s="591">
        <v>908</v>
      </c>
      <c r="C1145" s="346" t="s">
        <v>168</v>
      </c>
      <c r="D1145" s="346" t="s">
        <v>158</v>
      </c>
      <c r="E1145" s="346" t="s">
        <v>545</v>
      </c>
      <c r="F1145" s="346"/>
      <c r="G1145" s="300">
        <f>G1146</f>
        <v>0</v>
      </c>
      <c r="H1145" s="532"/>
      <c r="I1145" s="532"/>
      <c r="J1145" s="72"/>
      <c r="K1145" s="302"/>
      <c r="L1145" s="68"/>
      <c r="M1145" s="68"/>
      <c r="N1145" s="68"/>
    </row>
    <row r="1146" spans="1:36" s="129" customFormat="1" ht="33.75" hidden="1" customHeight="1" x14ac:dyDescent="0.25">
      <c r="A1146" s="345" t="s">
        <v>123</v>
      </c>
      <c r="B1146" s="591">
        <v>908</v>
      </c>
      <c r="C1146" s="346" t="s">
        <v>168</v>
      </c>
      <c r="D1146" s="346" t="s">
        <v>158</v>
      </c>
      <c r="E1146" s="346" t="s">
        <v>545</v>
      </c>
      <c r="F1146" s="346" t="s">
        <v>124</v>
      </c>
      <c r="G1146" s="300">
        <f>G1147</f>
        <v>0</v>
      </c>
      <c r="H1146" s="532"/>
      <c r="I1146" s="532"/>
      <c r="J1146" s="72"/>
      <c r="K1146" s="302"/>
      <c r="L1146" s="68"/>
      <c r="M1146" s="68"/>
      <c r="N1146" s="68"/>
    </row>
    <row r="1147" spans="1:36" s="129" customFormat="1" ht="32.25" hidden="1" customHeight="1" x14ac:dyDescent="0.25">
      <c r="A1147" s="345" t="s">
        <v>125</v>
      </c>
      <c r="B1147" s="591">
        <v>908</v>
      </c>
      <c r="C1147" s="346" t="s">
        <v>168</v>
      </c>
      <c r="D1147" s="346" t="s">
        <v>158</v>
      </c>
      <c r="E1147" s="346" t="s">
        <v>545</v>
      </c>
      <c r="F1147" s="346" t="s">
        <v>126</v>
      </c>
      <c r="G1147" s="300">
        <v>0</v>
      </c>
      <c r="H1147" s="532"/>
      <c r="I1147" s="532"/>
      <c r="J1147" s="72"/>
      <c r="K1147" s="302"/>
      <c r="L1147" s="68"/>
      <c r="M1147" s="68"/>
      <c r="N1147" s="68"/>
    </row>
    <row r="1148" spans="1:36" s="129" customFormat="1" ht="47.25" hidden="1" customHeight="1" x14ac:dyDescent="0.25">
      <c r="A1148" s="66" t="s">
        <v>408</v>
      </c>
      <c r="B1148" s="591">
        <v>908</v>
      </c>
      <c r="C1148" s="346" t="s">
        <v>168</v>
      </c>
      <c r="D1148" s="346" t="s">
        <v>158</v>
      </c>
      <c r="E1148" s="346" t="s">
        <v>546</v>
      </c>
      <c r="F1148" s="346"/>
      <c r="G1148" s="300">
        <f>G1149+G1151</f>
        <v>0</v>
      </c>
      <c r="H1148" s="532"/>
      <c r="I1148" s="532"/>
      <c r="J1148" s="72"/>
      <c r="K1148" s="302"/>
      <c r="L1148" s="68"/>
      <c r="M1148" s="68"/>
      <c r="N1148" s="68"/>
    </row>
    <row r="1149" spans="1:36" s="129" customFormat="1" ht="34.5" hidden="1" customHeight="1" x14ac:dyDescent="0.25">
      <c r="A1149" s="345" t="s">
        <v>413</v>
      </c>
      <c r="B1149" s="591">
        <v>908</v>
      </c>
      <c r="C1149" s="346" t="s">
        <v>168</v>
      </c>
      <c r="D1149" s="346" t="s">
        <v>158</v>
      </c>
      <c r="E1149" s="346" t="s">
        <v>546</v>
      </c>
      <c r="F1149" s="346" t="s">
        <v>412</v>
      </c>
      <c r="G1149" s="300">
        <f>G1150</f>
        <v>0</v>
      </c>
      <c r="H1149" s="532"/>
      <c r="I1149" s="532"/>
      <c r="J1149" s="72"/>
      <c r="K1149" s="302"/>
      <c r="L1149" s="68"/>
      <c r="M1149" s="68"/>
      <c r="N1149" s="68"/>
    </row>
    <row r="1150" spans="1:36" s="129" customFormat="1" ht="47.25" hidden="1" customHeight="1" x14ac:dyDescent="0.25">
      <c r="A1150" s="345" t="s">
        <v>607</v>
      </c>
      <c r="B1150" s="591">
        <v>908</v>
      </c>
      <c r="C1150" s="346" t="s">
        <v>168</v>
      </c>
      <c r="D1150" s="346" t="s">
        <v>158</v>
      </c>
      <c r="E1150" s="346" t="s">
        <v>546</v>
      </c>
      <c r="F1150" s="346" t="s">
        <v>622</v>
      </c>
      <c r="G1150" s="300">
        <v>0</v>
      </c>
      <c r="H1150" s="532"/>
      <c r="I1150" s="532"/>
      <c r="J1150" s="72"/>
      <c r="K1150" s="302"/>
      <c r="L1150" s="68"/>
      <c r="M1150" s="68"/>
      <c r="N1150" s="68"/>
    </row>
    <row r="1151" spans="1:36" s="129" customFormat="1" ht="17.45" hidden="1" customHeight="1" x14ac:dyDescent="0.25">
      <c r="A1151" s="345" t="s">
        <v>127</v>
      </c>
      <c r="B1151" s="591">
        <v>908</v>
      </c>
      <c r="C1151" s="346" t="s">
        <v>168</v>
      </c>
      <c r="D1151" s="346" t="s">
        <v>158</v>
      </c>
      <c r="E1151" s="346" t="s">
        <v>546</v>
      </c>
      <c r="F1151" s="346" t="s">
        <v>134</v>
      </c>
      <c r="G1151" s="300">
        <f>G1152</f>
        <v>0</v>
      </c>
      <c r="H1151" s="532"/>
      <c r="I1151" s="532"/>
      <c r="J1151" s="72"/>
      <c r="K1151" s="302"/>
      <c r="L1151" s="68"/>
      <c r="M1151" s="68"/>
      <c r="N1151" s="68"/>
    </row>
    <row r="1152" spans="1:36" s="129" customFormat="1" ht="18.75" hidden="1" customHeight="1" x14ac:dyDescent="0.25">
      <c r="A1152" s="345" t="s">
        <v>338</v>
      </c>
      <c r="B1152" s="591">
        <v>908</v>
      </c>
      <c r="C1152" s="346" t="s">
        <v>168</v>
      </c>
      <c r="D1152" s="346" t="s">
        <v>158</v>
      </c>
      <c r="E1152" s="346" t="s">
        <v>546</v>
      </c>
      <c r="F1152" s="346" t="s">
        <v>130</v>
      </c>
      <c r="G1152" s="300">
        <v>0</v>
      </c>
      <c r="H1152" s="532"/>
      <c r="I1152" s="532"/>
      <c r="J1152" s="72"/>
      <c r="K1152" s="302"/>
      <c r="L1152" s="68"/>
      <c r="M1152" s="68"/>
      <c r="N1152" s="68"/>
    </row>
    <row r="1153" spans="1:36" s="129" customFormat="1" ht="38.25" hidden="1" customHeight="1" x14ac:dyDescent="0.25">
      <c r="A1153" s="345" t="s">
        <v>623</v>
      </c>
      <c r="B1153" s="591">
        <v>908</v>
      </c>
      <c r="C1153" s="346" t="s">
        <v>168</v>
      </c>
      <c r="D1153" s="346" t="s">
        <v>158</v>
      </c>
      <c r="E1153" s="346" t="s">
        <v>624</v>
      </c>
      <c r="F1153" s="346"/>
      <c r="G1153" s="300">
        <f>G1154</f>
        <v>0</v>
      </c>
      <c r="H1153" s="532"/>
      <c r="I1153" s="532"/>
      <c r="J1153" s="72"/>
      <c r="K1153" s="302"/>
      <c r="L1153" s="68"/>
      <c r="M1153" s="68"/>
      <c r="N1153" s="68"/>
    </row>
    <row r="1154" spans="1:36" s="129" customFormat="1" ht="32.25" hidden="1" customHeight="1" x14ac:dyDescent="0.25">
      <c r="A1154" s="345" t="s">
        <v>123</v>
      </c>
      <c r="B1154" s="591">
        <v>908</v>
      </c>
      <c r="C1154" s="346" t="s">
        <v>168</v>
      </c>
      <c r="D1154" s="346" t="s">
        <v>158</v>
      </c>
      <c r="E1154" s="346" t="s">
        <v>624</v>
      </c>
      <c r="F1154" s="346" t="s">
        <v>124</v>
      </c>
      <c r="G1154" s="300">
        <f>G1155</f>
        <v>0</v>
      </c>
      <c r="H1154" s="532"/>
      <c r="I1154" s="532"/>
      <c r="J1154" s="72"/>
      <c r="K1154" s="302"/>
      <c r="L1154" s="68"/>
      <c r="M1154" s="68"/>
      <c r="N1154" s="68"/>
    </row>
    <row r="1155" spans="1:36" s="129" customFormat="1" ht="35.450000000000003" hidden="1" customHeight="1" x14ac:dyDescent="0.25">
      <c r="A1155" s="345" t="s">
        <v>125</v>
      </c>
      <c r="B1155" s="591">
        <v>908</v>
      </c>
      <c r="C1155" s="346" t="s">
        <v>168</v>
      </c>
      <c r="D1155" s="346" t="s">
        <v>158</v>
      </c>
      <c r="E1155" s="346" t="s">
        <v>624</v>
      </c>
      <c r="F1155" s="346" t="s">
        <v>126</v>
      </c>
      <c r="G1155" s="300">
        <v>0</v>
      </c>
      <c r="H1155" s="532"/>
      <c r="I1155" s="532"/>
      <c r="J1155" s="72"/>
      <c r="K1155" s="302"/>
      <c r="L1155" s="68"/>
      <c r="M1155" s="68"/>
      <c r="N1155" s="68"/>
    </row>
    <row r="1156" spans="1:36" s="129" customFormat="1" ht="47.25" customHeight="1" x14ac:dyDescent="0.25">
      <c r="A1156" s="298" t="s">
        <v>983</v>
      </c>
      <c r="B1156" s="296">
        <v>908</v>
      </c>
      <c r="C1156" s="299" t="s">
        <v>168</v>
      </c>
      <c r="D1156" s="299" t="s">
        <v>158</v>
      </c>
      <c r="E1156" s="299" t="s">
        <v>263</v>
      </c>
      <c r="F1156" s="299"/>
      <c r="G1156" s="297">
        <f>G1157+G1161+G1167+G1171+G1183+G1179+G1175+G1187</f>
        <v>23837.760009999998</v>
      </c>
      <c r="H1156" s="532"/>
      <c r="I1156" s="532"/>
      <c r="J1156" s="72"/>
      <c r="K1156" s="302"/>
      <c r="L1156" s="68"/>
      <c r="M1156" s="68"/>
      <c r="N1156" s="72"/>
    </row>
    <row r="1157" spans="1:36" s="129" customFormat="1" ht="30.75" customHeight="1" x14ac:dyDescent="0.25">
      <c r="A1157" s="298" t="s">
        <v>526</v>
      </c>
      <c r="B1157" s="296">
        <v>908</v>
      </c>
      <c r="C1157" s="299" t="s">
        <v>168</v>
      </c>
      <c r="D1157" s="299" t="s">
        <v>158</v>
      </c>
      <c r="E1157" s="299" t="s">
        <v>528</v>
      </c>
      <c r="F1157" s="299"/>
      <c r="G1157" s="297">
        <f t="shared" ref="G1157:G1159" si="79">G1158</f>
        <v>507.4</v>
      </c>
      <c r="H1157" s="532"/>
      <c r="I1157" s="532"/>
      <c r="J1157" s="72"/>
      <c r="K1157" s="302"/>
      <c r="L1157" s="68"/>
      <c r="M1157" s="68"/>
      <c r="N1157" s="68"/>
    </row>
    <row r="1158" spans="1:36" ht="15.75" x14ac:dyDescent="0.25">
      <c r="A1158" s="29" t="s">
        <v>527</v>
      </c>
      <c r="B1158" s="591">
        <v>908</v>
      </c>
      <c r="C1158" s="341" t="s">
        <v>168</v>
      </c>
      <c r="D1158" s="341" t="s">
        <v>158</v>
      </c>
      <c r="E1158" s="346" t="s">
        <v>529</v>
      </c>
      <c r="F1158" s="341"/>
      <c r="G1158" s="300">
        <f t="shared" si="79"/>
        <v>507.4</v>
      </c>
      <c r="H1158" s="532"/>
      <c r="I1158" s="532"/>
      <c r="J1158" s="72"/>
      <c r="K1158" s="302"/>
      <c r="L1158" s="68"/>
      <c r="M1158" s="68"/>
      <c r="N1158" s="68"/>
      <c r="AD1158" s="1"/>
      <c r="AE1158" s="1"/>
      <c r="AG1158" s="1"/>
      <c r="AH1158" s="1"/>
      <c r="AJ1158" s="1"/>
    </row>
    <row r="1159" spans="1:36" ht="31.5" x14ac:dyDescent="0.25">
      <c r="A1159" s="22" t="s">
        <v>123</v>
      </c>
      <c r="B1159" s="591">
        <v>908</v>
      </c>
      <c r="C1159" s="341" t="s">
        <v>168</v>
      </c>
      <c r="D1159" s="341" t="s">
        <v>158</v>
      </c>
      <c r="E1159" s="346" t="s">
        <v>529</v>
      </c>
      <c r="F1159" s="341" t="s">
        <v>124</v>
      </c>
      <c r="G1159" s="300">
        <f t="shared" si="79"/>
        <v>507.4</v>
      </c>
      <c r="H1159" s="532"/>
      <c r="I1159" s="532"/>
      <c r="J1159" s="72"/>
      <c r="K1159" s="302"/>
      <c r="L1159" s="68"/>
      <c r="M1159" s="68"/>
      <c r="N1159" s="68"/>
      <c r="AD1159" s="1"/>
      <c r="AE1159" s="1"/>
      <c r="AG1159" s="1"/>
      <c r="AH1159" s="1"/>
      <c r="AJ1159" s="1"/>
    </row>
    <row r="1160" spans="1:36" ht="31.5" x14ac:dyDescent="0.25">
      <c r="A1160" s="22" t="s">
        <v>125</v>
      </c>
      <c r="B1160" s="591">
        <v>908</v>
      </c>
      <c r="C1160" s="341" t="s">
        <v>168</v>
      </c>
      <c r="D1160" s="341" t="s">
        <v>158</v>
      </c>
      <c r="E1160" s="346" t="s">
        <v>529</v>
      </c>
      <c r="F1160" s="341" t="s">
        <v>126</v>
      </c>
      <c r="G1160" s="300">
        <f>700-366.1-0.8+174.3</f>
        <v>507.4</v>
      </c>
      <c r="H1160" s="532"/>
      <c r="I1160" s="532"/>
      <c r="J1160" s="72"/>
      <c r="K1160" s="302"/>
      <c r="L1160" s="68"/>
      <c r="M1160" s="68"/>
      <c r="N1160" s="68"/>
      <c r="AD1160" s="1"/>
      <c r="AE1160" s="1"/>
      <c r="AG1160" s="1"/>
      <c r="AH1160" s="1"/>
      <c r="AJ1160" s="1"/>
    </row>
    <row r="1161" spans="1:36" s="129" customFormat="1" ht="15.75" x14ac:dyDescent="0.25">
      <c r="A1161" s="24" t="s">
        <v>530</v>
      </c>
      <c r="B1161" s="296">
        <v>908</v>
      </c>
      <c r="C1161" s="6" t="s">
        <v>168</v>
      </c>
      <c r="D1161" s="6" t="s">
        <v>158</v>
      </c>
      <c r="E1161" s="299" t="s">
        <v>531</v>
      </c>
      <c r="F1161" s="6"/>
      <c r="G1161" s="297">
        <f t="shared" ref="G1161:G1163" si="80">G1162</f>
        <v>48.4</v>
      </c>
      <c r="H1161" s="532"/>
      <c r="I1161" s="532"/>
      <c r="J1161" s="72"/>
      <c r="K1161" s="302"/>
      <c r="L1161" s="68"/>
      <c r="M1161" s="68"/>
      <c r="N1161" s="72"/>
    </row>
    <row r="1162" spans="1:36" ht="15.75" x14ac:dyDescent="0.25">
      <c r="A1162" s="29" t="s">
        <v>265</v>
      </c>
      <c r="B1162" s="591">
        <v>908</v>
      </c>
      <c r="C1162" s="341" t="s">
        <v>168</v>
      </c>
      <c r="D1162" s="341" t="s">
        <v>158</v>
      </c>
      <c r="E1162" s="346" t="s">
        <v>534</v>
      </c>
      <c r="F1162" s="341"/>
      <c r="G1162" s="300">
        <f>G1163+G1165</f>
        <v>48.4</v>
      </c>
      <c r="H1162" s="532"/>
      <c r="I1162" s="532"/>
      <c r="J1162" s="72"/>
      <c r="K1162" s="302"/>
      <c r="L1162" s="68"/>
      <c r="M1162" s="68"/>
      <c r="N1162" s="72"/>
      <c r="AD1162" s="1"/>
      <c r="AE1162" s="1"/>
      <c r="AG1162" s="1"/>
      <c r="AH1162" s="1"/>
      <c r="AJ1162" s="1"/>
    </row>
    <row r="1163" spans="1:36" ht="31.5" x14ac:dyDescent="0.25">
      <c r="A1163" s="22" t="s">
        <v>123</v>
      </c>
      <c r="B1163" s="591">
        <v>908</v>
      </c>
      <c r="C1163" s="341" t="s">
        <v>168</v>
      </c>
      <c r="D1163" s="341" t="s">
        <v>158</v>
      </c>
      <c r="E1163" s="346" t="s">
        <v>534</v>
      </c>
      <c r="F1163" s="341" t="s">
        <v>124</v>
      </c>
      <c r="G1163" s="300">
        <f t="shared" si="80"/>
        <v>30</v>
      </c>
      <c r="H1163" s="532"/>
      <c r="I1163" s="532"/>
      <c r="J1163" s="72"/>
      <c r="K1163" s="302"/>
      <c r="L1163" s="68"/>
      <c r="M1163" s="68"/>
      <c r="N1163" s="68"/>
      <c r="AD1163" s="1"/>
      <c r="AE1163" s="1"/>
      <c r="AG1163" s="1"/>
      <c r="AH1163" s="1"/>
      <c r="AJ1163" s="1"/>
    </row>
    <row r="1164" spans="1:36" ht="31.5" x14ac:dyDescent="0.25">
      <c r="A1164" s="22" t="s">
        <v>125</v>
      </c>
      <c r="B1164" s="591">
        <v>908</v>
      </c>
      <c r="C1164" s="341" t="s">
        <v>168</v>
      </c>
      <c r="D1164" s="341" t="s">
        <v>158</v>
      </c>
      <c r="E1164" s="346" t="s">
        <v>534</v>
      </c>
      <c r="F1164" s="341" t="s">
        <v>126</v>
      </c>
      <c r="G1164" s="295">
        <f>75-48.4+30+75-101.6</f>
        <v>30</v>
      </c>
      <c r="H1164" s="532"/>
      <c r="I1164" s="532"/>
      <c r="J1164" s="72"/>
      <c r="K1164" s="302"/>
      <c r="L1164" s="68"/>
      <c r="M1164" s="68"/>
      <c r="N1164" s="68"/>
      <c r="AD1164" s="1"/>
      <c r="AE1164" s="1"/>
      <c r="AG1164" s="1"/>
      <c r="AH1164" s="1"/>
      <c r="AJ1164" s="1"/>
    </row>
    <row r="1165" spans="1:36" s="344" customFormat="1" ht="15.75" x14ac:dyDescent="0.25">
      <c r="A1165" s="345" t="s">
        <v>127</v>
      </c>
      <c r="B1165" s="591">
        <v>908</v>
      </c>
      <c r="C1165" s="341" t="s">
        <v>168</v>
      </c>
      <c r="D1165" s="341" t="s">
        <v>158</v>
      </c>
      <c r="E1165" s="346" t="s">
        <v>534</v>
      </c>
      <c r="F1165" s="341" t="s">
        <v>134</v>
      </c>
      <c r="G1165" s="295">
        <f>G1166</f>
        <v>18.399999999999999</v>
      </c>
      <c r="H1165" s="532"/>
      <c r="I1165" s="532"/>
      <c r="J1165" s="72"/>
      <c r="K1165" s="302"/>
      <c r="L1165" s="302"/>
      <c r="M1165" s="302"/>
      <c r="N1165" s="302"/>
    </row>
    <row r="1166" spans="1:36" s="344" customFormat="1" ht="15.75" x14ac:dyDescent="0.25">
      <c r="A1166" s="345" t="s">
        <v>1321</v>
      </c>
      <c r="B1166" s="591">
        <v>908</v>
      </c>
      <c r="C1166" s="341" t="s">
        <v>168</v>
      </c>
      <c r="D1166" s="341" t="s">
        <v>158</v>
      </c>
      <c r="E1166" s="346" t="s">
        <v>534</v>
      </c>
      <c r="F1166" s="341" t="s">
        <v>136</v>
      </c>
      <c r="G1166" s="295">
        <v>18.399999999999999</v>
      </c>
      <c r="H1166" s="532"/>
      <c r="I1166" s="532"/>
      <c r="J1166" s="72"/>
      <c r="K1166" s="302"/>
      <c r="L1166" s="302"/>
      <c r="M1166" s="302"/>
      <c r="N1166" s="302"/>
    </row>
    <row r="1167" spans="1:36" s="129" customFormat="1" ht="16.5" customHeight="1" x14ac:dyDescent="0.25">
      <c r="A1167" s="34" t="s">
        <v>532</v>
      </c>
      <c r="B1167" s="296">
        <v>908</v>
      </c>
      <c r="C1167" s="6" t="s">
        <v>168</v>
      </c>
      <c r="D1167" s="6" t="s">
        <v>158</v>
      </c>
      <c r="E1167" s="299" t="s">
        <v>533</v>
      </c>
      <c r="F1167" s="6"/>
      <c r="G1167" s="294">
        <f t="shared" ref="G1167:G1169" si="81">G1168</f>
        <v>500</v>
      </c>
      <c r="H1167" s="532"/>
      <c r="I1167" s="532"/>
      <c r="J1167" s="72"/>
      <c r="K1167" s="302"/>
      <c r="L1167" s="68"/>
      <c r="M1167" s="68"/>
      <c r="N1167" s="68"/>
    </row>
    <row r="1168" spans="1:36" ht="15.75" x14ac:dyDescent="0.25">
      <c r="A1168" s="29" t="s">
        <v>266</v>
      </c>
      <c r="B1168" s="591">
        <v>908</v>
      </c>
      <c r="C1168" s="341" t="s">
        <v>168</v>
      </c>
      <c r="D1168" s="341" t="s">
        <v>158</v>
      </c>
      <c r="E1168" s="346" t="s">
        <v>535</v>
      </c>
      <c r="F1168" s="341"/>
      <c r="G1168" s="300">
        <f t="shared" si="81"/>
        <v>500</v>
      </c>
      <c r="H1168" s="532"/>
      <c r="I1168" s="532"/>
      <c r="J1168" s="72"/>
      <c r="K1168" s="302"/>
      <c r="L1168" s="68"/>
      <c r="M1168" s="68"/>
      <c r="N1168" s="68"/>
      <c r="AD1168" s="1"/>
      <c r="AE1168" s="1"/>
      <c r="AG1168" s="1"/>
      <c r="AH1168" s="1"/>
      <c r="AJ1168" s="1"/>
    </row>
    <row r="1169" spans="1:36" ht="31.5" x14ac:dyDescent="0.25">
      <c r="A1169" s="22" t="s">
        <v>123</v>
      </c>
      <c r="B1169" s="591">
        <v>908</v>
      </c>
      <c r="C1169" s="341" t="s">
        <v>168</v>
      </c>
      <c r="D1169" s="341" t="s">
        <v>158</v>
      </c>
      <c r="E1169" s="346" t="s">
        <v>535</v>
      </c>
      <c r="F1169" s="341" t="s">
        <v>124</v>
      </c>
      <c r="G1169" s="300">
        <f t="shared" si="81"/>
        <v>500</v>
      </c>
      <c r="H1169" s="532"/>
      <c r="I1169" s="532"/>
      <c r="J1169" s="72"/>
      <c r="K1169" s="302"/>
      <c r="L1169" s="68"/>
      <c r="M1169" s="68"/>
      <c r="N1169" s="68"/>
      <c r="AD1169" s="1"/>
      <c r="AE1169" s="1"/>
      <c r="AG1169" s="1"/>
      <c r="AH1169" s="1"/>
      <c r="AJ1169" s="1"/>
    </row>
    <row r="1170" spans="1:36" ht="31.5" x14ac:dyDescent="0.25">
      <c r="A1170" s="22" t="s">
        <v>125</v>
      </c>
      <c r="B1170" s="591">
        <v>908</v>
      </c>
      <c r="C1170" s="341" t="s">
        <v>168</v>
      </c>
      <c r="D1170" s="341" t="s">
        <v>158</v>
      </c>
      <c r="E1170" s="346" t="s">
        <v>535</v>
      </c>
      <c r="F1170" s="341" t="s">
        <v>126</v>
      </c>
      <c r="G1170" s="295">
        <f>3000+5190-8190+500</f>
        <v>500</v>
      </c>
      <c r="H1170" s="532"/>
      <c r="I1170" s="532"/>
      <c r="J1170" s="72"/>
      <c r="K1170" s="302"/>
      <c r="L1170" s="68"/>
      <c r="M1170" s="68"/>
      <c r="N1170" s="68"/>
      <c r="AD1170" s="1"/>
      <c r="AE1170" s="1"/>
      <c r="AG1170" s="1"/>
      <c r="AH1170" s="1"/>
      <c r="AJ1170" s="1"/>
    </row>
    <row r="1171" spans="1:36" s="129" customFormat="1" ht="31.5" hidden="1" x14ac:dyDescent="0.25">
      <c r="A1171" s="34" t="s">
        <v>536</v>
      </c>
      <c r="B1171" s="296">
        <v>908</v>
      </c>
      <c r="C1171" s="6" t="s">
        <v>168</v>
      </c>
      <c r="D1171" s="6" t="s">
        <v>158</v>
      </c>
      <c r="E1171" s="299" t="s">
        <v>537</v>
      </c>
      <c r="F1171" s="6"/>
      <c r="G1171" s="294">
        <f t="shared" ref="G1171:G1173" si="82">G1172</f>
        <v>0</v>
      </c>
      <c r="H1171" s="532"/>
      <c r="I1171" s="532"/>
      <c r="J1171" s="72"/>
      <c r="K1171" s="302"/>
      <c r="L1171" s="68"/>
      <c r="M1171" s="68"/>
      <c r="N1171" s="68"/>
    </row>
    <row r="1172" spans="1:36" ht="15.75" hidden="1" x14ac:dyDescent="0.25">
      <c r="A1172" s="29" t="s">
        <v>267</v>
      </c>
      <c r="B1172" s="591">
        <v>908</v>
      </c>
      <c r="C1172" s="341" t="s">
        <v>168</v>
      </c>
      <c r="D1172" s="341" t="s">
        <v>158</v>
      </c>
      <c r="E1172" s="346" t="s">
        <v>538</v>
      </c>
      <c r="F1172" s="341"/>
      <c r="G1172" s="300">
        <f t="shared" si="82"/>
        <v>0</v>
      </c>
      <c r="H1172" s="532"/>
      <c r="I1172" s="532"/>
      <c r="J1172" s="72"/>
      <c r="K1172" s="302"/>
      <c r="L1172" s="68"/>
      <c r="M1172" s="68"/>
      <c r="N1172" s="68"/>
      <c r="AD1172" s="1"/>
      <c r="AE1172" s="1"/>
      <c r="AG1172" s="1"/>
      <c r="AH1172" s="1"/>
      <c r="AJ1172" s="1"/>
    </row>
    <row r="1173" spans="1:36" ht="31.5" hidden="1" x14ac:dyDescent="0.25">
      <c r="A1173" s="22" t="s">
        <v>123</v>
      </c>
      <c r="B1173" s="591">
        <v>908</v>
      </c>
      <c r="C1173" s="341" t="s">
        <v>168</v>
      </c>
      <c r="D1173" s="341" t="s">
        <v>158</v>
      </c>
      <c r="E1173" s="346" t="s">
        <v>538</v>
      </c>
      <c r="F1173" s="341" t="s">
        <v>124</v>
      </c>
      <c r="G1173" s="300">
        <f t="shared" si="82"/>
        <v>0</v>
      </c>
      <c r="H1173" s="532"/>
      <c r="I1173" s="532"/>
      <c r="J1173" s="72"/>
      <c r="K1173" s="302"/>
      <c r="L1173" s="68"/>
      <c r="M1173" s="68"/>
      <c r="N1173" s="68"/>
      <c r="AD1173" s="1"/>
      <c r="AE1173" s="1"/>
      <c r="AG1173" s="1"/>
      <c r="AH1173" s="1"/>
      <c r="AJ1173" s="1"/>
    </row>
    <row r="1174" spans="1:36" ht="31.5" hidden="1" x14ac:dyDescent="0.25">
      <c r="A1174" s="22" t="s">
        <v>125</v>
      </c>
      <c r="B1174" s="591">
        <v>908</v>
      </c>
      <c r="C1174" s="341" t="s">
        <v>168</v>
      </c>
      <c r="D1174" s="341" t="s">
        <v>158</v>
      </c>
      <c r="E1174" s="346" t="s">
        <v>538</v>
      </c>
      <c r="F1174" s="341" t="s">
        <v>126</v>
      </c>
      <c r="G1174" s="295"/>
      <c r="H1174" s="532"/>
      <c r="I1174" s="532"/>
      <c r="J1174" s="72"/>
      <c r="K1174" s="302"/>
      <c r="L1174" s="68"/>
      <c r="M1174" s="68"/>
      <c r="N1174" s="68"/>
      <c r="AD1174" s="1"/>
      <c r="AE1174" s="1"/>
      <c r="AG1174" s="1"/>
      <c r="AH1174" s="1"/>
      <c r="AJ1174" s="1"/>
    </row>
    <row r="1175" spans="1:36" s="129" customFormat="1" ht="31.7" customHeight="1" x14ac:dyDescent="0.25">
      <c r="A1175" s="24" t="s">
        <v>575</v>
      </c>
      <c r="B1175" s="296">
        <v>908</v>
      </c>
      <c r="C1175" s="6" t="s">
        <v>168</v>
      </c>
      <c r="D1175" s="6" t="s">
        <v>158</v>
      </c>
      <c r="E1175" s="299" t="s">
        <v>576</v>
      </c>
      <c r="F1175" s="6"/>
      <c r="G1175" s="294">
        <f t="shared" ref="G1175:G1177" si="83">G1176</f>
        <v>85.960000000000036</v>
      </c>
      <c r="H1175" s="532"/>
      <c r="I1175" s="532"/>
      <c r="J1175" s="72"/>
      <c r="K1175" s="302"/>
      <c r="L1175" s="68"/>
      <c r="M1175" s="68"/>
      <c r="N1175" s="68"/>
    </row>
    <row r="1176" spans="1:36" ht="15.75" x14ac:dyDescent="0.25">
      <c r="A1176" s="29" t="s">
        <v>268</v>
      </c>
      <c r="B1176" s="591">
        <v>908</v>
      </c>
      <c r="C1176" s="341" t="s">
        <v>168</v>
      </c>
      <c r="D1176" s="341" t="s">
        <v>158</v>
      </c>
      <c r="E1176" s="346" t="s">
        <v>579</v>
      </c>
      <c r="F1176" s="341"/>
      <c r="G1176" s="300">
        <f t="shared" si="83"/>
        <v>85.960000000000036</v>
      </c>
      <c r="H1176" s="532"/>
      <c r="I1176" s="532"/>
      <c r="J1176" s="72"/>
      <c r="K1176" s="302"/>
      <c r="L1176" s="68"/>
      <c r="M1176" s="68"/>
      <c r="N1176" s="68"/>
      <c r="AD1176" s="1"/>
      <c r="AE1176" s="1"/>
      <c r="AG1176" s="1"/>
      <c r="AH1176" s="1"/>
      <c r="AJ1176" s="1"/>
    </row>
    <row r="1177" spans="1:36" ht="31.5" x14ac:dyDescent="0.25">
      <c r="A1177" s="22" t="s">
        <v>123</v>
      </c>
      <c r="B1177" s="591">
        <v>908</v>
      </c>
      <c r="C1177" s="341" t="s">
        <v>168</v>
      </c>
      <c r="D1177" s="341" t="s">
        <v>158</v>
      </c>
      <c r="E1177" s="346" t="s">
        <v>579</v>
      </c>
      <c r="F1177" s="341" t="s">
        <v>124</v>
      </c>
      <c r="G1177" s="300">
        <f t="shared" si="83"/>
        <v>85.960000000000036</v>
      </c>
      <c r="H1177" s="532"/>
      <c r="I1177" s="532"/>
      <c r="J1177" s="72"/>
      <c r="K1177" s="302"/>
      <c r="L1177" s="68"/>
      <c r="M1177" s="68"/>
      <c r="N1177" s="68"/>
      <c r="AD1177" s="1"/>
      <c r="AE1177" s="1"/>
      <c r="AG1177" s="1"/>
      <c r="AH1177" s="1"/>
      <c r="AJ1177" s="1"/>
    </row>
    <row r="1178" spans="1:36" ht="31.5" x14ac:dyDescent="0.25">
      <c r="A1178" s="22" t="s">
        <v>125</v>
      </c>
      <c r="B1178" s="591">
        <v>908</v>
      </c>
      <c r="C1178" s="341" t="s">
        <v>168</v>
      </c>
      <c r="D1178" s="341" t="s">
        <v>158</v>
      </c>
      <c r="E1178" s="346" t="s">
        <v>579</v>
      </c>
      <c r="F1178" s="341" t="s">
        <v>126</v>
      </c>
      <c r="G1178" s="300">
        <f>291.1-106.5+85.86-184.5</f>
        <v>85.960000000000036</v>
      </c>
      <c r="H1178" s="532"/>
      <c r="I1178" s="532"/>
      <c r="J1178" s="72"/>
      <c r="K1178" s="302"/>
      <c r="L1178" s="68"/>
      <c r="M1178" s="68"/>
      <c r="N1178" s="68"/>
      <c r="AD1178" s="1"/>
      <c r="AE1178" s="1"/>
      <c r="AG1178" s="1"/>
      <c r="AH1178" s="1"/>
      <c r="AJ1178" s="1"/>
    </row>
    <row r="1179" spans="1:36" s="129" customFormat="1" ht="31.5" hidden="1" x14ac:dyDescent="0.25">
      <c r="A1179" s="141" t="s">
        <v>577</v>
      </c>
      <c r="B1179" s="296">
        <v>908</v>
      </c>
      <c r="C1179" s="6" t="s">
        <v>168</v>
      </c>
      <c r="D1179" s="6" t="s">
        <v>158</v>
      </c>
      <c r="E1179" s="299" t="s">
        <v>578</v>
      </c>
      <c r="F1179" s="6"/>
      <c r="G1179" s="297">
        <f t="shared" ref="G1179:G1181" si="84">G1180</f>
        <v>0</v>
      </c>
      <c r="H1179" s="532"/>
      <c r="I1179" s="532"/>
      <c r="J1179" s="72"/>
      <c r="K1179" s="302"/>
      <c r="L1179" s="68"/>
      <c r="M1179" s="68"/>
      <c r="N1179" s="68"/>
    </row>
    <row r="1180" spans="1:36" ht="21.75" hidden="1" customHeight="1" x14ac:dyDescent="0.25">
      <c r="A1180" s="100" t="s">
        <v>269</v>
      </c>
      <c r="B1180" s="591">
        <v>908</v>
      </c>
      <c r="C1180" s="341" t="s">
        <v>168</v>
      </c>
      <c r="D1180" s="341" t="s">
        <v>158</v>
      </c>
      <c r="E1180" s="346" t="s">
        <v>580</v>
      </c>
      <c r="F1180" s="341"/>
      <c r="G1180" s="300">
        <f t="shared" si="84"/>
        <v>0</v>
      </c>
      <c r="H1180" s="532"/>
      <c r="I1180" s="532"/>
      <c r="J1180" s="72"/>
      <c r="K1180" s="302"/>
      <c r="L1180" s="68"/>
      <c r="M1180" s="68"/>
      <c r="N1180" s="68"/>
      <c r="AD1180" s="1"/>
      <c r="AE1180" s="1"/>
      <c r="AG1180" s="1"/>
      <c r="AH1180" s="1"/>
      <c r="AJ1180" s="1"/>
    </row>
    <row r="1181" spans="1:36" ht="31.7" hidden="1" customHeight="1" x14ac:dyDescent="0.25">
      <c r="A1181" s="22" t="s">
        <v>123</v>
      </c>
      <c r="B1181" s="591">
        <v>908</v>
      </c>
      <c r="C1181" s="341" t="s">
        <v>168</v>
      </c>
      <c r="D1181" s="341" t="s">
        <v>158</v>
      </c>
      <c r="E1181" s="346" t="s">
        <v>580</v>
      </c>
      <c r="F1181" s="341" t="s">
        <v>124</v>
      </c>
      <c r="G1181" s="300">
        <f t="shared" si="84"/>
        <v>0</v>
      </c>
      <c r="H1181" s="532"/>
      <c r="I1181" s="532"/>
      <c r="J1181" s="72"/>
      <c r="K1181" s="302"/>
      <c r="L1181" s="68"/>
      <c r="M1181" s="68"/>
      <c r="N1181" s="68"/>
      <c r="AD1181" s="1"/>
      <c r="AE1181" s="1"/>
      <c r="AG1181" s="1"/>
      <c r="AH1181" s="1"/>
      <c r="AJ1181" s="1"/>
    </row>
    <row r="1182" spans="1:36" ht="36" hidden="1" customHeight="1" x14ac:dyDescent="0.25">
      <c r="A1182" s="22" t="s">
        <v>125</v>
      </c>
      <c r="B1182" s="591">
        <v>908</v>
      </c>
      <c r="C1182" s="341" t="s">
        <v>168</v>
      </c>
      <c r="D1182" s="341" t="s">
        <v>158</v>
      </c>
      <c r="E1182" s="346" t="s">
        <v>580</v>
      </c>
      <c r="F1182" s="341" t="s">
        <v>126</v>
      </c>
      <c r="G1182" s="300">
        <v>0</v>
      </c>
      <c r="H1182" s="532"/>
      <c r="I1182" s="532"/>
      <c r="J1182" s="72"/>
      <c r="K1182" s="302"/>
      <c r="L1182" s="68"/>
      <c r="M1182" s="68"/>
      <c r="N1182" s="68"/>
      <c r="AD1182" s="1"/>
      <c r="AE1182" s="1"/>
      <c r="AG1182" s="1"/>
      <c r="AH1182" s="1"/>
      <c r="AJ1182" s="1"/>
    </row>
    <row r="1183" spans="1:36" s="129" customFormat="1" ht="31.7" hidden="1" customHeight="1" x14ac:dyDescent="0.25">
      <c r="A1183" s="141" t="s">
        <v>540</v>
      </c>
      <c r="B1183" s="296">
        <v>908</v>
      </c>
      <c r="C1183" s="6" t="s">
        <v>168</v>
      </c>
      <c r="D1183" s="6" t="s">
        <v>158</v>
      </c>
      <c r="E1183" s="299" t="s">
        <v>541</v>
      </c>
      <c r="F1183" s="6"/>
      <c r="G1183" s="297">
        <f t="shared" ref="G1183:G1185" si="85">G1184</f>
        <v>0</v>
      </c>
      <c r="H1183" s="544"/>
      <c r="I1183" s="544"/>
      <c r="J1183" s="72"/>
      <c r="K1183" s="302"/>
      <c r="L1183" s="68"/>
      <c r="M1183" s="68"/>
      <c r="N1183" s="68"/>
    </row>
    <row r="1184" spans="1:36" ht="15.75" hidden="1" x14ac:dyDescent="0.25">
      <c r="A1184" s="100" t="s">
        <v>270</v>
      </c>
      <c r="B1184" s="591">
        <v>908</v>
      </c>
      <c r="C1184" s="341" t="s">
        <v>168</v>
      </c>
      <c r="D1184" s="341" t="s">
        <v>158</v>
      </c>
      <c r="E1184" s="346" t="s">
        <v>539</v>
      </c>
      <c r="F1184" s="341"/>
      <c r="G1184" s="300">
        <f t="shared" si="85"/>
        <v>0</v>
      </c>
      <c r="H1184" s="532"/>
      <c r="I1184" s="532"/>
      <c r="J1184" s="72"/>
      <c r="K1184" s="302"/>
      <c r="AD1184" s="1"/>
      <c r="AE1184" s="1"/>
      <c r="AG1184" s="1"/>
      <c r="AH1184" s="1"/>
      <c r="AJ1184" s="1"/>
    </row>
    <row r="1185" spans="1:36" ht="31.5" hidden="1" x14ac:dyDescent="0.25">
      <c r="A1185" s="345" t="s">
        <v>123</v>
      </c>
      <c r="B1185" s="591">
        <v>908</v>
      </c>
      <c r="C1185" s="341" t="s">
        <v>168</v>
      </c>
      <c r="D1185" s="341" t="s">
        <v>158</v>
      </c>
      <c r="E1185" s="346" t="s">
        <v>539</v>
      </c>
      <c r="F1185" s="341" t="s">
        <v>124</v>
      </c>
      <c r="G1185" s="300">
        <f t="shared" si="85"/>
        <v>0</v>
      </c>
      <c r="H1185" s="532"/>
      <c r="I1185" s="532"/>
      <c r="J1185" s="72"/>
      <c r="K1185" s="129"/>
      <c r="AD1185" s="1"/>
      <c r="AE1185" s="1"/>
      <c r="AG1185" s="1"/>
      <c r="AH1185" s="1"/>
      <c r="AJ1185" s="1"/>
    </row>
    <row r="1186" spans="1:36" ht="31.5" hidden="1" x14ac:dyDescent="0.25">
      <c r="A1186" s="345" t="s">
        <v>125</v>
      </c>
      <c r="B1186" s="591">
        <v>908</v>
      </c>
      <c r="C1186" s="341" t="s">
        <v>168</v>
      </c>
      <c r="D1186" s="341" t="s">
        <v>158</v>
      </c>
      <c r="E1186" s="346" t="s">
        <v>539</v>
      </c>
      <c r="F1186" s="341" t="s">
        <v>126</v>
      </c>
      <c r="G1186" s="300"/>
      <c r="H1186" s="532"/>
      <c r="I1186" s="532"/>
      <c r="J1186" s="72"/>
      <c r="K1186" s="129"/>
      <c r="AD1186" s="1"/>
      <c r="AE1186" s="1"/>
      <c r="AG1186" s="1"/>
      <c r="AH1186" s="1"/>
      <c r="AJ1186" s="1"/>
    </row>
    <row r="1187" spans="1:36" s="344" customFormat="1" ht="31.15" customHeight="1" x14ac:dyDescent="0.25">
      <c r="A1187" s="298" t="s">
        <v>1311</v>
      </c>
      <c r="B1187" s="296">
        <v>908</v>
      </c>
      <c r="C1187" s="6" t="s">
        <v>168</v>
      </c>
      <c r="D1187" s="6" t="s">
        <v>158</v>
      </c>
      <c r="E1187" s="299" t="s">
        <v>1313</v>
      </c>
      <c r="F1187" s="6"/>
      <c r="G1187" s="297">
        <f>G1189</f>
        <v>22696.00001</v>
      </c>
      <c r="H1187" s="532"/>
      <c r="I1187" s="532"/>
      <c r="J1187" s="72"/>
    </row>
    <row r="1188" spans="1:36" s="344" customFormat="1" ht="31.5" x14ac:dyDescent="0.25">
      <c r="A1188" s="345" t="s">
        <v>1314</v>
      </c>
      <c r="B1188" s="591">
        <v>908</v>
      </c>
      <c r="C1188" s="341" t="s">
        <v>168</v>
      </c>
      <c r="D1188" s="341" t="s">
        <v>158</v>
      </c>
      <c r="E1188" s="346" t="s">
        <v>1312</v>
      </c>
      <c r="F1188" s="341"/>
      <c r="G1188" s="300">
        <f>G1189</f>
        <v>22696.00001</v>
      </c>
      <c r="H1188" s="532"/>
      <c r="I1188" s="532"/>
      <c r="J1188" s="72"/>
    </row>
    <row r="1189" spans="1:36" s="344" customFormat="1" ht="31.5" x14ac:dyDescent="0.25">
      <c r="A1189" s="345" t="s">
        <v>123</v>
      </c>
      <c r="B1189" s="591">
        <v>908</v>
      </c>
      <c r="C1189" s="341" t="s">
        <v>168</v>
      </c>
      <c r="D1189" s="341" t="s">
        <v>158</v>
      </c>
      <c r="E1189" s="346" t="s">
        <v>1312</v>
      </c>
      <c r="F1189" s="341" t="s">
        <v>124</v>
      </c>
      <c r="G1189" s="300">
        <f>G1190</f>
        <v>22696.00001</v>
      </c>
      <c r="H1189" s="532"/>
      <c r="I1189" s="532"/>
      <c r="J1189" s="72"/>
    </row>
    <row r="1190" spans="1:36" s="344" customFormat="1" ht="31.5" x14ac:dyDescent="0.25">
      <c r="A1190" s="345" t="s">
        <v>125</v>
      </c>
      <c r="B1190" s="591">
        <v>908</v>
      </c>
      <c r="C1190" s="341" t="s">
        <v>168</v>
      </c>
      <c r="D1190" s="341" t="s">
        <v>158</v>
      </c>
      <c r="E1190" s="346" t="s">
        <v>1312</v>
      </c>
      <c r="F1190" s="341" t="s">
        <v>126</v>
      </c>
      <c r="G1190" s="300">
        <v>22696.00001</v>
      </c>
      <c r="H1190" s="532"/>
      <c r="I1190" s="532"/>
      <c r="J1190" s="72"/>
    </row>
    <row r="1191" spans="1:36" s="129" customFormat="1" ht="31.5" x14ac:dyDescent="0.25">
      <c r="A1191" s="298" t="s">
        <v>984</v>
      </c>
      <c r="B1191" s="296">
        <v>908</v>
      </c>
      <c r="C1191" s="6" t="s">
        <v>168</v>
      </c>
      <c r="D1191" s="6" t="s">
        <v>158</v>
      </c>
      <c r="E1191" s="299" t="s">
        <v>690</v>
      </c>
      <c r="F1191" s="6"/>
      <c r="G1191" s="297">
        <f t="shared" ref="G1191:G1194" si="86">G1192</f>
        <v>53.399999999999991</v>
      </c>
      <c r="H1191" s="532"/>
      <c r="I1191" s="532"/>
      <c r="J1191" s="72"/>
    </row>
    <row r="1192" spans="1:36" s="129" customFormat="1" ht="31.5" x14ac:dyDescent="0.25">
      <c r="A1192" s="298" t="s">
        <v>691</v>
      </c>
      <c r="B1192" s="296">
        <v>908</v>
      </c>
      <c r="C1192" s="6" t="s">
        <v>168</v>
      </c>
      <c r="D1192" s="6" t="s">
        <v>158</v>
      </c>
      <c r="E1192" s="299" t="s">
        <v>692</v>
      </c>
      <c r="F1192" s="6"/>
      <c r="G1192" s="297">
        <f t="shared" si="86"/>
        <v>53.399999999999991</v>
      </c>
      <c r="H1192" s="532"/>
      <c r="I1192" s="532"/>
      <c r="J1192" s="72"/>
    </row>
    <row r="1193" spans="1:36" s="129" customFormat="1" ht="15.75" x14ac:dyDescent="0.25">
      <c r="A1193" s="345" t="s">
        <v>271</v>
      </c>
      <c r="B1193" s="591">
        <v>908</v>
      </c>
      <c r="C1193" s="341" t="s">
        <v>168</v>
      </c>
      <c r="D1193" s="341" t="s">
        <v>158</v>
      </c>
      <c r="E1193" s="346" t="s">
        <v>693</v>
      </c>
      <c r="F1193" s="341"/>
      <c r="G1193" s="300">
        <f t="shared" si="86"/>
        <v>53.399999999999991</v>
      </c>
      <c r="H1193" s="532"/>
      <c r="I1193" s="532"/>
      <c r="J1193" s="72"/>
    </row>
    <row r="1194" spans="1:36" s="129" customFormat="1" ht="31.5" x14ac:dyDescent="0.25">
      <c r="A1194" s="345" t="s">
        <v>123</v>
      </c>
      <c r="B1194" s="591">
        <v>908</v>
      </c>
      <c r="C1194" s="341" t="s">
        <v>168</v>
      </c>
      <c r="D1194" s="341" t="s">
        <v>158</v>
      </c>
      <c r="E1194" s="346" t="s">
        <v>693</v>
      </c>
      <c r="F1194" s="341" t="s">
        <v>124</v>
      </c>
      <c r="G1194" s="300">
        <f t="shared" si="86"/>
        <v>53.399999999999991</v>
      </c>
      <c r="H1194" s="532"/>
      <c r="I1194" s="532"/>
      <c r="J1194" s="72"/>
    </row>
    <row r="1195" spans="1:36" s="129" customFormat="1" ht="31.5" x14ac:dyDescent="0.25">
      <c r="A1195" s="345" t="s">
        <v>125</v>
      </c>
      <c r="B1195" s="591">
        <v>908</v>
      </c>
      <c r="C1195" s="341" t="s">
        <v>168</v>
      </c>
      <c r="D1195" s="341" t="s">
        <v>158</v>
      </c>
      <c r="E1195" s="346" t="s">
        <v>693</v>
      </c>
      <c r="F1195" s="341" t="s">
        <v>126</v>
      </c>
      <c r="G1195" s="300">
        <f>204+36.5-178.9-8.2</f>
        <v>53.399999999999991</v>
      </c>
      <c r="H1195" s="532"/>
      <c r="I1195" s="532"/>
      <c r="J1195" s="72"/>
    </row>
    <row r="1196" spans="1:36" ht="15.75" x14ac:dyDescent="0.25">
      <c r="A1196" s="298" t="s">
        <v>272</v>
      </c>
      <c r="B1196" s="296">
        <v>908</v>
      </c>
      <c r="C1196" s="299" t="s">
        <v>168</v>
      </c>
      <c r="D1196" s="299" t="s">
        <v>159</v>
      </c>
      <c r="E1196" s="299"/>
      <c r="F1196" s="299"/>
      <c r="G1196" s="297">
        <f>G1197+G1202+G1257</f>
        <v>50995.255960000002</v>
      </c>
      <c r="H1196" s="532"/>
      <c r="I1196" s="532"/>
      <c r="J1196" s="302"/>
      <c r="K1196" s="129"/>
      <c r="AD1196" s="1"/>
      <c r="AE1196" s="1"/>
      <c r="AG1196" s="1"/>
      <c r="AH1196" s="1"/>
      <c r="AJ1196" s="1"/>
    </row>
    <row r="1197" spans="1:36" s="129" customFormat="1" ht="15.75" x14ac:dyDescent="0.25">
      <c r="A1197" s="298" t="s">
        <v>133</v>
      </c>
      <c r="B1197" s="296">
        <v>908</v>
      </c>
      <c r="C1197" s="299" t="s">
        <v>168</v>
      </c>
      <c r="D1197" s="299" t="s">
        <v>159</v>
      </c>
      <c r="E1197" s="299" t="s">
        <v>440</v>
      </c>
      <c r="F1197" s="299"/>
      <c r="G1197" s="297">
        <f t="shared" ref="G1197:G1200" si="87">G1198</f>
        <v>385.8</v>
      </c>
      <c r="H1197" s="532"/>
      <c r="I1197" s="532"/>
      <c r="J1197" s="302"/>
    </row>
    <row r="1198" spans="1:36" s="129" customFormat="1" ht="31.5" x14ac:dyDescent="0.25">
      <c r="A1198" s="298" t="s">
        <v>444</v>
      </c>
      <c r="B1198" s="296">
        <v>908</v>
      </c>
      <c r="C1198" s="299" t="s">
        <v>168</v>
      </c>
      <c r="D1198" s="299" t="s">
        <v>159</v>
      </c>
      <c r="E1198" s="299" t="s">
        <v>439</v>
      </c>
      <c r="F1198" s="299"/>
      <c r="G1198" s="297">
        <f t="shared" si="87"/>
        <v>385.8</v>
      </c>
      <c r="H1198" s="532"/>
      <c r="I1198" s="532"/>
      <c r="J1198" s="302"/>
    </row>
    <row r="1199" spans="1:36" s="129" customFormat="1" ht="15.75" x14ac:dyDescent="0.25">
      <c r="A1199" s="345" t="s">
        <v>279</v>
      </c>
      <c r="B1199" s="591">
        <v>908</v>
      </c>
      <c r="C1199" s="346" t="s">
        <v>168</v>
      </c>
      <c r="D1199" s="346" t="s">
        <v>159</v>
      </c>
      <c r="E1199" s="346" t="s">
        <v>627</v>
      </c>
      <c r="F1199" s="346"/>
      <c r="G1199" s="300">
        <f t="shared" si="87"/>
        <v>385.8</v>
      </c>
      <c r="H1199" s="532"/>
      <c r="I1199" s="532"/>
      <c r="J1199" s="302"/>
    </row>
    <row r="1200" spans="1:36" s="129" customFormat="1" ht="31.5" x14ac:dyDescent="0.25">
      <c r="A1200" s="345" t="s">
        <v>123</v>
      </c>
      <c r="B1200" s="591">
        <v>908</v>
      </c>
      <c r="C1200" s="346" t="s">
        <v>168</v>
      </c>
      <c r="D1200" s="346" t="s">
        <v>159</v>
      </c>
      <c r="E1200" s="346" t="s">
        <v>627</v>
      </c>
      <c r="F1200" s="346" t="s">
        <v>124</v>
      </c>
      <c r="G1200" s="300">
        <f t="shared" si="87"/>
        <v>385.8</v>
      </c>
      <c r="H1200" s="532"/>
      <c r="I1200" s="532"/>
      <c r="J1200" s="72"/>
    </row>
    <row r="1201" spans="1:36" s="129" customFormat="1" ht="31.5" x14ac:dyDescent="0.25">
      <c r="A1201" s="345" t="s">
        <v>125</v>
      </c>
      <c r="B1201" s="591">
        <v>908</v>
      </c>
      <c r="C1201" s="346" t="s">
        <v>168</v>
      </c>
      <c r="D1201" s="346" t="s">
        <v>159</v>
      </c>
      <c r="E1201" s="346" t="s">
        <v>627</v>
      </c>
      <c r="F1201" s="346" t="s">
        <v>126</v>
      </c>
      <c r="G1201" s="18">
        <f>390-4.2</f>
        <v>385.8</v>
      </c>
      <c r="H1201" s="532"/>
      <c r="I1201" s="532"/>
      <c r="J1201" s="302"/>
    </row>
    <row r="1202" spans="1:36" ht="34.5" customHeight="1" x14ac:dyDescent="0.25">
      <c r="A1202" s="298" t="s">
        <v>865</v>
      </c>
      <c r="B1202" s="296">
        <v>908</v>
      </c>
      <c r="C1202" s="299" t="s">
        <v>168</v>
      </c>
      <c r="D1202" s="299" t="s">
        <v>159</v>
      </c>
      <c r="E1202" s="299" t="s">
        <v>273</v>
      </c>
      <c r="F1202" s="299"/>
      <c r="G1202" s="297">
        <f>G1203+G1234+G1207+G1241+G1245+G1249+G1253</f>
        <v>23168.870000000003</v>
      </c>
      <c r="H1202" s="532"/>
      <c r="I1202" s="532"/>
      <c r="J1202" s="302"/>
      <c r="K1202" s="129"/>
      <c r="AD1202" s="1"/>
      <c r="AE1202" s="1"/>
      <c r="AG1202" s="1"/>
      <c r="AH1202" s="1"/>
      <c r="AJ1202" s="1"/>
    </row>
    <row r="1203" spans="1:36" s="129" customFormat="1" ht="35.450000000000003" hidden="1" customHeight="1" x14ac:dyDescent="0.25">
      <c r="A1203" s="298" t="s">
        <v>920</v>
      </c>
      <c r="B1203" s="296">
        <v>908</v>
      </c>
      <c r="C1203" s="299" t="s">
        <v>168</v>
      </c>
      <c r="D1203" s="299" t="s">
        <v>159</v>
      </c>
      <c r="E1203" s="299" t="s">
        <v>798</v>
      </c>
      <c r="F1203" s="299"/>
      <c r="G1203" s="297">
        <f t="shared" ref="G1203:G1205" si="88">G1204</f>
        <v>0</v>
      </c>
      <c r="H1203" s="532"/>
      <c r="I1203" s="532"/>
      <c r="J1203" s="302"/>
    </row>
    <row r="1204" spans="1:36" s="129" customFormat="1" ht="21.2" hidden="1" customHeight="1" x14ac:dyDescent="0.25">
      <c r="A1204" s="205" t="s">
        <v>921</v>
      </c>
      <c r="B1204" s="591">
        <v>908</v>
      </c>
      <c r="C1204" s="346" t="s">
        <v>168</v>
      </c>
      <c r="D1204" s="346" t="s">
        <v>159</v>
      </c>
      <c r="E1204" s="346" t="s">
        <v>911</v>
      </c>
      <c r="F1204" s="346"/>
      <c r="G1204" s="300">
        <f t="shared" si="88"/>
        <v>0</v>
      </c>
      <c r="H1204" s="532"/>
      <c r="I1204" s="532"/>
      <c r="J1204" s="302"/>
    </row>
    <row r="1205" spans="1:36" s="129" customFormat="1" ht="35.450000000000003" hidden="1" customHeight="1" x14ac:dyDescent="0.25">
      <c r="A1205" s="345" t="s">
        <v>123</v>
      </c>
      <c r="B1205" s="591">
        <v>908</v>
      </c>
      <c r="C1205" s="346" t="s">
        <v>168</v>
      </c>
      <c r="D1205" s="346" t="s">
        <v>159</v>
      </c>
      <c r="E1205" s="346" t="s">
        <v>911</v>
      </c>
      <c r="F1205" s="346" t="s">
        <v>124</v>
      </c>
      <c r="G1205" s="300">
        <f t="shared" si="88"/>
        <v>0</v>
      </c>
      <c r="H1205" s="532"/>
      <c r="I1205" s="532"/>
      <c r="J1205" s="302"/>
    </row>
    <row r="1206" spans="1:36" s="129" customFormat="1" ht="35.450000000000003" hidden="1" customHeight="1" x14ac:dyDescent="0.25">
      <c r="A1206" s="345" t="s">
        <v>125</v>
      </c>
      <c r="B1206" s="591">
        <v>908</v>
      </c>
      <c r="C1206" s="346" t="s">
        <v>168</v>
      </c>
      <c r="D1206" s="346" t="s">
        <v>159</v>
      </c>
      <c r="E1206" s="346" t="s">
        <v>911</v>
      </c>
      <c r="F1206" s="346" t="s">
        <v>126</v>
      </c>
      <c r="G1206" s="300">
        <v>0</v>
      </c>
      <c r="H1206" s="532"/>
      <c r="I1206" s="532"/>
      <c r="J1206" s="302"/>
    </row>
    <row r="1207" spans="1:36" s="129" customFormat="1" ht="35.450000000000003" customHeight="1" x14ac:dyDescent="0.25">
      <c r="A1207" s="298" t="s">
        <v>939</v>
      </c>
      <c r="B1207" s="296">
        <v>908</v>
      </c>
      <c r="C1207" s="299" t="s">
        <v>168</v>
      </c>
      <c r="D1207" s="299" t="s">
        <v>159</v>
      </c>
      <c r="E1207" s="299" t="s">
        <v>799</v>
      </c>
      <c r="F1207" s="299"/>
      <c r="G1207" s="297">
        <f>G1208+G1211+G1217+G1220+G1223+G1228+G1231</f>
        <v>6112.9500000000007</v>
      </c>
      <c r="H1207" s="532"/>
      <c r="I1207" s="532"/>
      <c r="J1207" s="302"/>
    </row>
    <row r="1208" spans="1:36" ht="19.5" customHeight="1" x14ac:dyDescent="0.25">
      <c r="A1208" s="345" t="s">
        <v>274</v>
      </c>
      <c r="B1208" s="591">
        <v>908</v>
      </c>
      <c r="C1208" s="346" t="s">
        <v>168</v>
      </c>
      <c r="D1208" s="346" t="s">
        <v>159</v>
      </c>
      <c r="E1208" s="346" t="s">
        <v>919</v>
      </c>
      <c r="F1208" s="346"/>
      <c r="G1208" s="300">
        <f>G1209</f>
        <v>3841.3300000000004</v>
      </c>
      <c r="H1208" s="532"/>
      <c r="I1208" s="532"/>
      <c r="J1208" s="302"/>
      <c r="K1208" s="129"/>
      <c r="AD1208" s="1"/>
      <c r="AE1208" s="1"/>
      <c r="AG1208" s="1"/>
      <c r="AH1208" s="1"/>
      <c r="AJ1208" s="1"/>
    </row>
    <row r="1209" spans="1:36" ht="31.5" x14ac:dyDescent="0.25">
      <c r="A1209" s="345" t="s">
        <v>123</v>
      </c>
      <c r="B1209" s="591">
        <v>908</v>
      </c>
      <c r="C1209" s="346" t="s">
        <v>168</v>
      </c>
      <c r="D1209" s="346" t="s">
        <v>159</v>
      </c>
      <c r="E1209" s="346" t="s">
        <v>919</v>
      </c>
      <c r="F1209" s="346" t="s">
        <v>124</v>
      </c>
      <c r="G1209" s="300">
        <f>G1210</f>
        <v>3841.3300000000004</v>
      </c>
      <c r="H1209" s="532"/>
      <c r="I1209" s="532"/>
      <c r="J1209" s="302"/>
      <c r="K1209" s="129"/>
      <c r="AD1209" s="1"/>
      <c r="AE1209" s="1"/>
      <c r="AG1209" s="1"/>
      <c r="AH1209" s="1"/>
      <c r="AJ1209" s="1"/>
    </row>
    <row r="1210" spans="1:36" ht="31.5" x14ac:dyDescent="0.25">
      <c r="A1210" s="345" t="s">
        <v>125</v>
      </c>
      <c r="B1210" s="591">
        <v>908</v>
      </c>
      <c r="C1210" s="346" t="s">
        <v>168</v>
      </c>
      <c r="D1210" s="346" t="s">
        <v>159</v>
      </c>
      <c r="E1210" s="346" t="s">
        <v>919</v>
      </c>
      <c r="F1210" s="346" t="s">
        <v>126</v>
      </c>
      <c r="G1210" s="300">
        <f>365-234.2+70-60.8+230+230-235+550+1926.63+17.8+120+782.2+119.8-40-0.1</f>
        <v>3841.3300000000004</v>
      </c>
      <c r="H1210" s="532"/>
      <c r="I1210" s="532"/>
      <c r="J1210" s="302"/>
      <c r="K1210" s="320"/>
      <c r="AD1210" s="1"/>
      <c r="AE1210" s="1"/>
      <c r="AG1210" s="1"/>
      <c r="AH1210" s="1"/>
      <c r="AJ1210" s="1"/>
    </row>
    <row r="1211" spans="1:36" ht="15.75" x14ac:dyDescent="0.25">
      <c r="A1211" s="345" t="s">
        <v>638</v>
      </c>
      <c r="B1211" s="591">
        <v>908</v>
      </c>
      <c r="C1211" s="346" t="s">
        <v>168</v>
      </c>
      <c r="D1211" s="346" t="s">
        <v>159</v>
      </c>
      <c r="E1211" s="346" t="s">
        <v>910</v>
      </c>
      <c r="F1211" s="346"/>
      <c r="G1211" s="300">
        <f>G1212+G1214</f>
        <v>1775.1200000000001</v>
      </c>
      <c r="H1211" s="532"/>
      <c r="I1211" s="532"/>
      <c r="J1211" s="302"/>
      <c r="K1211" s="129"/>
      <c r="AD1211" s="1"/>
      <c r="AE1211" s="1"/>
      <c r="AG1211" s="1"/>
      <c r="AH1211" s="1"/>
      <c r="AJ1211" s="1"/>
    </row>
    <row r="1212" spans="1:36" ht="31.5" x14ac:dyDescent="0.25">
      <c r="A1212" s="345" t="s">
        <v>123</v>
      </c>
      <c r="B1212" s="591">
        <v>908</v>
      </c>
      <c r="C1212" s="346" t="s">
        <v>168</v>
      </c>
      <c r="D1212" s="346" t="s">
        <v>159</v>
      </c>
      <c r="E1212" s="346" t="s">
        <v>910</v>
      </c>
      <c r="F1212" s="346" t="s">
        <v>124</v>
      </c>
      <c r="G1212" s="300">
        <f>G1213</f>
        <v>1775.1200000000001</v>
      </c>
      <c r="H1212" s="532"/>
      <c r="I1212" s="532"/>
      <c r="J1212" s="302"/>
      <c r="K1212" s="129"/>
      <c r="AD1212" s="1"/>
      <c r="AE1212" s="1"/>
      <c r="AG1212" s="1"/>
      <c r="AH1212" s="1"/>
      <c r="AJ1212" s="1"/>
    </row>
    <row r="1213" spans="1:36" ht="31.5" x14ac:dyDescent="0.25">
      <c r="A1213" s="345" t="s">
        <v>125</v>
      </c>
      <c r="B1213" s="591">
        <v>908</v>
      </c>
      <c r="C1213" s="346" t="s">
        <v>168</v>
      </c>
      <c r="D1213" s="346" t="s">
        <v>159</v>
      </c>
      <c r="E1213" s="346" t="s">
        <v>910</v>
      </c>
      <c r="F1213" s="346" t="s">
        <v>126</v>
      </c>
      <c r="G1213" s="300">
        <f>1408.02+164.2+160+34.9+8</f>
        <v>1775.1200000000001</v>
      </c>
      <c r="H1213" s="535"/>
      <c r="I1213" s="535"/>
      <c r="J1213" s="302"/>
      <c r="K1213" s="129"/>
      <c r="N1213" s="320"/>
      <c r="O1213" s="129"/>
      <c r="Q1213" s="320"/>
      <c r="AD1213" s="1"/>
      <c r="AE1213" s="1"/>
      <c r="AG1213" s="1"/>
      <c r="AH1213" s="1"/>
      <c r="AJ1213" s="1"/>
    </row>
    <row r="1214" spans="1:36" ht="15.75" hidden="1" x14ac:dyDescent="0.25">
      <c r="A1214" s="345" t="s">
        <v>127</v>
      </c>
      <c r="B1214" s="591">
        <v>908</v>
      </c>
      <c r="C1214" s="346" t="s">
        <v>168</v>
      </c>
      <c r="D1214" s="346" t="s">
        <v>159</v>
      </c>
      <c r="E1214" s="346" t="s">
        <v>910</v>
      </c>
      <c r="F1214" s="346" t="s">
        <v>134</v>
      </c>
      <c r="G1214" s="300">
        <f>G1216+G1215</f>
        <v>0</v>
      </c>
      <c r="H1214" s="532"/>
      <c r="I1214" s="532"/>
      <c r="J1214" s="302"/>
      <c r="K1214" s="129"/>
      <c r="AD1214" s="1"/>
      <c r="AE1214" s="1"/>
      <c r="AG1214" s="1"/>
      <c r="AH1214" s="1"/>
      <c r="AJ1214" s="1"/>
    </row>
    <row r="1215" spans="1:36" s="129" customFormat="1" ht="32.25" hidden="1" customHeight="1" x14ac:dyDescent="0.25">
      <c r="A1215" s="345" t="s">
        <v>411</v>
      </c>
      <c r="B1215" s="591">
        <v>908</v>
      </c>
      <c r="C1215" s="346" t="s">
        <v>168</v>
      </c>
      <c r="D1215" s="346" t="s">
        <v>159</v>
      </c>
      <c r="E1215" s="346" t="s">
        <v>910</v>
      </c>
      <c r="F1215" s="346" t="s">
        <v>136</v>
      </c>
      <c r="G1215" s="300">
        <v>0</v>
      </c>
      <c r="H1215" s="532"/>
      <c r="I1215" s="532"/>
      <c r="J1215" s="302"/>
    </row>
    <row r="1216" spans="1:36" ht="15.75" hidden="1" x14ac:dyDescent="0.25">
      <c r="A1216" s="345" t="s">
        <v>338</v>
      </c>
      <c r="B1216" s="591">
        <v>908</v>
      </c>
      <c r="C1216" s="346" t="s">
        <v>168</v>
      </c>
      <c r="D1216" s="346" t="s">
        <v>159</v>
      </c>
      <c r="E1216" s="346" t="s">
        <v>910</v>
      </c>
      <c r="F1216" s="346" t="s">
        <v>130</v>
      </c>
      <c r="G1216" s="300">
        <f>3.4+37.5-40.9</f>
        <v>0</v>
      </c>
      <c r="H1216" s="532"/>
      <c r="I1216" s="532"/>
      <c r="J1216" s="302"/>
      <c r="K1216" s="129"/>
      <c r="AD1216" s="1"/>
      <c r="AE1216" s="1"/>
      <c r="AG1216" s="1"/>
      <c r="AH1216" s="1"/>
      <c r="AJ1216" s="1"/>
    </row>
    <row r="1217" spans="1:36" ht="15.75" hidden="1" x14ac:dyDescent="0.25">
      <c r="A1217" s="345" t="s">
        <v>276</v>
      </c>
      <c r="B1217" s="591">
        <v>908</v>
      </c>
      <c r="C1217" s="346" t="s">
        <v>168</v>
      </c>
      <c r="D1217" s="346" t="s">
        <v>159</v>
      </c>
      <c r="E1217" s="346" t="s">
        <v>814</v>
      </c>
      <c r="F1217" s="346"/>
      <c r="G1217" s="300">
        <f>G1218</f>
        <v>0</v>
      </c>
      <c r="H1217" s="532"/>
      <c r="I1217" s="532"/>
      <c r="J1217" s="302"/>
      <c r="K1217" s="129"/>
      <c r="AD1217" s="1"/>
      <c r="AE1217" s="1"/>
      <c r="AG1217" s="1"/>
      <c r="AH1217" s="1"/>
      <c r="AJ1217" s="1"/>
    </row>
    <row r="1218" spans="1:36" ht="31.5" hidden="1" x14ac:dyDescent="0.25">
      <c r="A1218" s="345" t="s">
        <v>123</v>
      </c>
      <c r="B1218" s="591">
        <v>908</v>
      </c>
      <c r="C1218" s="346" t="s">
        <v>168</v>
      </c>
      <c r="D1218" s="346" t="s">
        <v>159</v>
      </c>
      <c r="E1218" s="346" t="s">
        <v>814</v>
      </c>
      <c r="F1218" s="346" t="s">
        <v>124</v>
      </c>
      <c r="G1218" s="300">
        <f>G1219</f>
        <v>0</v>
      </c>
      <c r="H1218" s="532"/>
      <c r="I1218" s="532"/>
      <c r="J1218" s="302"/>
      <c r="K1218" s="129"/>
      <c r="AD1218" s="1"/>
      <c r="AE1218" s="1"/>
      <c r="AG1218" s="1"/>
      <c r="AH1218" s="1"/>
      <c r="AJ1218" s="1"/>
    </row>
    <row r="1219" spans="1:36" ht="31.5" hidden="1" x14ac:dyDescent="0.25">
      <c r="A1219" s="345" t="s">
        <v>125</v>
      </c>
      <c r="B1219" s="591">
        <v>908</v>
      </c>
      <c r="C1219" s="346" t="s">
        <v>168</v>
      </c>
      <c r="D1219" s="346" t="s">
        <v>159</v>
      </c>
      <c r="E1219" s="346" t="s">
        <v>814</v>
      </c>
      <c r="F1219" s="346" t="s">
        <v>126</v>
      </c>
      <c r="G1219" s="300">
        <v>0</v>
      </c>
      <c r="H1219" s="532"/>
      <c r="I1219" s="532"/>
      <c r="J1219" s="302"/>
      <c r="K1219" s="129"/>
      <c r="AD1219" s="1"/>
      <c r="AE1219" s="1"/>
      <c r="AG1219" s="1"/>
      <c r="AH1219" s="1"/>
      <c r="AJ1219" s="1"/>
    </row>
    <row r="1220" spans="1:36" ht="15.75" x14ac:dyDescent="0.25">
      <c r="A1220" s="345" t="s">
        <v>277</v>
      </c>
      <c r="B1220" s="591">
        <v>908</v>
      </c>
      <c r="C1220" s="346" t="s">
        <v>168</v>
      </c>
      <c r="D1220" s="346" t="s">
        <v>159</v>
      </c>
      <c r="E1220" s="346" t="s">
        <v>800</v>
      </c>
      <c r="F1220" s="346"/>
      <c r="G1220" s="300">
        <f>G1221</f>
        <v>7.9</v>
      </c>
      <c r="H1220" s="532"/>
      <c r="I1220" s="532"/>
      <c r="J1220" s="302"/>
      <c r="K1220" s="129"/>
      <c r="AD1220" s="1"/>
      <c r="AE1220" s="1"/>
      <c r="AG1220" s="1"/>
      <c r="AH1220" s="1"/>
      <c r="AJ1220" s="1"/>
    </row>
    <row r="1221" spans="1:36" ht="31.5" x14ac:dyDescent="0.25">
      <c r="A1221" s="345" t="s">
        <v>123</v>
      </c>
      <c r="B1221" s="591">
        <v>908</v>
      </c>
      <c r="C1221" s="346" t="s">
        <v>168</v>
      </c>
      <c r="D1221" s="346" t="s">
        <v>159</v>
      </c>
      <c r="E1221" s="346" t="s">
        <v>800</v>
      </c>
      <c r="F1221" s="346" t="s">
        <v>124</v>
      </c>
      <c r="G1221" s="300">
        <f>G1222</f>
        <v>7.9</v>
      </c>
      <c r="H1221" s="532"/>
      <c r="I1221" s="532"/>
      <c r="J1221" s="302"/>
      <c r="K1221" s="129"/>
      <c r="AD1221" s="1"/>
      <c r="AE1221" s="1"/>
      <c r="AG1221" s="1"/>
      <c r="AH1221" s="1"/>
      <c r="AJ1221" s="1"/>
    </row>
    <row r="1222" spans="1:36" ht="36" customHeight="1" x14ac:dyDescent="0.25">
      <c r="A1222" s="345" t="s">
        <v>125</v>
      </c>
      <c r="B1222" s="591">
        <v>908</v>
      </c>
      <c r="C1222" s="346" t="s">
        <v>168</v>
      </c>
      <c r="D1222" s="346" t="s">
        <v>159</v>
      </c>
      <c r="E1222" s="346" t="s">
        <v>800</v>
      </c>
      <c r="F1222" s="346" t="s">
        <v>126</v>
      </c>
      <c r="G1222" s="300">
        <f>50-31-8.6-2.5</f>
        <v>7.9</v>
      </c>
      <c r="H1222" s="532"/>
      <c r="I1222" s="532"/>
      <c r="J1222" s="302"/>
      <c r="K1222" s="129"/>
      <c r="AD1222" s="1"/>
      <c r="AE1222" s="1"/>
      <c r="AG1222" s="1"/>
      <c r="AH1222" s="1"/>
      <c r="AJ1222" s="1"/>
    </row>
    <row r="1223" spans="1:36" ht="30.75" hidden="1" customHeight="1" x14ac:dyDescent="0.25">
      <c r="A1223" s="204" t="s">
        <v>922</v>
      </c>
      <c r="B1223" s="591">
        <v>908</v>
      </c>
      <c r="C1223" s="346" t="s">
        <v>168</v>
      </c>
      <c r="D1223" s="346" t="s">
        <v>159</v>
      </c>
      <c r="E1223" s="346" t="s">
        <v>801</v>
      </c>
      <c r="F1223" s="346"/>
      <c r="G1223" s="300">
        <f>G1224+G1226</f>
        <v>3.397282455352979E-14</v>
      </c>
      <c r="H1223" s="532"/>
      <c r="I1223" s="532"/>
      <c r="J1223" s="302"/>
      <c r="K1223" s="129"/>
      <c r="AD1223" s="1"/>
      <c r="AE1223" s="1"/>
      <c r="AG1223" s="1"/>
      <c r="AH1223" s="1"/>
      <c r="AJ1223" s="1"/>
    </row>
    <row r="1224" spans="1:36" ht="31.5" hidden="1" x14ac:dyDescent="0.25">
      <c r="A1224" s="345" t="s">
        <v>123</v>
      </c>
      <c r="B1224" s="591">
        <v>908</v>
      </c>
      <c r="C1224" s="346" t="s">
        <v>168</v>
      </c>
      <c r="D1224" s="346" t="s">
        <v>159</v>
      </c>
      <c r="E1224" s="346" t="s">
        <v>801</v>
      </c>
      <c r="F1224" s="346" t="s">
        <v>124</v>
      </c>
      <c r="G1224" s="300">
        <f>G1225</f>
        <v>3.397282455352979E-14</v>
      </c>
      <c r="H1224" s="532"/>
      <c r="I1224" s="532"/>
      <c r="J1224" s="302"/>
      <c r="K1224" s="129"/>
      <c r="AD1224" s="1"/>
      <c r="AE1224" s="1"/>
      <c r="AG1224" s="1"/>
      <c r="AH1224" s="1"/>
      <c r="AJ1224" s="1"/>
    </row>
    <row r="1225" spans="1:36" ht="31.5" hidden="1" x14ac:dyDescent="0.25">
      <c r="A1225" s="345" t="s">
        <v>125</v>
      </c>
      <c r="B1225" s="591">
        <v>908</v>
      </c>
      <c r="C1225" s="346" t="s">
        <v>168</v>
      </c>
      <c r="D1225" s="346" t="s">
        <v>159</v>
      </c>
      <c r="E1225" s="346" t="s">
        <v>801</v>
      </c>
      <c r="F1225" s="346" t="s">
        <v>126</v>
      </c>
      <c r="G1225" s="300">
        <f>375-62.2-10.9-300-0.1-1.8</f>
        <v>3.397282455352979E-14</v>
      </c>
      <c r="H1225" s="530"/>
      <c r="I1225" s="530"/>
      <c r="J1225" s="302"/>
      <c r="K1225" s="129"/>
      <c r="AD1225" s="1"/>
      <c r="AE1225" s="1"/>
      <c r="AG1225" s="1"/>
      <c r="AH1225" s="1"/>
      <c r="AJ1225" s="1"/>
    </row>
    <row r="1226" spans="1:36" s="129" customFormat="1" ht="15.75" hidden="1" x14ac:dyDescent="0.25">
      <c r="A1226" s="345" t="s">
        <v>127</v>
      </c>
      <c r="B1226" s="591">
        <v>908</v>
      </c>
      <c r="C1226" s="346" t="s">
        <v>168</v>
      </c>
      <c r="D1226" s="346" t="s">
        <v>159</v>
      </c>
      <c r="E1226" s="346" t="s">
        <v>801</v>
      </c>
      <c r="F1226" s="346" t="s">
        <v>134</v>
      </c>
      <c r="G1226" s="300">
        <f>G1227</f>
        <v>0</v>
      </c>
      <c r="H1226" s="532"/>
      <c r="I1226" s="532"/>
      <c r="J1226" s="302"/>
    </row>
    <row r="1227" spans="1:36" s="129" customFormat="1" ht="15.75" hidden="1" x14ac:dyDescent="0.25">
      <c r="A1227" s="345" t="s">
        <v>338</v>
      </c>
      <c r="B1227" s="591">
        <v>908</v>
      </c>
      <c r="C1227" s="346" t="s">
        <v>168</v>
      </c>
      <c r="D1227" s="346" t="s">
        <v>159</v>
      </c>
      <c r="E1227" s="346" t="s">
        <v>801</v>
      </c>
      <c r="F1227" s="346" t="s">
        <v>130</v>
      </c>
      <c r="G1227" s="300">
        <f>75-75</f>
        <v>0</v>
      </c>
      <c r="H1227" s="532"/>
      <c r="I1227" s="532"/>
      <c r="J1227" s="302"/>
    </row>
    <row r="1228" spans="1:36" ht="15.75" hidden="1" x14ac:dyDescent="0.25">
      <c r="A1228" s="29" t="s">
        <v>278</v>
      </c>
      <c r="B1228" s="591">
        <v>908</v>
      </c>
      <c r="C1228" s="346" t="s">
        <v>168</v>
      </c>
      <c r="D1228" s="346" t="s">
        <v>159</v>
      </c>
      <c r="E1228" s="346" t="s">
        <v>802</v>
      </c>
      <c r="F1228" s="346"/>
      <c r="G1228" s="300">
        <f>G1229</f>
        <v>0</v>
      </c>
      <c r="H1228" s="532"/>
      <c r="I1228" s="532"/>
      <c r="J1228" s="302"/>
      <c r="K1228" s="129"/>
      <c r="AD1228" s="1"/>
      <c r="AE1228" s="1"/>
      <c r="AG1228" s="1"/>
      <c r="AH1228" s="1"/>
      <c r="AJ1228" s="1"/>
    </row>
    <row r="1229" spans="1:36" ht="31.5" hidden="1" x14ac:dyDescent="0.25">
      <c r="A1229" s="345" t="s">
        <v>123</v>
      </c>
      <c r="B1229" s="591">
        <v>908</v>
      </c>
      <c r="C1229" s="346" t="s">
        <v>168</v>
      </c>
      <c r="D1229" s="346" t="s">
        <v>159</v>
      </c>
      <c r="E1229" s="346" t="s">
        <v>802</v>
      </c>
      <c r="F1229" s="346" t="s">
        <v>124</v>
      </c>
      <c r="G1229" s="300">
        <f>G1230</f>
        <v>0</v>
      </c>
      <c r="H1229" s="532"/>
      <c r="I1229" s="532"/>
      <c r="J1229" s="302"/>
      <c r="K1229" s="129"/>
      <c r="AD1229" s="1"/>
      <c r="AE1229" s="1"/>
      <c r="AG1229" s="1"/>
      <c r="AH1229" s="1"/>
      <c r="AJ1229" s="1"/>
    </row>
    <row r="1230" spans="1:36" ht="31.5" hidden="1" x14ac:dyDescent="0.25">
      <c r="A1230" s="345" t="s">
        <v>125</v>
      </c>
      <c r="B1230" s="591">
        <v>908</v>
      </c>
      <c r="C1230" s="346" t="s">
        <v>168</v>
      </c>
      <c r="D1230" s="346" t="s">
        <v>159</v>
      </c>
      <c r="E1230" s="346" t="s">
        <v>802</v>
      </c>
      <c r="F1230" s="346" t="s">
        <v>126</v>
      </c>
      <c r="G1230" s="300">
        <v>0</v>
      </c>
      <c r="H1230" s="532"/>
      <c r="I1230" s="532"/>
      <c r="J1230" s="302"/>
      <c r="K1230" s="129"/>
      <c r="AD1230" s="1"/>
      <c r="AE1230" s="1"/>
      <c r="AG1230" s="1"/>
      <c r="AH1230" s="1"/>
      <c r="AJ1230" s="1"/>
    </row>
    <row r="1231" spans="1:36" s="129" customFormat="1" ht="31.5" x14ac:dyDescent="0.25">
      <c r="A1231" s="520" t="s">
        <v>640</v>
      </c>
      <c r="B1231" s="591">
        <v>908</v>
      </c>
      <c r="C1231" s="346" t="s">
        <v>168</v>
      </c>
      <c r="D1231" s="346" t="s">
        <v>159</v>
      </c>
      <c r="E1231" s="346" t="s">
        <v>803</v>
      </c>
      <c r="F1231" s="346"/>
      <c r="G1231" s="300">
        <f>G1232</f>
        <v>488.6</v>
      </c>
      <c r="H1231" s="532"/>
      <c r="I1231" s="532"/>
      <c r="J1231" s="302"/>
    </row>
    <row r="1232" spans="1:36" s="129" customFormat="1" ht="31.5" x14ac:dyDescent="0.25">
      <c r="A1232" s="345" t="s">
        <v>123</v>
      </c>
      <c r="B1232" s="591">
        <v>908</v>
      </c>
      <c r="C1232" s="346" t="s">
        <v>168</v>
      </c>
      <c r="D1232" s="346" t="s">
        <v>159</v>
      </c>
      <c r="E1232" s="346" t="s">
        <v>803</v>
      </c>
      <c r="F1232" s="346" t="s">
        <v>124</v>
      </c>
      <c r="G1232" s="300">
        <f>G1233</f>
        <v>488.6</v>
      </c>
      <c r="H1232" s="532"/>
      <c r="I1232" s="532"/>
      <c r="J1232" s="302"/>
    </row>
    <row r="1233" spans="1:10" s="129" customFormat="1" ht="31.5" x14ac:dyDescent="0.25">
      <c r="A1233" s="345" t="s">
        <v>125</v>
      </c>
      <c r="B1233" s="591">
        <v>908</v>
      </c>
      <c r="C1233" s="346" t="s">
        <v>168</v>
      </c>
      <c r="D1233" s="346" t="s">
        <v>159</v>
      </c>
      <c r="E1233" s="346" t="s">
        <v>803</v>
      </c>
      <c r="F1233" s="346" t="s">
        <v>126</v>
      </c>
      <c r="G1233" s="300">
        <f>50-50+488.6</f>
        <v>488.6</v>
      </c>
      <c r="H1233" s="532"/>
      <c r="I1233" s="532"/>
      <c r="J1233" s="302"/>
    </row>
    <row r="1234" spans="1:10" s="129" customFormat="1" ht="31.5" x14ac:dyDescent="0.25">
      <c r="A1234" s="298" t="s">
        <v>462</v>
      </c>
      <c r="B1234" s="296">
        <v>908</v>
      </c>
      <c r="C1234" s="299" t="s">
        <v>168</v>
      </c>
      <c r="D1234" s="299" t="s">
        <v>159</v>
      </c>
      <c r="E1234" s="299" t="s">
        <v>813</v>
      </c>
      <c r="F1234" s="299"/>
      <c r="G1234" s="297">
        <f>G1235+G1238</f>
        <v>2258.7000000000003</v>
      </c>
      <c r="H1234" s="532"/>
      <c r="I1234" s="532"/>
      <c r="J1234" s="302"/>
    </row>
    <row r="1235" spans="1:10" s="129" customFormat="1" ht="31.5" hidden="1" x14ac:dyDescent="0.25">
      <c r="A1235" s="345" t="s">
        <v>332</v>
      </c>
      <c r="B1235" s="591">
        <v>908</v>
      </c>
      <c r="C1235" s="346" t="s">
        <v>168</v>
      </c>
      <c r="D1235" s="346" t="s">
        <v>159</v>
      </c>
      <c r="E1235" s="346" t="s">
        <v>835</v>
      </c>
      <c r="F1235" s="346"/>
      <c r="G1235" s="300">
        <f>G1236</f>
        <v>0</v>
      </c>
      <c r="H1235" s="532"/>
      <c r="I1235" s="532"/>
      <c r="J1235" s="302"/>
    </row>
    <row r="1236" spans="1:10" s="129" customFormat="1" ht="31.5" hidden="1" x14ac:dyDescent="0.25">
      <c r="A1236" s="345" t="s">
        <v>123</v>
      </c>
      <c r="B1236" s="591">
        <v>908</v>
      </c>
      <c r="C1236" s="346" t="s">
        <v>168</v>
      </c>
      <c r="D1236" s="346" t="s">
        <v>159</v>
      </c>
      <c r="E1236" s="346" t="s">
        <v>835</v>
      </c>
      <c r="F1236" s="346" t="s">
        <v>124</v>
      </c>
      <c r="G1236" s="300">
        <f>G1237</f>
        <v>0</v>
      </c>
      <c r="H1236" s="532"/>
      <c r="I1236" s="532"/>
      <c r="J1236" s="302"/>
    </row>
    <row r="1237" spans="1:10" s="129" customFormat="1" ht="31.5" hidden="1" x14ac:dyDescent="0.25">
      <c r="A1237" s="345" t="s">
        <v>125</v>
      </c>
      <c r="B1237" s="591">
        <v>908</v>
      </c>
      <c r="C1237" s="346" t="s">
        <v>168</v>
      </c>
      <c r="D1237" s="346" t="s">
        <v>159</v>
      </c>
      <c r="E1237" s="346" t="s">
        <v>835</v>
      </c>
      <c r="F1237" s="346" t="s">
        <v>126</v>
      </c>
      <c r="G1237" s="300">
        <v>0</v>
      </c>
      <c r="H1237" s="532"/>
      <c r="I1237" s="532"/>
      <c r="J1237" s="302"/>
    </row>
    <row r="1238" spans="1:10" s="129" customFormat="1" ht="47.25" x14ac:dyDescent="0.25">
      <c r="A1238" s="345" t="s">
        <v>625</v>
      </c>
      <c r="B1238" s="591">
        <v>908</v>
      </c>
      <c r="C1238" s="346" t="s">
        <v>168</v>
      </c>
      <c r="D1238" s="346" t="s">
        <v>159</v>
      </c>
      <c r="E1238" s="346" t="s">
        <v>812</v>
      </c>
      <c r="F1238" s="346"/>
      <c r="G1238" s="300">
        <f>G1239</f>
        <v>2258.7000000000003</v>
      </c>
      <c r="H1238" s="532"/>
      <c r="I1238" s="532"/>
      <c r="J1238" s="302"/>
    </row>
    <row r="1239" spans="1:10" s="129" customFormat="1" ht="31.5" x14ac:dyDescent="0.25">
      <c r="A1239" s="345" t="s">
        <v>123</v>
      </c>
      <c r="B1239" s="591">
        <v>908</v>
      </c>
      <c r="C1239" s="346" t="s">
        <v>168</v>
      </c>
      <c r="D1239" s="346" t="s">
        <v>159</v>
      </c>
      <c r="E1239" s="346" t="s">
        <v>812</v>
      </c>
      <c r="F1239" s="346" t="s">
        <v>124</v>
      </c>
      <c r="G1239" s="300">
        <f>G1240</f>
        <v>2258.7000000000003</v>
      </c>
      <c r="H1239" s="532"/>
      <c r="I1239" s="532"/>
      <c r="J1239" s="302"/>
    </row>
    <row r="1240" spans="1:10" s="129" customFormat="1" ht="31.5" x14ac:dyDescent="0.25">
      <c r="A1240" s="345" t="s">
        <v>125</v>
      </c>
      <c r="B1240" s="591">
        <v>908</v>
      </c>
      <c r="C1240" s="346" t="s">
        <v>168</v>
      </c>
      <c r="D1240" s="346" t="s">
        <v>159</v>
      </c>
      <c r="E1240" s="346" t="s">
        <v>812</v>
      </c>
      <c r="F1240" s="346" t="s">
        <v>126</v>
      </c>
      <c r="G1240" s="300">
        <f>2145.8+112.9</f>
        <v>2258.7000000000003</v>
      </c>
      <c r="H1240" s="532"/>
      <c r="I1240" s="532"/>
      <c r="J1240" s="302"/>
    </row>
    <row r="1241" spans="1:10" s="129" customFormat="1" ht="31.5" hidden="1" x14ac:dyDescent="0.25">
      <c r="A1241" s="24" t="s">
        <v>1054</v>
      </c>
      <c r="B1241" s="296">
        <v>908</v>
      </c>
      <c r="C1241" s="299" t="s">
        <v>168</v>
      </c>
      <c r="D1241" s="299" t="s">
        <v>159</v>
      </c>
      <c r="E1241" s="299" t="s">
        <v>1055</v>
      </c>
      <c r="F1241" s="299"/>
      <c r="G1241" s="297">
        <f t="shared" ref="G1241:G1243" si="89">G1242</f>
        <v>0</v>
      </c>
      <c r="H1241" s="532"/>
      <c r="I1241" s="532"/>
      <c r="J1241" s="302"/>
    </row>
    <row r="1242" spans="1:10" s="129" customFormat="1" ht="31.5" hidden="1" x14ac:dyDescent="0.25">
      <c r="A1242" s="22" t="s">
        <v>1315</v>
      </c>
      <c r="B1242" s="591">
        <v>908</v>
      </c>
      <c r="C1242" s="346" t="s">
        <v>168</v>
      </c>
      <c r="D1242" s="346" t="s">
        <v>159</v>
      </c>
      <c r="E1242" s="346" t="s">
        <v>1056</v>
      </c>
      <c r="F1242" s="346"/>
      <c r="G1242" s="300">
        <f t="shared" si="89"/>
        <v>0</v>
      </c>
      <c r="H1242" s="532"/>
      <c r="I1242" s="532"/>
      <c r="J1242" s="302"/>
    </row>
    <row r="1243" spans="1:10" s="129" customFormat="1" ht="31.5" hidden="1" x14ac:dyDescent="0.25">
      <c r="A1243" s="345" t="s">
        <v>123</v>
      </c>
      <c r="B1243" s="591">
        <v>908</v>
      </c>
      <c r="C1243" s="346" t="s">
        <v>168</v>
      </c>
      <c r="D1243" s="346" t="s">
        <v>159</v>
      </c>
      <c r="E1243" s="346" t="s">
        <v>1056</v>
      </c>
      <c r="F1243" s="346" t="s">
        <v>124</v>
      </c>
      <c r="G1243" s="300">
        <f t="shared" si="89"/>
        <v>0</v>
      </c>
      <c r="H1243" s="532"/>
      <c r="I1243" s="532"/>
      <c r="J1243" s="302"/>
    </row>
    <row r="1244" spans="1:10" s="129" customFormat="1" ht="31.5" hidden="1" x14ac:dyDescent="0.25">
      <c r="A1244" s="345" t="s">
        <v>125</v>
      </c>
      <c r="B1244" s="591">
        <v>908</v>
      </c>
      <c r="C1244" s="346" t="s">
        <v>168</v>
      </c>
      <c r="D1244" s="346" t="s">
        <v>159</v>
      </c>
      <c r="E1244" s="346" t="s">
        <v>1056</v>
      </c>
      <c r="F1244" s="346" t="s">
        <v>126</v>
      </c>
      <c r="G1244" s="300"/>
      <c r="H1244" s="545"/>
      <c r="I1244" s="545"/>
      <c r="J1244" s="302"/>
    </row>
    <row r="1245" spans="1:10" s="129" customFormat="1" ht="31.5" x14ac:dyDescent="0.25">
      <c r="A1245" s="24" t="s">
        <v>1080</v>
      </c>
      <c r="B1245" s="296">
        <v>908</v>
      </c>
      <c r="C1245" s="299" t="s">
        <v>168</v>
      </c>
      <c r="D1245" s="299" t="s">
        <v>159</v>
      </c>
      <c r="E1245" s="299" t="s">
        <v>1079</v>
      </c>
      <c r="F1245" s="299"/>
      <c r="G1245" s="297">
        <f t="shared" ref="G1245:G1247" si="90">G1246</f>
        <v>4881.0199999999995</v>
      </c>
      <c r="H1245" s="530"/>
      <c r="I1245" s="530"/>
      <c r="J1245" s="302"/>
    </row>
    <row r="1246" spans="1:10" s="129" customFormat="1" ht="15.75" x14ac:dyDescent="0.25">
      <c r="A1246" s="22" t="s">
        <v>1146</v>
      </c>
      <c r="B1246" s="591">
        <v>908</v>
      </c>
      <c r="C1246" s="346" t="s">
        <v>168</v>
      </c>
      <c r="D1246" s="346" t="s">
        <v>159</v>
      </c>
      <c r="E1246" s="346" t="s">
        <v>1088</v>
      </c>
      <c r="F1246" s="346"/>
      <c r="G1246" s="300">
        <f t="shared" si="90"/>
        <v>4881.0199999999995</v>
      </c>
      <c r="H1246" s="530"/>
      <c r="I1246" s="530"/>
      <c r="J1246" s="302"/>
    </row>
    <row r="1247" spans="1:10" s="129" customFormat="1" ht="31.5" x14ac:dyDescent="0.25">
      <c r="A1247" s="345" t="s">
        <v>123</v>
      </c>
      <c r="B1247" s="591">
        <v>908</v>
      </c>
      <c r="C1247" s="346" t="s">
        <v>168</v>
      </c>
      <c r="D1247" s="346" t="s">
        <v>159</v>
      </c>
      <c r="E1247" s="346" t="s">
        <v>1088</v>
      </c>
      <c r="F1247" s="346" t="s">
        <v>124</v>
      </c>
      <c r="G1247" s="300">
        <f t="shared" si="90"/>
        <v>4881.0199999999995</v>
      </c>
      <c r="H1247" s="530"/>
      <c r="I1247" s="530"/>
      <c r="J1247" s="302"/>
    </row>
    <row r="1248" spans="1:10" s="129" customFormat="1" ht="31.5" x14ac:dyDescent="0.25">
      <c r="A1248" s="345" t="s">
        <v>125</v>
      </c>
      <c r="B1248" s="591">
        <v>908</v>
      </c>
      <c r="C1248" s="346" t="s">
        <v>168</v>
      </c>
      <c r="D1248" s="346" t="s">
        <v>159</v>
      </c>
      <c r="E1248" s="346" t="s">
        <v>1088</v>
      </c>
      <c r="F1248" s="346" t="s">
        <v>126</v>
      </c>
      <c r="G1248" s="300">
        <f>4173.5+178.4+135.74-4173.5+27.53+4539.35</f>
        <v>4881.0199999999995</v>
      </c>
      <c r="H1248" s="530"/>
      <c r="I1248" s="530"/>
      <c r="J1248" s="302"/>
    </row>
    <row r="1249" spans="1:36" s="344" customFormat="1" ht="31.5" x14ac:dyDescent="0.25">
      <c r="A1249" s="298" t="s">
        <v>1279</v>
      </c>
      <c r="B1249" s="296">
        <v>908</v>
      </c>
      <c r="C1249" s="299" t="s">
        <v>168</v>
      </c>
      <c r="D1249" s="299" t="s">
        <v>159</v>
      </c>
      <c r="E1249" s="299" t="s">
        <v>1281</v>
      </c>
      <c r="F1249" s="299"/>
      <c r="G1249" s="297">
        <f>G1250</f>
        <v>7059</v>
      </c>
      <c r="H1249" s="530"/>
      <c r="I1249" s="530"/>
      <c r="J1249" s="302"/>
    </row>
    <row r="1250" spans="1:36" s="344" customFormat="1" ht="60.75" customHeight="1" x14ac:dyDescent="0.25">
      <c r="A1250" s="345" t="s">
        <v>1280</v>
      </c>
      <c r="B1250" s="591">
        <v>908</v>
      </c>
      <c r="C1250" s="346" t="s">
        <v>168</v>
      </c>
      <c r="D1250" s="346" t="s">
        <v>159</v>
      </c>
      <c r="E1250" s="346" t="s">
        <v>1299</v>
      </c>
      <c r="F1250" s="346"/>
      <c r="G1250" s="300">
        <f>G1251</f>
        <v>7059</v>
      </c>
      <c r="H1250" s="530"/>
      <c r="I1250" s="530"/>
      <c r="J1250" s="302"/>
    </row>
    <row r="1251" spans="1:36" s="344" customFormat="1" ht="31.5" x14ac:dyDescent="0.25">
      <c r="A1251" s="345" t="s">
        <v>123</v>
      </c>
      <c r="B1251" s="591">
        <v>908</v>
      </c>
      <c r="C1251" s="346" t="s">
        <v>168</v>
      </c>
      <c r="D1251" s="346" t="s">
        <v>159</v>
      </c>
      <c r="E1251" s="346" t="s">
        <v>1299</v>
      </c>
      <c r="F1251" s="346" t="s">
        <v>124</v>
      </c>
      <c r="G1251" s="300">
        <f>G1252</f>
        <v>7059</v>
      </c>
      <c r="H1251" s="530"/>
      <c r="I1251" s="530"/>
      <c r="J1251" s="302"/>
    </row>
    <row r="1252" spans="1:36" s="344" customFormat="1" ht="31.5" x14ac:dyDescent="0.25">
      <c r="A1252" s="345" t="s">
        <v>125</v>
      </c>
      <c r="B1252" s="591">
        <v>908</v>
      </c>
      <c r="C1252" s="346" t="s">
        <v>168</v>
      </c>
      <c r="D1252" s="346" t="s">
        <v>159</v>
      </c>
      <c r="E1252" s="346" t="s">
        <v>1299</v>
      </c>
      <c r="F1252" s="346" t="s">
        <v>126</v>
      </c>
      <c r="G1252" s="300">
        <v>7059</v>
      </c>
      <c r="H1252" s="530"/>
      <c r="I1252" s="530"/>
      <c r="J1252" s="302"/>
    </row>
    <row r="1253" spans="1:36" s="344" customFormat="1" ht="31.5" x14ac:dyDescent="0.25">
      <c r="A1253" s="298" t="s">
        <v>1304</v>
      </c>
      <c r="B1253" s="296">
        <v>908</v>
      </c>
      <c r="C1253" s="299" t="s">
        <v>168</v>
      </c>
      <c r="D1253" s="299" t="s">
        <v>159</v>
      </c>
      <c r="E1253" s="299" t="s">
        <v>1301</v>
      </c>
      <c r="F1253" s="299"/>
      <c r="G1253" s="297">
        <f>G1254</f>
        <v>2857.2</v>
      </c>
      <c r="H1253" s="530"/>
      <c r="I1253" s="530"/>
      <c r="J1253" s="302"/>
    </row>
    <row r="1254" spans="1:36" s="344" customFormat="1" ht="15.75" x14ac:dyDescent="0.25">
      <c r="A1254" s="345" t="s">
        <v>1302</v>
      </c>
      <c r="B1254" s="591">
        <v>908</v>
      </c>
      <c r="C1254" s="346" t="s">
        <v>168</v>
      </c>
      <c r="D1254" s="346" t="s">
        <v>159</v>
      </c>
      <c r="E1254" s="346" t="s">
        <v>1303</v>
      </c>
      <c r="F1254" s="346"/>
      <c r="G1254" s="300">
        <f>G1255</f>
        <v>2857.2</v>
      </c>
      <c r="H1254" s="530"/>
      <c r="I1254" s="530"/>
      <c r="J1254" s="302"/>
    </row>
    <row r="1255" spans="1:36" s="344" customFormat="1" ht="31.5" x14ac:dyDescent="0.25">
      <c r="A1255" s="345" t="s">
        <v>123</v>
      </c>
      <c r="B1255" s="591">
        <v>908</v>
      </c>
      <c r="C1255" s="346" t="s">
        <v>168</v>
      </c>
      <c r="D1255" s="346" t="s">
        <v>159</v>
      </c>
      <c r="E1255" s="346" t="s">
        <v>1303</v>
      </c>
      <c r="F1255" s="346" t="s">
        <v>124</v>
      </c>
      <c r="G1255" s="300">
        <f>G1256</f>
        <v>2857.2</v>
      </c>
      <c r="H1255" s="530"/>
      <c r="I1255" s="530"/>
      <c r="J1255" s="302"/>
    </row>
    <row r="1256" spans="1:36" s="344" customFormat="1" ht="31.5" x14ac:dyDescent="0.25">
      <c r="A1256" s="345" t="s">
        <v>125</v>
      </c>
      <c r="B1256" s="591">
        <v>908</v>
      </c>
      <c r="C1256" s="346" t="s">
        <v>168</v>
      </c>
      <c r="D1256" s="346" t="s">
        <v>159</v>
      </c>
      <c r="E1256" s="346" t="s">
        <v>1303</v>
      </c>
      <c r="F1256" s="346" t="s">
        <v>126</v>
      </c>
      <c r="G1256" s="300">
        <f>2000+848.6+8.6</f>
        <v>2857.2</v>
      </c>
      <c r="H1256" s="530"/>
      <c r="I1256" s="530"/>
      <c r="J1256" s="302"/>
    </row>
    <row r="1257" spans="1:36" ht="51" customHeight="1" x14ac:dyDescent="0.25">
      <c r="A1257" s="298" t="s">
        <v>1011</v>
      </c>
      <c r="B1257" s="296">
        <v>908</v>
      </c>
      <c r="C1257" s="299" t="s">
        <v>168</v>
      </c>
      <c r="D1257" s="299" t="s">
        <v>159</v>
      </c>
      <c r="E1257" s="299" t="s">
        <v>341</v>
      </c>
      <c r="F1257" s="299"/>
      <c r="G1257" s="297">
        <f>G1258+G1262</f>
        <v>27440.58596</v>
      </c>
      <c r="H1257" s="546"/>
      <c r="I1257" s="546"/>
      <c r="J1257" s="302"/>
      <c r="K1257" s="129"/>
      <c r="AD1257" s="1"/>
      <c r="AE1257" s="1"/>
      <c r="AG1257" s="1"/>
      <c r="AH1257" s="1"/>
      <c r="AJ1257" s="1"/>
    </row>
    <row r="1258" spans="1:36" s="129" customFormat="1" ht="34.5" customHeight="1" x14ac:dyDescent="0.25">
      <c r="A1258" s="298" t="s">
        <v>621</v>
      </c>
      <c r="B1258" s="296">
        <v>908</v>
      </c>
      <c r="C1258" s="299" t="s">
        <v>168</v>
      </c>
      <c r="D1258" s="299" t="s">
        <v>159</v>
      </c>
      <c r="E1258" s="299" t="s">
        <v>639</v>
      </c>
      <c r="F1258" s="299"/>
      <c r="G1258" s="297">
        <f t="shared" ref="G1258:G1260" si="91">G1259</f>
        <v>26088.123599999999</v>
      </c>
      <c r="H1258" s="532"/>
      <c r="I1258" s="532"/>
      <c r="J1258" s="302"/>
    </row>
    <row r="1259" spans="1:36" ht="48.75" customHeight="1" x14ac:dyDescent="0.25">
      <c r="A1259" s="49" t="s">
        <v>333</v>
      </c>
      <c r="B1259" s="591">
        <v>908</v>
      </c>
      <c r="C1259" s="346" t="s">
        <v>168</v>
      </c>
      <c r="D1259" s="346" t="s">
        <v>159</v>
      </c>
      <c r="E1259" s="346" t="s">
        <v>410</v>
      </c>
      <c r="F1259" s="346"/>
      <c r="G1259" s="300">
        <f t="shared" si="91"/>
        <v>26088.123599999999</v>
      </c>
      <c r="H1259" s="532"/>
      <c r="I1259" s="532"/>
      <c r="J1259" s="302"/>
      <c r="K1259" s="129"/>
      <c r="AD1259" s="1"/>
      <c r="AE1259" s="1"/>
      <c r="AG1259" s="1"/>
      <c r="AH1259" s="1"/>
      <c r="AJ1259" s="1"/>
    </row>
    <row r="1260" spans="1:36" ht="31.5" x14ac:dyDescent="0.25">
      <c r="A1260" s="345" t="s">
        <v>123</v>
      </c>
      <c r="B1260" s="591">
        <v>908</v>
      </c>
      <c r="C1260" s="346" t="s">
        <v>168</v>
      </c>
      <c r="D1260" s="346" t="s">
        <v>159</v>
      </c>
      <c r="E1260" s="346" t="s">
        <v>410</v>
      </c>
      <c r="F1260" s="346" t="s">
        <v>124</v>
      </c>
      <c r="G1260" s="300">
        <f t="shared" si="91"/>
        <v>26088.123599999999</v>
      </c>
      <c r="H1260" s="532"/>
      <c r="I1260" s="532"/>
      <c r="J1260" s="302"/>
      <c r="K1260" s="129"/>
      <c r="AD1260" s="1"/>
      <c r="AE1260" s="1"/>
      <c r="AG1260" s="1"/>
      <c r="AH1260" s="1"/>
      <c r="AJ1260" s="1"/>
    </row>
    <row r="1261" spans="1:36" ht="31.5" x14ac:dyDescent="0.25">
      <c r="A1261" s="345" t="s">
        <v>125</v>
      </c>
      <c r="B1261" s="591">
        <v>908</v>
      </c>
      <c r="C1261" s="346" t="s">
        <v>168</v>
      </c>
      <c r="D1261" s="346" t="s">
        <v>159</v>
      </c>
      <c r="E1261" s="346" t="s">
        <v>410</v>
      </c>
      <c r="F1261" s="346" t="s">
        <v>126</v>
      </c>
      <c r="G1261" s="300">
        <f>12080.42538+14007.69822</f>
        <v>26088.123599999999</v>
      </c>
      <c r="H1261" s="532"/>
      <c r="I1261" s="532"/>
      <c r="J1261" s="302"/>
      <c r="K1261" s="129"/>
      <c r="AD1261" s="1"/>
      <c r="AE1261" s="1"/>
      <c r="AG1261" s="1"/>
      <c r="AH1261" s="1"/>
      <c r="AJ1261" s="1"/>
    </row>
    <row r="1262" spans="1:36" s="129" customFormat="1" ht="98.25" customHeight="1" x14ac:dyDescent="0.25">
      <c r="A1262" s="298" t="s">
        <v>1083</v>
      </c>
      <c r="B1262" s="296">
        <v>908</v>
      </c>
      <c r="C1262" s="299" t="s">
        <v>168</v>
      </c>
      <c r="D1262" s="299" t="s">
        <v>159</v>
      </c>
      <c r="E1262" s="299" t="s">
        <v>1084</v>
      </c>
      <c r="F1262" s="299"/>
      <c r="G1262" s="297">
        <f>G1263+G1266</f>
        <v>1352.46236</v>
      </c>
      <c r="H1262" s="532"/>
      <c r="I1262" s="532"/>
      <c r="J1262" s="302"/>
    </row>
    <row r="1263" spans="1:36" s="129" customFormat="1" ht="84.6" hidden="1" customHeight="1" x14ac:dyDescent="0.25">
      <c r="A1263" s="345" t="s">
        <v>1106</v>
      </c>
      <c r="B1263" s="591">
        <v>908</v>
      </c>
      <c r="C1263" s="346" t="s">
        <v>168</v>
      </c>
      <c r="D1263" s="346" t="s">
        <v>159</v>
      </c>
      <c r="E1263" s="346" t="s">
        <v>1085</v>
      </c>
      <c r="F1263" s="346"/>
      <c r="G1263" s="300">
        <f t="shared" ref="G1263:G1264" si="92">G1264</f>
        <v>0</v>
      </c>
      <c r="H1263" s="532"/>
      <c r="I1263" s="532"/>
      <c r="J1263" s="302"/>
    </row>
    <row r="1264" spans="1:36" s="129" customFormat="1" ht="31.15" hidden="1" customHeight="1" x14ac:dyDescent="0.25">
      <c r="A1264" s="345" t="s">
        <v>123</v>
      </c>
      <c r="B1264" s="591">
        <v>908</v>
      </c>
      <c r="C1264" s="346" t="s">
        <v>168</v>
      </c>
      <c r="D1264" s="346" t="s">
        <v>159</v>
      </c>
      <c r="E1264" s="346" t="s">
        <v>1085</v>
      </c>
      <c r="F1264" s="346" t="s">
        <v>124</v>
      </c>
      <c r="G1264" s="300">
        <f t="shared" si="92"/>
        <v>0</v>
      </c>
      <c r="H1264" s="532"/>
      <c r="I1264" s="532"/>
      <c r="J1264" s="302"/>
    </row>
    <row r="1265" spans="1:36" s="129" customFormat="1" ht="31.15" hidden="1" customHeight="1" x14ac:dyDescent="0.25">
      <c r="A1265" s="345" t="s">
        <v>125</v>
      </c>
      <c r="B1265" s="591">
        <v>908</v>
      </c>
      <c r="C1265" s="346" t="s">
        <v>168</v>
      </c>
      <c r="D1265" s="346" t="s">
        <v>159</v>
      </c>
      <c r="E1265" s="346" t="s">
        <v>1085</v>
      </c>
      <c r="F1265" s="346" t="s">
        <v>126</v>
      </c>
      <c r="G1265" s="300"/>
      <c r="H1265" s="532"/>
      <c r="I1265" s="532"/>
      <c r="J1265" s="302"/>
    </row>
    <row r="1266" spans="1:36" s="344" customFormat="1" ht="15.75" x14ac:dyDescent="0.25">
      <c r="A1266" s="345" t="s">
        <v>1309</v>
      </c>
      <c r="B1266" s="591">
        <v>908</v>
      </c>
      <c r="C1266" s="346" t="s">
        <v>168</v>
      </c>
      <c r="D1266" s="346" t="s">
        <v>159</v>
      </c>
      <c r="E1266" s="346" t="s">
        <v>1310</v>
      </c>
      <c r="F1266" s="346"/>
      <c r="G1266" s="300">
        <f>G1267</f>
        <v>1352.46236</v>
      </c>
      <c r="H1266" s="532"/>
      <c r="I1266" s="532"/>
      <c r="J1266" s="302"/>
    </row>
    <row r="1267" spans="1:36" s="344" customFormat="1" ht="31.15" customHeight="1" x14ac:dyDescent="0.25">
      <c r="A1267" s="345" t="s">
        <v>123</v>
      </c>
      <c r="B1267" s="591">
        <v>908</v>
      </c>
      <c r="C1267" s="346" t="s">
        <v>168</v>
      </c>
      <c r="D1267" s="346" t="s">
        <v>159</v>
      </c>
      <c r="E1267" s="346" t="s">
        <v>1310</v>
      </c>
      <c r="F1267" s="346" t="s">
        <v>124</v>
      </c>
      <c r="G1267" s="300">
        <f>G1268</f>
        <v>1352.46236</v>
      </c>
      <c r="H1267" s="532"/>
      <c r="I1267" s="532"/>
      <c r="J1267" s="302"/>
    </row>
    <row r="1268" spans="1:36" s="344" customFormat="1" ht="31.15" customHeight="1" x14ac:dyDescent="0.25">
      <c r="A1268" s="345" t="s">
        <v>125</v>
      </c>
      <c r="B1268" s="591">
        <v>908</v>
      </c>
      <c r="C1268" s="346" t="s">
        <v>168</v>
      </c>
      <c r="D1268" s="346" t="s">
        <v>159</v>
      </c>
      <c r="E1268" s="346" t="s">
        <v>1310</v>
      </c>
      <c r="F1268" s="346" t="s">
        <v>126</v>
      </c>
      <c r="G1268" s="300">
        <v>1352.46236</v>
      </c>
      <c r="H1268" s="532"/>
      <c r="I1268" s="532"/>
      <c r="J1268" s="302"/>
    </row>
    <row r="1269" spans="1:36" ht="31.5" x14ac:dyDescent="0.25">
      <c r="A1269" s="298" t="s">
        <v>281</v>
      </c>
      <c r="B1269" s="296">
        <v>908</v>
      </c>
      <c r="C1269" s="299" t="s">
        <v>168</v>
      </c>
      <c r="D1269" s="299" t="s">
        <v>168</v>
      </c>
      <c r="E1269" s="299"/>
      <c r="F1269" s="299"/>
      <c r="G1269" s="297">
        <f>G1270+G1291+G1316</f>
        <v>32993.101000000002</v>
      </c>
      <c r="H1269" s="532"/>
      <c r="I1269" s="532"/>
      <c r="J1269" s="302"/>
      <c r="K1269" s="129"/>
      <c r="AD1269" s="1"/>
      <c r="AE1269" s="1"/>
      <c r="AG1269" s="1"/>
      <c r="AH1269" s="1"/>
      <c r="AJ1269" s="1"/>
    </row>
    <row r="1270" spans="1:36" ht="31.5" x14ac:dyDescent="0.25">
      <c r="A1270" s="298" t="s">
        <v>486</v>
      </c>
      <c r="B1270" s="296">
        <v>908</v>
      </c>
      <c r="C1270" s="299" t="s">
        <v>168</v>
      </c>
      <c r="D1270" s="299" t="s">
        <v>168</v>
      </c>
      <c r="E1270" s="299" t="s">
        <v>432</v>
      </c>
      <c r="F1270" s="299"/>
      <c r="G1270" s="297">
        <f>G1271+G1285</f>
        <v>16696.27</v>
      </c>
      <c r="H1270" s="532"/>
      <c r="I1270" s="532"/>
      <c r="J1270" s="302"/>
      <c r="K1270" s="129"/>
      <c r="AD1270" s="1"/>
      <c r="AE1270" s="1"/>
      <c r="AG1270" s="1"/>
      <c r="AH1270" s="1"/>
      <c r="AJ1270" s="1"/>
    </row>
    <row r="1271" spans="1:36" ht="15.75" x14ac:dyDescent="0.25">
      <c r="A1271" s="298" t="s">
        <v>487</v>
      </c>
      <c r="B1271" s="296">
        <v>908</v>
      </c>
      <c r="C1271" s="299" t="s">
        <v>168</v>
      </c>
      <c r="D1271" s="299" t="s">
        <v>168</v>
      </c>
      <c r="E1271" s="299" t="s">
        <v>433</v>
      </c>
      <c r="F1271" s="299"/>
      <c r="G1271" s="297">
        <f>G1272+G1282+G1279</f>
        <v>16696.27</v>
      </c>
      <c r="H1271" s="532"/>
      <c r="I1271" s="532"/>
      <c r="J1271" s="302"/>
      <c r="K1271" s="129"/>
      <c r="AD1271" s="1"/>
      <c r="AE1271" s="1"/>
      <c r="AG1271" s="1"/>
      <c r="AH1271" s="1"/>
      <c r="AJ1271" s="1"/>
    </row>
    <row r="1272" spans="1:36" ht="31.9" customHeight="1" x14ac:dyDescent="0.25">
      <c r="A1272" s="345" t="s">
        <v>466</v>
      </c>
      <c r="B1272" s="591">
        <v>908</v>
      </c>
      <c r="C1272" s="346" t="s">
        <v>168</v>
      </c>
      <c r="D1272" s="346" t="s">
        <v>168</v>
      </c>
      <c r="E1272" s="346" t="s">
        <v>434</v>
      </c>
      <c r="F1272" s="346"/>
      <c r="G1272" s="300">
        <f>G1273+G1277+G1275</f>
        <v>14762.020000000002</v>
      </c>
      <c r="H1272" s="532"/>
      <c r="I1272" s="532"/>
      <c r="J1272" s="302"/>
      <c r="K1272" s="129"/>
      <c r="AD1272" s="1"/>
      <c r="AE1272" s="1"/>
      <c r="AG1272" s="1"/>
      <c r="AH1272" s="1"/>
      <c r="AJ1272" s="1"/>
    </row>
    <row r="1273" spans="1:36" ht="60.75" customHeight="1" x14ac:dyDescent="0.25">
      <c r="A1273" s="345" t="s">
        <v>119</v>
      </c>
      <c r="B1273" s="591">
        <v>908</v>
      </c>
      <c r="C1273" s="346" t="s">
        <v>168</v>
      </c>
      <c r="D1273" s="346" t="s">
        <v>168</v>
      </c>
      <c r="E1273" s="346" t="s">
        <v>434</v>
      </c>
      <c r="F1273" s="346" t="s">
        <v>120</v>
      </c>
      <c r="G1273" s="300">
        <f>G1274</f>
        <v>14602.670000000002</v>
      </c>
      <c r="H1273" s="532"/>
      <c r="I1273" s="532"/>
      <c r="J1273" s="302"/>
      <c r="K1273" s="129"/>
      <c r="AD1273" s="1"/>
      <c r="AE1273" s="1"/>
      <c r="AG1273" s="1"/>
      <c r="AH1273" s="1"/>
      <c r="AJ1273" s="1"/>
    </row>
    <row r="1274" spans="1:36" ht="31.5" x14ac:dyDescent="0.25">
      <c r="A1274" s="345" t="s">
        <v>121</v>
      </c>
      <c r="B1274" s="591">
        <v>908</v>
      </c>
      <c r="C1274" s="346" t="s">
        <v>168</v>
      </c>
      <c r="D1274" s="346" t="s">
        <v>168</v>
      </c>
      <c r="E1274" s="346" t="s">
        <v>434</v>
      </c>
      <c r="F1274" s="346" t="s">
        <v>122</v>
      </c>
      <c r="G1274" s="18">
        <f>13811.15+45.6-1000+1000+713.12+3.7+29.1</f>
        <v>14602.670000000002</v>
      </c>
      <c r="H1274" s="530"/>
      <c r="I1274" s="530"/>
      <c r="J1274" s="302"/>
      <c r="K1274" s="129"/>
      <c r="AD1274" s="1"/>
      <c r="AE1274" s="1"/>
      <c r="AG1274" s="1"/>
      <c r="AH1274" s="1"/>
      <c r="AJ1274" s="1"/>
    </row>
    <row r="1275" spans="1:36" ht="31.5" x14ac:dyDescent="0.25">
      <c r="A1275" s="345" t="s">
        <v>123</v>
      </c>
      <c r="B1275" s="591">
        <v>908</v>
      </c>
      <c r="C1275" s="346" t="s">
        <v>168</v>
      </c>
      <c r="D1275" s="346" t="s">
        <v>168</v>
      </c>
      <c r="E1275" s="346" t="s">
        <v>434</v>
      </c>
      <c r="F1275" s="346" t="s">
        <v>124</v>
      </c>
      <c r="G1275" s="300">
        <f>G1276</f>
        <v>139.19999999999999</v>
      </c>
      <c r="H1275" s="532"/>
      <c r="I1275" s="532"/>
      <c r="J1275" s="302"/>
      <c r="K1275" s="129"/>
      <c r="AD1275" s="1"/>
      <c r="AE1275" s="1"/>
      <c r="AG1275" s="1"/>
      <c r="AH1275" s="1"/>
      <c r="AJ1275" s="1"/>
    </row>
    <row r="1276" spans="1:36" ht="36.75" customHeight="1" x14ac:dyDescent="0.25">
      <c r="A1276" s="345" t="s">
        <v>125</v>
      </c>
      <c r="B1276" s="591">
        <v>908</v>
      </c>
      <c r="C1276" s="346" t="s">
        <v>168</v>
      </c>
      <c r="D1276" s="346" t="s">
        <v>168</v>
      </c>
      <c r="E1276" s="346" t="s">
        <v>434</v>
      </c>
      <c r="F1276" s="346" t="s">
        <v>126</v>
      </c>
      <c r="G1276" s="18">
        <f>25+95.8+14.2+17+0.1-14+1.1</f>
        <v>139.19999999999999</v>
      </c>
      <c r="H1276" s="532"/>
      <c r="I1276" s="532"/>
      <c r="J1276" s="302"/>
      <c r="K1276" s="129"/>
      <c r="AD1276" s="1"/>
      <c r="AE1276" s="1"/>
      <c r="AG1276" s="1"/>
      <c r="AH1276" s="1"/>
      <c r="AJ1276" s="1"/>
    </row>
    <row r="1277" spans="1:36" ht="15.75" x14ac:dyDescent="0.25">
      <c r="A1277" s="345" t="s">
        <v>127</v>
      </c>
      <c r="B1277" s="591">
        <v>908</v>
      </c>
      <c r="C1277" s="346" t="s">
        <v>168</v>
      </c>
      <c r="D1277" s="346" t="s">
        <v>168</v>
      </c>
      <c r="E1277" s="346" t="s">
        <v>434</v>
      </c>
      <c r="F1277" s="346" t="s">
        <v>134</v>
      </c>
      <c r="G1277" s="300">
        <f>G1278</f>
        <v>20.150000000000002</v>
      </c>
      <c r="H1277" s="532"/>
      <c r="I1277" s="532"/>
      <c r="J1277" s="302"/>
      <c r="K1277" s="129"/>
      <c r="AD1277" s="1"/>
      <c r="AE1277" s="1"/>
      <c r="AG1277" s="1"/>
      <c r="AH1277" s="1"/>
      <c r="AJ1277" s="1"/>
    </row>
    <row r="1278" spans="1:36" ht="15.75" x14ac:dyDescent="0.25">
      <c r="A1278" s="345" t="s">
        <v>280</v>
      </c>
      <c r="B1278" s="591">
        <v>908</v>
      </c>
      <c r="C1278" s="346" t="s">
        <v>168</v>
      </c>
      <c r="D1278" s="346" t="s">
        <v>168</v>
      </c>
      <c r="E1278" s="346" t="s">
        <v>434</v>
      </c>
      <c r="F1278" s="346" t="s">
        <v>130</v>
      </c>
      <c r="G1278" s="300">
        <f>16.8+2.1+1+0.25</f>
        <v>20.150000000000002</v>
      </c>
      <c r="H1278" s="532"/>
      <c r="I1278" s="532"/>
      <c r="J1278" s="302"/>
      <c r="K1278" s="129"/>
      <c r="AD1278" s="1"/>
      <c r="AE1278" s="1"/>
      <c r="AG1278" s="1"/>
      <c r="AH1278" s="1"/>
      <c r="AJ1278" s="1"/>
    </row>
    <row r="1279" spans="1:36" s="129" customFormat="1" ht="31.5" x14ac:dyDescent="0.25">
      <c r="A1279" s="345" t="s">
        <v>415</v>
      </c>
      <c r="B1279" s="591">
        <v>908</v>
      </c>
      <c r="C1279" s="346" t="s">
        <v>168</v>
      </c>
      <c r="D1279" s="346" t="s">
        <v>168</v>
      </c>
      <c r="E1279" s="346" t="s">
        <v>435</v>
      </c>
      <c r="F1279" s="346"/>
      <c r="G1279" s="300">
        <f>G1280</f>
        <v>1477.2</v>
      </c>
      <c r="H1279" s="532"/>
      <c r="I1279" s="532"/>
      <c r="J1279" s="302"/>
    </row>
    <row r="1280" spans="1:36" s="129" customFormat="1" ht="63" x14ac:dyDescent="0.25">
      <c r="A1280" s="345" t="s">
        <v>119</v>
      </c>
      <c r="B1280" s="591">
        <v>908</v>
      </c>
      <c r="C1280" s="346" t="s">
        <v>168</v>
      </c>
      <c r="D1280" s="346" t="s">
        <v>168</v>
      </c>
      <c r="E1280" s="346" t="s">
        <v>435</v>
      </c>
      <c r="F1280" s="346" t="s">
        <v>120</v>
      </c>
      <c r="G1280" s="300">
        <f>G1281</f>
        <v>1477.2</v>
      </c>
      <c r="H1280" s="532"/>
      <c r="I1280" s="532"/>
      <c r="J1280" s="302"/>
    </row>
    <row r="1281" spans="1:36" s="129" customFormat="1" ht="31.5" x14ac:dyDescent="0.25">
      <c r="A1281" s="345" t="s">
        <v>121</v>
      </c>
      <c r="B1281" s="591">
        <v>908</v>
      </c>
      <c r="C1281" s="346" t="s">
        <v>168</v>
      </c>
      <c r="D1281" s="346" t="s">
        <v>168</v>
      </c>
      <c r="E1281" s="346" t="s">
        <v>435</v>
      </c>
      <c r="F1281" s="346" t="s">
        <v>122</v>
      </c>
      <c r="G1281" s="300">
        <f>1231.3+242.4+3.5</f>
        <v>1477.2</v>
      </c>
      <c r="H1281" s="532"/>
      <c r="I1281" s="532"/>
      <c r="J1281" s="302"/>
    </row>
    <row r="1282" spans="1:36" s="129" customFormat="1" ht="31.5" x14ac:dyDescent="0.25">
      <c r="A1282" s="345" t="s">
        <v>414</v>
      </c>
      <c r="B1282" s="591">
        <v>908</v>
      </c>
      <c r="C1282" s="346" t="s">
        <v>168</v>
      </c>
      <c r="D1282" s="346" t="s">
        <v>168</v>
      </c>
      <c r="E1282" s="346" t="s">
        <v>436</v>
      </c>
      <c r="F1282" s="346"/>
      <c r="G1282" s="300">
        <f>G1283</f>
        <v>457.04999999999995</v>
      </c>
      <c r="H1282" s="532"/>
      <c r="I1282" s="532"/>
      <c r="J1282" s="302"/>
    </row>
    <row r="1283" spans="1:36" s="129" customFormat="1" ht="63" x14ac:dyDescent="0.25">
      <c r="A1283" s="345" t="s">
        <v>119</v>
      </c>
      <c r="B1283" s="591">
        <v>908</v>
      </c>
      <c r="C1283" s="346" t="s">
        <v>168</v>
      </c>
      <c r="D1283" s="346" t="s">
        <v>168</v>
      </c>
      <c r="E1283" s="346" t="s">
        <v>436</v>
      </c>
      <c r="F1283" s="346" t="s">
        <v>120</v>
      </c>
      <c r="G1283" s="300">
        <f>G1284</f>
        <v>457.04999999999995</v>
      </c>
      <c r="H1283" s="532"/>
      <c r="I1283" s="532"/>
      <c r="J1283" s="302"/>
    </row>
    <row r="1284" spans="1:36" s="129" customFormat="1" ht="31.5" x14ac:dyDescent="0.25">
      <c r="A1284" s="345" t="s">
        <v>121</v>
      </c>
      <c r="B1284" s="591">
        <v>908</v>
      </c>
      <c r="C1284" s="346" t="s">
        <v>168</v>
      </c>
      <c r="D1284" s="346" t="s">
        <v>168</v>
      </c>
      <c r="E1284" s="346" t="s">
        <v>436</v>
      </c>
      <c r="F1284" s="346" t="s">
        <v>122</v>
      </c>
      <c r="G1284" s="300">
        <f>368+340-188-0.25-33.6-29.1</f>
        <v>457.04999999999995</v>
      </c>
      <c r="H1284" s="532"/>
      <c r="I1284" s="532"/>
      <c r="J1284" s="302"/>
    </row>
    <row r="1285" spans="1:36" s="344" customFormat="1" ht="31.5" hidden="1" x14ac:dyDescent="0.25">
      <c r="A1285" s="298" t="s">
        <v>458</v>
      </c>
      <c r="B1285" s="296">
        <v>908</v>
      </c>
      <c r="C1285" s="299" t="s">
        <v>168</v>
      </c>
      <c r="D1285" s="299" t="s">
        <v>168</v>
      </c>
      <c r="E1285" s="299" t="s">
        <v>437</v>
      </c>
      <c r="F1285" s="299"/>
      <c r="G1285" s="297">
        <f t="shared" ref="G1285:G1287" si="93">G1286</f>
        <v>0</v>
      </c>
      <c r="H1285" s="532"/>
      <c r="I1285" s="532"/>
      <c r="J1285" s="302"/>
    </row>
    <row r="1286" spans="1:36" s="344" customFormat="1" ht="78.75" hidden="1" x14ac:dyDescent="0.25">
      <c r="A1286" s="22" t="s">
        <v>717</v>
      </c>
      <c r="B1286" s="591">
        <v>908</v>
      </c>
      <c r="C1286" s="346" t="s">
        <v>168</v>
      </c>
      <c r="D1286" s="346" t="s">
        <v>168</v>
      </c>
      <c r="E1286" s="346" t="s">
        <v>716</v>
      </c>
      <c r="F1286" s="346"/>
      <c r="G1286" s="300">
        <f>G1287+G1289</f>
        <v>0</v>
      </c>
      <c r="H1286" s="532"/>
      <c r="I1286" s="532"/>
      <c r="J1286" s="302"/>
    </row>
    <row r="1287" spans="1:36" s="344" customFormat="1" ht="63" hidden="1" x14ac:dyDescent="0.25">
      <c r="A1287" s="345" t="s">
        <v>119</v>
      </c>
      <c r="B1287" s="591">
        <v>908</v>
      </c>
      <c r="C1287" s="346" t="s">
        <v>168</v>
      </c>
      <c r="D1287" s="346" t="s">
        <v>168</v>
      </c>
      <c r="E1287" s="346" t="s">
        <v>716</v>
      </c>
      <c r="F1287" s="346" t="s">
        <v>120</v>
      </c>
      <c r="G1287" s="300">
        <f t="shared" si="93"/>
        <v>0</v>
      </c>
      <c r="H1287" s="532"/>
      <c r="I1287" s="532"/>
      <c r="J1287" s="302"/>
    </row>
    <row r="1288" spans="1:36" s="344" customFormat="1" ht="31.5" hidden="1" x14ac:dyDescent="0.25">
      <c r="A1288" s="345" t="s">
        <v>121</v>
      </c>
      <c r="B1288" s="591">
        <v>908</v>
      </c>
      <c r="C1288" s="346" t="s">
        <v>168</v>
      </c>
      <c r="D1288" s="346" t="s">
        <v>168</v>
      </c>
      <c r="E1288" s="346" t="s">
        <v>716</v>
      </c>
      <c r="F1288" s="346" t="s">
        <v>122</v>
      </c>
      <c r="G1288" s="300">
        <f>16.6-16.6</f>
        <v>0</v>
      </c>
      <c r="H1288" s="532"/>
      <c r="I1288" s="532"/>
      <c r="J1288" s="302"/>
    </row>
    <row r="1289" spans="1:36" s="344" customFormat="1" ht="31.5" hidden="1" x14ac:dyDescent="0.25">
      <c r="A1289" s="345" t="s">
        <v>123</v>
      </c>
      <c r="B1289" s="591">
        <v>908</v>
      </c>
      <c r="C1289" s="346" t="s">
        <v>168</v>
      </c>
      <c r="D1289" s="346" t="s">
        <v>168</v>
      </c>
      <c r="E1289" s="346" t="s">
        <v>716</v>
      </c>
      <c r="F1289" s="346" t="s">
        <v>124</v>
      </c>
      <c r="G1289" s="300">
        <f>G1290</f>
        <v>0</v>
      </c>
      <c r="H1289" s="532"/>
      <c r="I1289" s="532"/>
      <c r="J1289" s="302"/>
    </row>
    <row r="1290" spans="1:36" s="344" customFormat="1" ht="31.5" hidden="1" x14ac:dyDescent="0.25">
      <c r="A1290" s="345" t="s">
        <v>125</v>
      </c>
      <c r="B1290" s="591">
        <v>908</v>
      </c>
      <c r="C1290" s="346" t="s">
        <v>168</v>
      </c>
      <c r="D1290" s="346" t="s">
        <v>168</v>
      </c>
      <c r="E1290" s="346" t="s">
        <v>716</v>
      </c>
      <c r="F1290" s="346" t="s">
        <v>126</v>
      </c>
      <c r="G1290" s="300">
        <f>16.6-16.6</f>
        <v>0</v>
      </c>
      <c r="H1290" s="532"/>
      <c r="I1290" s="532"/>
      <c r="J1290" s="302"/>
    </row>
    <row r="1291" spans="1:36" ht="15.75" x14ac:dyDescent="0.25">
      <c r="A1291" s="298" t="s">
        <v>133</v>
      </c>
      <c r="B1291" s="296">
        <v>908</v>
      </c>
      <c r="C1291" s="299" t="s">
        <v>168</v>
      </c>
      <c r="D1291" s="299" t="s">
        <v>168</v>
      </c>
      <c r="E1291" s="299" t="s">
        <v>440</v>
      </c>
      <c r="F1291" s="299"/>
      <c r="G1291" s="297">
        <f>G1292+G1303</f>
        <v>16296.831</v>
      </c>
      <c r="H1291" s="532"/>
      <c r="I1291" s="532"/>
      <c r="J1291" s="302"/>
      <c r="K1291" s="129"/>
      <c r="AD1291" s="1"/>
      <c r="AE1291" s="1"/>
      <c r="AG1291" s="1"/>
      <c r="AH1291" s="1"/>
      <c r="AJ1291" s="1"/>
    </row>
    <row r="1292" spans="1:36" s="344" customFormat="1" ht="15.75" x14ac:dyDescent="0.25">
      <c r="A1292" s="298" t="s">
        <v>517</v>
      </c>
      <c r="B1292" s="296">
        <v>908</v>
      </c>
      <c r="C1292" s="299" t="s">
        <v>168</v>
      </c>
      <c r="D1292" s="299" t="s">
        <v>168</v>
      </c>
      <c r="E1292" s="299" t="s">
        <v>516</v>
      </c>
      <c r="F1292" s="299"/>
      <c r="G1292" s="28">
        <f>G1293+G1296</f>
        <v>14513.2</v>
      </c>
      <c r="H1292" s="532"/>
      <c r="I1292" s="532"/>
      <c r="J1292" s="302"/>
    </row>
    <row r="1293" spans="1:36" s="344" customFormat="1" ht="31.5" x14ac:dyDescent="0.25">
      <c r="A1293" s="345" t="s">
        <v>414</v>
      </c>
      <c r="B1293" s="591">
        <v>908</v>
      </c>
      <c r="C1293" s="346" t="s">
        <v>168</v>
      </c>
      <c r="D1293" s="346" t="s">
        <v>168</v>
      </c>
      <c r="E1293" s="346" t="s">
        <v>519</v>
      </c>
      <c r="F1293" s="346"/>
      <c r="G1293" s="300">
        <f>G1294</f>
        <v>275.20000000000005</v>
      </c>
      <c r="H1293" s="532"/>
      <c r="I1293" s="532"/>
      <c r="J1293" s="302"/>
    </row>
    <row r="1294" spans="1:36" s="344" customFormat="1" ht="63" x14ac:dyDescent="0.25">
      <c r="A1294" s="345" t="s">
        <v>119</v>
      </c>
      <c r="B1294" s="591">
        <v>908</v>
      </c>
      <c r="C1294" s="346" t="s">
        <v>168</v>
      </c>
      <c r="D1294" s="346" t="s">
        <v>168</v>
      </c>
      <c r="E1294" s="346" t="s">
        <v>519</v>
      </c>
      <c r="F1294" s="346" t="s">
        <v>120</v>
      </c>
      <c r="G1294" s="300">
        <f>G1295</f>
        <v>275.20000000000005</v>
      </c>
      <c r="H1294" s="532"/>
      <c r="I1294" s="532"/>
      <c r="J1294" s="302"/>
    </row>
    <row r="1295" spans="1:36" s="344" customFormat="1" ht="15.75" x14ac:dyDescent="0.25">
      <c r="A1295" s="345" t="s">
        <v>212</v>
      </c>
      <c r="B1295" s="591">
        <v>908</v>
      </c>
      <c r="C1295" s="346" t="s">
        <v>168</v>
      </c>
      <c r="D1295" s="346" t="s">
        <v>168</v>
      </c>
      <c r="E1295" s="346" t="s">
        <v>519</v>
      </c>
      <c r="F1295" s="346" t="s">
        <v>156</v>
      </c>
      <c r="G1295" s="300">
        <f>498-100-50.4-50-1-21.4</f>
        <v>275.20000000000005</v>
      </c>
      <c r="H1295" s="532"/>
      <c r="I1295" s="532"/>
      <c r="J1295" s="302"/>
    </row>
    <row r="1296" spans="1:36" s="344" customFormat="1" ht="15.75" x14ac:dyDescent="0.25">
      <c r="A1296" s="345" t="s">
        <v>377</v>
      </c>
      <c r="B1296" s="591">
        <v>908</v>
      </c>
      <c r="C1296" s="346" t="s">
        <v>168</v>
      </c>
      <c r="D1296" s="346" t="s">
        <v>168</v>
      </c>
      <c r="E1296" s="346" t="s">
        <v>518</v>
      </c>
      <c r="F1296" s="346"/>
      <c r="G1296" s="300">
        <f>G1298+G1300+G1301</f>
        <v>14238</v>
      </c>
      <c r="H1296" s="532"/>
      <c r="I1296" s="532"/>
      <c r="J1296" s="302"/>
    </row>
    <row r="1297" spans="1:36" s="344" customFormat="1" ht="63" x14ac:dyDescent="0.25">
      <c r="A1297" s="345" t="s">
        <v>119</v>
      </c>
      <c r="B1297" s="591">
        <v>908</v>
      </c>
      <c r="C1297" s="346" t="s">
        <v>168</v>
      </c>
      <c r="D1297" s="346" t="s">
        <v>168</v>
      </c>
      <c r="E1297" s="346" t="s">
        <v>518</v>
      </c>
      <c r="F1297" s="346" t="s">
        <v>120</v>
      </c>
      <c r="G1297" s="300">
        <f>G1298</f>
        <v>11336.5</v>
      </c>
      <c r="H1297" s="532"/>
      <c r="I1297" s="532"/>
      <c r="J1297" s="302"/>
    </row>
    <row r="1298" spans="1:36" s="344" customFormat="1" ht="15.75" x14ac:dyDescent="0.25">
      <c r="A1298" s="345" t="s">
        <v>212</v>
      </c>
      <c r="B1298" s="591">
        <v>908</v>
      </c>
      <c r="C1298" s="346" t="s">
        <v>168</v>
      </c>
      <c r="D1298" s="346" t="s">
        <v>168</v>
      </c>
      <c r="E1298" s="346" t="s">
        <v>518</v>
      </c>
      <c r="F1298" s="346" t="s">
        <v>156</v>
      </c>
      <c r="G1298" s="18">
        <f>10270.7+17.3-1100+1000+1109-17.3-13.2+70</f>
        <v>11336.5</v>
      </c>
      <c r="H1298" s="532"/>
      <c r="I1298" s="532"/>
      <c r="J1298" s="302"/>
    </row>
    <row r="1299" spans="1:36" s="344" customFormat="1" ht="31.5" x14ac:dyDescent="0.25">
      <c r="A1299" s="345" t="s">
        <v>123</v>
      </c>
      <c r="B1299" s="591">
        <v>908</v>
      </c>
      <c r="C1299" s="346" t="s">
        <v>168</v>
      </c>
      <c r="D1299" s="346" t="s">
        <v>168</v>
      </c>
      <c r="E1299" s="346" t="s">
        <v>518</v>
      </c>
      <c r="F1299" s="346" t="s">
        <v>124</v>
      </c>
      <c r="G1299" s="300">
        <f>G1300</f>
        <v>2875.7</v>
      </c>
      <c r="H1299" s="532"/>
      <c r="I1299" s="532"/>
      <c r="J1299" s="302"/>
    </row>
    <row r="1300" spans="1:36" s="344" customFormat="1" ht="31.5" x14ac:dyDescent="0.25">
      <c r="A1300" s="345" t="s">
        <v>125</v>
      </c>
      <c r="B1300" s="591">
        <v>908</v>
      </c>
      <c r="C1300" s="346" t="s">
        <v>168</v>
      </c>
      <c r="D1300" s="346" t="s">
        <v>168</v>
      </c>
      <c r="E1300" s="346" t="s">
        <v>518</v>
      </c>
      <c r="F1300" s="346" t="s">
        <v>126</v>
      </c>
      <c r="G1300" s="18">
        <f>1791.1+100-95.8+100+100+50.4+50+1+609+170</f>
        <v>2875.7</v>
      </c>
      <c r="H1300" s="532"/>
      <c r="I1300" s="532"/>
      <c r="J1300" s="302"/>
    </row>
    <row r="1301" spans="1:36" s="344" customFormat="1" ht="15.75" x14ac:dyDescent="0.25">
      <c r="A1301" s="345" t="s">
        <v>127</v>
      </c>
      <c r="B1301" s="591">
        <v>908</v>
      </c>
      <c r="C1301" s="346" t="s">
        <v>168</v>
      </c>
      <c r="D1301" s="346" t="s">
        <v>168</v>
      </c>
      <c r="E1301" s="346" t="s">
        <v>518</v>
      </c>
      <c r="F1301" s="346" t="s">
        <v>134</v>
      </c>
      <c r="G1301" s="18">
        <f>G1302</f>
        <v>25.799999999999997</v>
      </c>
      <c r="H1301" s="532"/>
      <c r="I1301" s="532"/>
      <c r="J1301" s="302"/>
    </row>
    <row r="1302" spans="1:36" s="344" customFormat="1" ht="15.75" x14ac:dyDescent="0.25">
      <c r="A1302" s="345" t="s">
        <v>280</v>
      </c>
      <c r="B1302" s="591">
        <v>908</v>
      </c>
      <c r="C1302" s="346" t="s">
        <v>168</v>
      </c>
      <c r="D1302" s="346" t="s">
        <v>168</v>
      </c>
      <c r="E1302" s="346" t="s">
        <v>518</v>
      </c>
      <c r="F1302" s="346" t="s">
        <v>130</v>
      </c>
      <c r="G1302" s="18">
        <f>47-3.1-18.1</f>
        <v>25.799999999999997</v>
      </c>
      <c r="H1302" s="532"/>
      <c r="I1302" s="532"/>
      <c r="J1302" s="302"/>
    </row>
    <row r="1303" spans="1:36" s="129" customFormat="1" ht="31.5" x14ac:dyDescent="0.25">
      <c r="A1303" s="298" t="s">
        <v>444</v>
      </c>
      <c r="B1303" s="296">
        <v>908</v>
      </c>
      <c r="C1303" s="299" t="s">
        <v>168</v>
      </c>
      <c r="D1303" s="299" t="s">
        <v>168</v>
      </c>
      <c r="E1303" s="299" t="s">
        <v>439</v>
      </c>
      <c r="F1303" s="299"/>
      <c r="G1303" s="297">
        <f>G1304+G1311</f>
        <v>1783.6309999999999</v>
      </c>
      <c r="H1303" s="532"/>
      <c r="I1303" s="532"/>
      <c r="J1303" s="302"/>
    </row>
    <row r="1304" spans="1:36" ht="31.5" x14ac:dyDescent="0.25">
      <c r="A1304" s="345" t="s">
        <v>282</v>
      </c>
      <c r="B1304" s="591">
        <v>908</v>
      </c>
      <c r="C1304" s="346" t="s">
        <v>168</v>
      </c>
      <c r="D1304" s="346" t="s">
        <v>168</v>
      </c>
      <c r="E1304" s="346" t="s">
        <v>547</v>
      </c>
      <c r="F1304" s="346"/>
      <c r="G1304" s="18">
        <f>G1307+G1305</f>
        <v>1783.6309999999999</v>
      </c>
      <c r="H1304" s="532"/>
      <c r="I1304" s="532"/>
      <c r="J1304" s="302"/>
      <c r="K1304" s="129"/>
      <c r="AD1304" s="1"/>
      <c r="AE1304" s="1"/>
      <c r="AG1304" s="1"/>
      <c r="AH1304" s="1"/>
      <c r="AJ1304" s="1"/>
    </row>
    <row r="1305" spans="1:36" s="129" customFormat="1" ht="15.75" hidden="1" x14ac:dyDescent="0.25">
      <c r="A1305" s="345" t="s">
        <v>990</v>
      </c>
      <c r="B1305" s="591">
        <v>908</v>
      </c>
      <c r="C1305" s="346" t="s">
        <v>168</v>
      </c>
      <c r="D1305" s="346" t="s">
        <v>168</v>
      </c>
      <c r="E1305" s="346" t="s">
        <v>547</v>
      </c>
      <c r="F1305" s="346" t="s">
        <v>178</v>
      </c>
      <c r="G1305" s="18">
        <f>G1306</f>
        <v>0</v>
      </c>
      <c r="H1305" s="532"/>
      <c r="I1305" s="532"/>
      <c r="J1305" s="302"/>
    </row>
    <row r="1306" spans="1:36" s="129" customFormat="1" ht="15.75" hidden="1" x14ac:dyDescent="0.25">
      <c r="A1306" s="345" t="s">
        <v>989</v>
      </c>
      <c r="B1306" s="591">
        <v>908</v>
      </c>
      <c r="C1306" s="346" t="s">
        <v>168</v>
      </c>
      <c r="D1306" s="346" t="s">
        <v>168</v>
      </c>
      <c r="E1306" s="346" t="s">
        <v>547</v>
      </c>
      <c r="F1306" s="346" t="s">
        <v>991</v>
      </c>
      <c r="G1306" s="18">
        <f>4500-240-240-1748.75-2271.25</f>
        <v>0</v>
      </c>
      <c r="H1306" s="530"/>
      <c r="I1306" s="530"/>
      <c r="J1306" s="302"/>
    </row>
    <row r="1307" spans="1:36" ht="15.75" x14ac:dyDescent="0.25">
      <c r="A1307" s="345" t="s">
        <v>127</v>
      </c>
      <c r="B1307" s="591">
        <v>908</v>
      </c>
      <c r="C1307" s="346" t="s">
        <v>168</v>
      </c>
      <c r="D1307" s="346" t="s">
        <v>168</v>
      </c>
      <c r="E1307" s="346" t="s">
        <v>547</v>
      </c>
      <c r="F1307" s="346" t="s">
        <v>134</v>
      </c>
      <c r="G1307" s="18">
        <f>G1308+G1309+G1310</f>
        <v>1783.6309999999999</v>
      </c>
      <c r="H1307" s="532"/>
      <c r="I1307" s="532"/>
      <c r="J1307" s="302"/>
      <c r="K1307" s="129"/>
      <c r="AD1307" s="1"/>
      <c r="AE1307" s="1"/>
      <c r="AG1307" s="1"/>
      <c r="AH1307" s="1"/>
      <c r="AJ1307" s="1"/>
    </row>
    <row r="1308" spans="1:36" ht="47.25" customHeight="1" x14ac:dyDescent="0.25">
      <c r="A1308" s="345" t="s">
        <v>148</v>
      </c>
      <c r="B1308" s="591">
        <v>908</v>
      </c>
      <c r="C1308" s="346" t="s">
        <v>168</v>
      </c>
      <c r="D1308" s="346" t="s">
        <v>168</v>
      </c>
      <c r="E1308" s="346" t="s">
        <v>547</v>
      </c>
      <c r="F1308" s="346" t="s">
        <v>142</v>
      </c>
      <c r="G1308" s="18">
        <f>982+364.531+437.1</f>
        <v>1783.6309999999999</v>
      </c>
      <c r="H1308" s="532"/>
      <c r="I1308" s="532"/>
      <c r="J1308" s="302"/>
      <c r="K1308" s="129"/>
      <c r="AD1308" s="1"/>
      <c r="AE1308" s="1"/>
      <c r="AG1308" s="1"/>
      <c r="AH1308" s="1"/>
      <c r="AJ1308" s="1"/>
    </row>
    <row r="1309" spans="1:36" s="129" customFormat="1" ht="15.75" hidden="1" x14ac:dyDescent="0.25">
      <c r="A1309" s="345" t="s">
        <v>338</v>
      </c>
      <c r="B1309" s="591">
        <v>908</v>
      </c>
      <c r="C1309" s="346" t="s">
        <v>168</v>
      </c>
      <c r="D1309" s="346" t="s">
        <v>168</v>
      </c>
      <c r="E1309" s="346" t="s">
        <v>547</v>
      </c>
      <c r="F1309" s="346" t="s">
        <v>130</v>
      </c>
      <c r="G1309" s="18"/>
      <c r="H1309" s="530"/>
      <c r="I1309" s="530"/>
      <c r="J1309" s="302"/>
      <c r="K1309" s="320"/>
      <c r="N1309" s="320"/>
      <c r="Q1309" s="320"/>
      <c r="S1309" s="320"/>
    </row>
    <row r="1310" spans="1:36" s="129" customFormat="1" ht="15.75" hidden="1" x14ac:dyDescent="0.25">
      <c r="A1310" s="345" t="s">
        <v>1060</v>
      </c>
      <c r="B1310" s="591">
        <v>908</v>
      </c>
      <c r="C1310" s="346" t="s">
        <v>168</v>
      </c>
      <c r="D1310" s="346" t="s">
        <v>168</v>
      </c>
      <c r="E1310" s="346" t="s">
        <v>547</v>
      </c>
      <c r="F1310" s="346" t="s">
        <v>1061</v>
      </c>
      <c r="G1310" s="18">
        <f>240-240</f>
        <v>0</v>
      </c>
      <c r="H1310" s="532"/>
      <c r="I1310" s="532"/>
      <c r="J1310" s="302"/>
    </row>
    <row r="1311" spans="1:36" s="129" customFormat="1" ht="37.5" hidden="1" customHeight="1" x14ac:dyDescent="0.25">
      <c r="A1311" s="345" t="s">
        <v>1073</v>
      </c>
      <c r="B1311" s="591">
        <v>908</v>
      </c>
      <c r="C1311" s="346" t="s">
        <v>168</v>
      </c>
      <c r="D1311" s="346" t="s">
        <v>168</v>
      </c>
      <c r="E1311" s="346" t="s">
        <v>1074</v>
      </c>
      <c r="F1311" s="346"/>
      <c r="G1311" s="18">
        <f>G1312+G1314</f>
        <v>0</v>
      </c>
      <c r="H1311" s="532"/>
      <c r="I1311" s="532"/>
      <c r="J1311" s="302"/>
    </row>
    <row r="1312" spans="1:36" s="129" customFormat="1" ht="21.75" hidden="1" customHeight="1" x14ac:dyDescent="0.25">
      <c r="A1312" s="345" t="s">
        <v>1076</v>
      </c>
      <c r="B1312" s="591">
        <v>908</v>
      </c>
      <c r="C1312" s="346" t="s">
        <v>168</v>
      </c>
      <c r="D1312" s="346" t="s">
        <v>168</v>
      </c>
      <c r="E1312" s="346" t="s">
        <v>1074</v>
      </c>
      <c r="F1312" s="346" t="s">
        <v>412</v>
      </c>
      <c r="G1312" s="18">
        <f>G1313</f>
        <v>0</v>
      </c>
      <c r="H1312" s="532"/>
      <c r="I1312" s="532"/>
      <c r="J1312" s="302"/>
    </row>
    <row r="1313" spans="1:36" s="129" customFormat="1" ht="35.25" hidden="1" customHeight="1" x14ac:dyDescent="0.25">
      <c r="A1313" s="345" t="s">
        <v>413</v>
      </c>
      <c r="B1313" s="591">
        <v>908</v>
      </c>
      <c r="C1313" s="346" t="s">
        <v>168</v>
      </c>
      <c r="D1313" s="346" t="s">
        <v>168</v>
      </c>
      <c r="E1313" s="346" t="s">
        <v>1074</v>
      </c>
      <c r="F1313" s="346" t="s">
        <v>1077</v>
      </c>
      <c r="G1313" s="18"/>
      <c r="H1313" s="547"/>
      <c r="I1313" s="547"/>
      <c r="J1313" s="302"/>
    </row>
    <row r="1314" spans="1:36" s="129" customFormat="1" ht="21.75" hidden="1" customHeight="1" x14ac:dyDescent="0.25">
      <c r="A1314" s="345" t="s">
        <v>127</v>
      </c>
      <c r="B1314" s="591">
        <v>908</v>
      </c>
      <c r="C1314" s="346" t="s">
        <v>168</v>
      </c>
      <c r="D1314" s="346" t="s">
        <v>168</v>
      </c>
      <c r="E1314" s="346" t="s">
        <v>1074</v>
      </c>
      <c r="F1314" s="346" t="s">
        <v>134</v>
      </c>
      <c r="G1314" s="18">
        <f>G1315</f>
        <v>0</v>
      </c>
      <c r="H1314" s="547"/>
      <c r="I1314" s="547"/>
      <c r="J1314" s="302"/>
    </row>
    <row r="1315" spans="1:36" s="129" customFormat="1" ht="39.75" hidden="1" customHeight="1" x14ac:dyDescent="0.25">
      <c r="A1315" s="345" t="s">
        <v>148</v>
      </c>
      <c r="B1315" s="591">
        <v>908</v>
      </c>
      <c r="C1315" s="346" t="s">
        <v>168</v>
      </c>
      <c r="D1315" s="346" t="s">
        <v>168</v>
      </c>
      <c r="E1315" s="346" t="s">
        <v>1074</v>
      </c>
      <c r="F1315" s="346" t="s">
        <v>142</v>
      </c>
      <c r="G1315" s="18"/>
      <c r="H1315" s="547"/>
      <c r="I1315" s="547"/>
      <c r="J1315" s="302"/>
    </row>
    <row r="1316" spans="1:36" s="129" customFormat="1" ht="47.25" hidden="1" x14ac:dyDescent="0.25">
      <c r="A1316" s="24" t="s">
        <v>860</v>
      </c>
      <c r="B1316" s="296">
        <v>908</v>
      </c>
      <c r="C1316" s="299" t="s">
        <v>168</v>
      </c>
      <c r="D1316" s="299" t="s">
        <v>168</v>
      </c>
      <c r="E1316" s="299" t="s">
        <v>206</v>
      </c>
      <c r="F1316" s="299"/>
      <c r="G1316" s="297">
        <f t="shared" ref="G1316:G1319" si="94">G1317</f>
        <v>0</v>
      </c>
      <c r="H1316" s="532"/>
      <c r="I1316" s="532"/>
      <c r="J1316" s="302"/>
    </row>
    <row r="1317" spans="1:36" s="129" customFormat="1" ht="47.25" hidden="1" x14ac:dyDescent="0.25">
      <c r="A1317" s="24" t="s">
        <v>570</v>
      </c>
      <c r="B1317" s="296">
        <v>908</v>
      </c>
      <c r="C1317" s="299" t="s">
        <v>168</v>
      </c>
      <c r="D1317" s="299" t="s">
        <v>168</v>
      </c>
      <c r="E1317" s="299" t="s">
        <v>502</v>
      </c>
      <c r="F1317" s="299"/>
      <c r="G1317" s="297">
        <f t="shared" si="94"/>
        <v>0</v>
      </c>
      <c r="H1317" s="532"/>
      <c r="I1317" s="532"/>
      <c r="J1317" s="302"/>
    </row>
    <row r="1318" spans="1:36" s="129" customFormat="1" ht="47.25" hidden="1" x14ac:dyDescent="0.25">
      <c r="A1318" s="22" t="s">
        <v>632</v>
      </c>
      <c r="B1318" s="591">
        <v>908</v>
      </c>
      <c r="C1318" s="346" t="s">
        <v>168</v>
      </c>
      <c r="D1318" s="346" t="s">
        <v>168</v>
      </c>
      <c r="E1318" s="346" t="s">
        <v>587</v>
      </c>
      <c r="F1318" s="346"/>
      <c r="G1318" s="300">
        <f t="shared" si="94"/>
        <v>0</v>
      </c>
      <c r="H1318" s="532"/>
      <c r="I1318" s="532"/>
      <c r="J1318" s="302"/>
    </row>
    <row r="1319" spans="1:36" s="129" customFormat="1" ht="31.5" hidden="1" x14ac:dyDescent="0.25">
      <c r="A1319" s="345" t="s">
        <v>123</v>
      </c>
      <c r="B1319" s="591">
        <v>908</v>
      </c>
      <c r="C1319" s="346" t="s">
        <v>168</v>
      </c>
      <c r="D1319" s="346" t="s">
        <v>168</v>
      </c>
      <c r="E1319" s="346" t="s">
        <v>587</v>
      </c>
      <c r="F1319" s="346" t="s">
        <v>124</v>
      </c>
      <c r="G1319" s="300">
        <f t="shared" si="94"/>
        <v>0</v>
      </c>
      <c r="H1319" s="532"/>
      <c r="I1319" s="532"/>
      <c r="J1319" s="302"/>
    </row>
    <row r="1320" spans="1:36" s="129" customFormat="1" ht="31.5" hidden="1" x14ac:dyDescent="0.25">
      <c r="A1320" s="345" t="s">
        <v>125</v>
      </c>
      <c r="B1320" s="591">
        <v>908</v>
      </c>
      <c r="C1320" s="346" t="s">
        <v>168</v>
      </c>
      <c r="D1320" s="346" t="s">
        <v>168</v>
      </c>
      <c r="E1320" s="346" t="s">
        <v>587</v>
      </c>
      <c r="F1320" s="346" t="s">
        <v>126</v>
      </c>
      <c r="G1320" s="300"/>
      <c r="H1320" s="532"/>
      <c r="I1320" s="532"/>
      <c r="J1320" s="302"/>
    </row>
    <row r="1321" spans="1:36" s="344" customFormat="1" ht="15.75" x14ac:dyDescent="0.25">
      <c r="A1321" s="298" t="s">
        <v>1341</v>
      </c>
      <c r="B1321" s="296">
        <v>908</v>
      </c>
      <c r="C1321" s="299" t="s">
        <v>118</v>
      </c>
      <c r="D1321" s="299"/>
      <c r="E1321" s="299"/>
      <c r="F1321" s="299"/>
      <c r="G1321" s="297">
        <f>G1322</f>
        <v>6626.1484</v>
      </c>
      <c r="H1321" s="532"/>
      <c r="I1321" s="532"/>
      <c r="J1321" s="302"/>
    </row>
    <row r="1322" spans="1:36" s="344" customFormat="1" ht="16.149999999999999" customHeight="1" x14ac:dyDescent="0.25">
      <c r="A1322" s="298" t="s">
        <v>1342</v>
      </c>
      <c r="B1322" s="296">
        <v>908</v>
      </c>
      <c r="C1322" s="299" t="s">
        <v>118</v>
      </c>
      <c r="D1322" s="299" t="s">
        <v>168</v>
      </c>
      <c r="E1322" s="299"/>
      <c r="F1322" s="299"/>
      <c r="G1322" s="297">
        <f>G1323</f>
        <v>6626.1484</v>
      </c>
      <c r="H1322" s="532"/>
      <c r="I1322" s="532"/>
      <c r="J1322" s="302"/>
    </row>
    <row r="1323" spans="1:36" s="344" customFormat="1" ht="47.25" x14ac:dyDescent="0.25">
      <c r="A1323" s="298" t="s">
        <v>1348</v>
      </c>
      <c r="B1323" s="296">
        <v>908</v>
      </c>
      <c r="C1323" s="299" t="s">
        <v>118</v>
      </c>
      <c r="D1323" s="299" t="s">
        <v>168</v>
      </c>
      <c r="E1323" s="299" t="s">
        <v>1350</v>
      </c>
      <c r="F1323" s="299"/>
      <c r="G1323" s="297">
        <f>G1324</f>
        <v>6626.1484</v>
      </c>
      <c r="H1323" s="532"/>
      <c r="I1323" s="532"/>
      <c r="J1323" s="302"/>
    </row>
    <row r="1324" spans="1:36" s="344" customFormat="1" ht="31.5" x14ac:dyDescent="0.25">
      <c r="A1324" s="24" t="s">
        <v>1349</v>
      </c>
      <c r="B1324" s="296">
        <v>908</v>
      </c>
      <c r="C1324" s="299" t="s">
        <v>118</v>
      </c>
      <c r="D1324" s="299" t="s">
        <v>168</v>
      </c>
      <c r="E1324" s="299" t="s">
        <v>1351</v>
      </c>
      <c r="F1324" s="299"/>
      <c r="G1324" s="297">
        <f t="shared" ref="G1324:G1326" si="95">G1325</f>
        <v>6626.1484</v>
      </c>
      <c r="H1324" s="532"/>
      <c r="I1324" s="532"/>
      <c r="J1324" s="302"/>
    </row>
    <row r="1325" spans="1:36" s="344" customFormat="1" ht="31.5" x14ac:dyDescent="0.25">
      <c r="A1325" s="22" t="s">
        <v>1315</v>
      </c>
      <c r="B1325" s="591">
        <v>908</v>
      </c>
      <c r="C1325" s="346" t="s">
        <v>118</v>
      </c>
      <c r="D1325" s="346" t="s">
        <v>168</v>
      </c>
      <c r="E1325" s="346" t="s">
        <v>1352</v>
      </c>
      <c r="F1325" s="346"/>
      <c r="G1325" s="300">
        <f t="shared" si="95"/>
        <v>6626.1484</v>
      </c>
      <c r="H1325" s="532"/>
      <c r="I1325" s="532"/>
      <c r="J1325" s="302"/>
    </row>
    <row r="1326" spans="1:36" s="344" customFormat="1" ht="31.5" x14ac:dyDescent="0.25">
      <c r="A1326" s="345" t="s">
        <v>123</v>
      </c>
      <c r="B1326" s="591">
        <v>908</v>
      </c>
      <c r="C1326" s="346" t="s">
        <v>118</v>
      </c>
      <c r="D1326" s="346" t="s">
        <v>168</v>
      </c>
      <c r="E1326" s="346" t="s">
        <v>1352</v>
      </c>
      <c r="F1326" s="346" t="s">
        <v>124</v>
      </c>
      <c r="G1326" s="300">
        <f t="shared" si="95"/>
        <v>6626.1484</v>
      </c>
      <c r="H1326" s="532"/>
      <c r="I1326" s="532"/>
      <c r="J1326" s="302"/>
    </row>
    <row r="1327" spans="1:36" s="344" customFormat="1" ht="31.5" x14ac:dyDescent="0.25">
      <c r="A1327" s="345" t="s">
        <v>125</v>
      </c>
      <c r="B1327" s="591">
        <v>908</v>
      </c>
      <c r="C1327" s="346" t="s">
        <v>118</v>
      </c>
      <c r="D1327" s="346" t="s">
        <v>168</v>
      </c>
      <c r="E1327" s="346" t="s">
        <v>1352</v>
      </c>
      <c r="F1327" s="346" t="s">
        <v>126</v>
      </c>
      <c r="G1327" s="300">
        <f>3881.4+292.1484+2247.3+328-122.7</f>
        <v>6626.1484</v>
      </c>
      <c r="H1327" s="545"/>
      <c r="I1327" s="545"/>
      <c r="J1327" s="302"/>
    </row>
    <row r="1328" spans="1:36" ht="15.75" x14ac:dyDescent="0.25">
      <c r="A1328" s="298" t="s">
        <v>173</v>
      </c>
      <c r="B1328" s="296">
        <v>908</v>
      </c>
      <c r="C1328" s="299" t="s">
        <v>174</v>
      </c>
      <c r="D1328" s="299"/>
      <c r="E1328" s="299"/>
      <c r="F1328" s="299"/>
      <c r="G1328" s="297">
        <f>G1334+G1329</f>
        <v>24.110000000000003</v>
      </c>
      <c r="H1328" s="532"/>
      <c r="I1328" s="532"/>
      <c r="J1328" s="302"/>
      <c r="K1328" s="129"/>
      <c r="AD1328" s="1"/>
      <c r="AE1328" s="1"/>
      <c r="AG1328" s="1"/>
      <c r="AH1328" s="1"/>
      <c r="AJ1328" s="1"/>
    </row>
    <row r="1329" spans="1:36" s="344" customFormat="1" ht="15.75" x14ac:dyDescent="0.25">
      <c r="A1329" s="298" t="s">
        <v>234</v>
      </c>
      <c r="B1329" s="296">
        <v>908</v>
      </c>
      <c r="C1329" s="299" t="s">
        <v>174</v>
      </c>
      <c r="D1329" s="299" t="s">
        <v>139</v>
      </c>
      <c r="E1329" s="346"/>
      <c r="F1329" s="346"/>
      <c r="G1329" s="297">
        <f t="shared" ref="G1329:G1332" si="96">G1330</f>
        <v>16.600000000000001</v>
      </c>
      <c r="H1329" s="532"/>
      <c r="I1329" s="532"/>
      <c r="J1329" s="302"/>
    </row>
    <row r="1330" spans="1:36" s="344" customFormat="1" ht="31.5" x14ac:dyDescent="0.25">
      <c r="A1330" s="298" t="s">
        <v>458</v>
      </c>
      <c r="B1330" s="296">
        <v>908</v>
      </c>
      <c r="C1330" s="299" t="s">
        <v>174</v>
      </c>
      <c r="D1330" s="299" t="s">
        <v>139</v>
      </c>
      <c r="E1330" s="299" t="s">
        <v>437</v>
      </c>
      <c r="F1330" s="346"/>
      <c r="G1330" s="297">
        <f t="shared" si="96"/>
        <v>16.600000000000001</v>
      </c>
      <c r="H1330" s="532"/>
      <c r="I1330" s="532"/>
      <c r="J1330" s="302"/>
    </row>
    <row r="1331" spans="1:36" s="344" customFormat="1" ht="78.75" x14ac:dyDescent="0.25">
      <c r="A1331" s="345" t="s">
        <v>717</v>
      </c>
      <c r="B1331" s="591">
        <v>908</v>
      </c>
      <c r="C1331" s="346" t="s">
        <v>174</v>
      </c>
      <c r="D1331" s="346" t="s">
        <v>139</v>
      </c>
      <c r="E1331" s="346" t="s">
        <v>716</v>
      </c>
      <c r="F1331" s="346"/>
      <c r="G1331" s="300">
        <f t="shared" si="96"/>
        <v>16.600000000000001</v>
      </c>
      <c r="H1331" s="532"/>
      <c r="I1331" s="532"/>
      <c r="J1331" s="302"/>
    </row>
    <row r="1332" spans="1:36" s="344" customFormat="1" ht="31.5" x14ac:dyDescent="0.25">
      <c r="A1332" s="345" t="s">
        <v>123</v>
      </c>
      <c r="B1332" s="591">
        <v>908</v>
      </c>
      <c r="C1332" s="346" t="s">
        <v>174</v>
      </c>
      <c r="D1332" s="346" t="s">
        <v>139</v>
      </c>
      <c r="E1332" s="346" t="s">
        <v>716</v>
      </c>
      <c r="F1332" s="346" t="s">
        <v>124</v>
      </c>
      <c r="G1332" s="300">
        <f t="shared" si="96"/>
        <v>16.600000000000001</v>
      </c>
      <c r="H1332" s="532"/>
      <c r="I1332" s="532"/>
      <c r="J1332" s="302"/>
    </row>
    <row r="1333" spans="1:36" s="344" customFormat="1" ht="31.5" x14ac:dyDescent="0.25">
      <c r="A1333" s="345" t="s">
        <v>125</v>
      </c>
      <c r="B1333" s="591">
        <v>908</v>
      </c>
      <c r="C1333" s="346" t="s">
        <v>174</v>
      </c>
      <c r="D1333" s="346" t="s">
        <v>139</v>
      </c>
      <c r="E1333" s="346" t="s">
        <v>716</v>
      </c>
      <c r="F1333" s="346" t="s">
        <v>126</v>
      </c>
      <c r="G1333" s="300">
        <v>16.600000000000001</v>
      </c>
      <c r="H1333" s="532"/>
      <c r="I1333" s="532"/>
      <c r="J1333" s="302"/>
    </row>
    <row r="1334" spans="1:36" ht="15.75" x14ac:dyDescent="0.25">
      <c r="A1334" s="298" t="s">
        <v>183</v>
      </c>
      <c r="B1334" s="296">
        <v>908</v>
      </c>
      <c r="C1334" s="299" t="s">
        <v>174</v>
      </c>
      <c r="D1334" s="299" t="s">
        <v>118</v>
      </c>
      <c r="E1334" s="299"/>
      <c r="F1334" s="299"/>
      <c r="G1334" s="297">
        <f t="shared" ref="G1334" si="97">G1335</f>
        <v>7.5100000000000016</v>
      </c>
      <c r="H1334" s="532"/>
      <c r="I1334" s="532"/>
      <c r="J1334" s="302"/>
      <c r="K1334" s="129"/>
      <c r="AD1334" s="1"/>
      <c r="AE1334" s="1"/>
      <c r="AG1334" s="1"/>
      <c r="AH1334" s="1"/>
      <c r="AJ1334" s="1"/>
    </row>
    <row r="1335" spans="1:36" ht="15.75" x14ac:dyDescent="0.25">
      <c r="A1335" s="298" t="s">
        <v>133</v>
      </c>
      <c r="B1335" s="296">
        <v>908</v>
      </c>
      <c r="C1335" s="299" t="s">
        <v>174</v>
      </c>
      <c r="D1335" s="299" t="s">
        <v>118</v>
      </c>
      <c r="E1335" s="299" t="s">
        <v>440</v>
      </c>
      <c r="F1335" s="299"/>
      <c r="G1335" s="297">
        <f t="shared" ref="G1335:G1339" si="98">G1336</f>
        <v>7.5100000000000016</v>
      </c>
      <c r="H1335" s="532"/>
      <c r="I1335" s="532"/>
      <c r="J1335" s="302"/>
      <c r="K1335" s="129"/>
      <c r="AD1335" s="1"/>
      <c r="AE1335" s="1"/>
      <c r="AG1335" s="1"/>
      <c r="AH1335" s="1"/>
      <c r="AJ1335" s="1"/>
    </row>
    <row r="1336" spans="1:36" ht="15.75" x14ac:dyDescent="0.25">
      <c r="A1336" s="298" t="s">
        <v>133</v>
      </c>
      <c r="B1336" s="296">
        <v>908</v>
      </c>
      <c r="C1336" s="299" t="s">
        <v>174</v>
      </c>
      <c r="D1336" s="299" t="s">
        <v>118</v>
      </c>
      <c r="E1336" s="299" t="s">
        <v>439</v>
      </c>
      <c r="F1336" s="299"/>
      <c r="G1336" s="297">
        <f t="shared" si="98"/>
        <v>7.5100000000000016</v>
      </c>
      <c r="H1336" s="532"/>
      <c r="I1336" s="532"/>
      <c r="J1336" s="302"/>
      <c r="K1336" s="129"/>
      <c r="AD1336" s="1"/>
      <c r="AE1336" s="1"/>
      <c r="AG1336" s="1"/>
      <c r="AH1336" s="1"/>
      <c r="AJ1336" s="1"/>
    </row>
    <row r="1337" spans="1:36" ht="31.5" x14ac:dyDescent="0.25">
      <c r="A1337" s="298" t="s">
        <v>444</v>
      </c>
      <c r="B1337" s="296">
        <v>908</v>
      </c>
      <c r="C1337" s="299" t="s">
        <v>174</v>
      </c>
      <c r="D1337" s="299" t="s">
        <v>118</v>
      </c>
      <c r="E1337" s="299" t="s">
        <v>439</v>
      </c>
      <c r="F1337" s="299"/>
      <c r="G1337" s="297">
        <f t="shared" si="98"/>
        <v>7.5100000000000016</v>
      </c>
      <c r="H1337" s="532"/>
      <c r="I1337" s="532"/>
      <c r="J1337" s="302"/>
      <c r="K1337" s="129"/>
      <c r="AD1337" s="1"/>
      <c r="AE1337" s="1"/>
      <c r="AG1337" s="1"/>
      <c r="AH1337" s="1"/>
      <c r="AJ1337" s="1"/>
    </row>
    <row r="1338" spans="1:36" ht="15.75" x14ac:dyDescent="0.25">
      <c r="A1338" s="345" t="s">
        <v>283</v>
      </c>
      <c r="B1338" s="591">
        <v>908</v>
      </c>
      <c r="C1338" s="346" t="s">
        <v>174</v>
      </c>
      <c r="D1338" s="346" t="s">
        <v>118</v>
      </c>
      <c r="E1338" s="346" t="s">
        <v>548</v>
      </c>
      <c r="F1338" s="346"/>
      <c r="G1338" s="300">
        <f t="shared" si="98"/>
        <v>7.5100000000000016</v>
      </c>
      <c r="H1338" s="532"/>
      <c r="I1338" s="532"/>
      <c r="J1338" s="302"/>
      <c r="K1338" s="129"/>
      <c r="AD1338" s="1"/>
      <c r="AE1338" s="1"/>
      <c r="AG1338" s="1"/>
      <c r="AH1338" s="1"/>
      <c r="AJ1338" s="1"/>
    </row>
    <row r="1339" spans="1:36" ht="31.5" x14ac:dyDescent="0.25">
      <c r="A1339" s="345" t="s">
        <v>123</v>
      </c>
      <c r="B1339" s="591">
        <v>908</v>
      </c>
      <c r="C1339" s="346" t="s">
        <v>174</v>
      </c>
      <c r="D1339" s="346" t="s">
        <v>118</v>
      </c>
      <c r="E1339" s="346" t="s">
        <v>548</v>
      </c>
      <c r="F1339" s="346" t="s">
        <v>124</v>
      </c>
      <c r="G1339" s="300">
        <f t="shared" si="98"/>
        <v>7.5100000000000016</v>
      </c>
      <c r="H1339" s="532"/>
      <c r="I1339" s="532"/>
      <c r="J1339" s="302"/>
      <c r="K1339" s="129"/>
      <c r="AD1339" s="1"/>
      <c r="AE1339" s="1"/>
      <c r="AG1339" s="1"/>
      <c r="AH1339" s="1"/>
      <c r="AJ1339" s="1"/>
    </row>
    <row r="1340" spans="1:36" ht="31.5" x14ac:dyDescent="0.25">
      <c r="A1340" s="345" t="s">
        <v>125</v>
      </c>
      <c r="B1340" s="591">
        <v>908</v>
      </c>
      <c r="C1340" s="346" t="s">
        <v>174</v>
      </c>
      <c r="D1340" s="346" t="s">
        <v>118</v>
      </c>
      <c r="E1340" s="346" t="s">
        <v>548</v>
      </c>
      <c r="F1340" s="346" t="s">
        <v>126</v>
      </c>
      <c r="G1340" s="300">
        <f>85.11-61.3-2.8-11.5-2</f>
        <v>7.5100000000000016</v>
      </c>
      <c r="H1340" s="532"/>
      <c r="I1340" s="532"/>
      <c r="J1340" s="302"/>
      <c r="K1340" s="129"/>
      <c r="AD1340" s="1"/>
      <c r="AE1340" s="1"/>
      <c r="AG1340" s="1"/>
      <c r="AH1340" s="1"/>
      <c r="AJ1340" s="1"/>
    </row>
    <row r="1341" spans="1:36" ht="33.950000000000003" customHeight="1" x14ac:dyDescent="0.25">
      <c r="A1341" s="296" t="s">
        <v>284</v>
      </c>
      <c r="B1341" s="296">
        <v>910</v>
      </c>
      <c r="C1341" s="31"/>
      <c r="D1341" s="31"/>
      <c r="E1341" s="31"/>
      <c r="F1341" s="31"/>
      <c r="G1341" s="297">
        <f>G1342</f>
        <v>7874.24</v>
      </c>
      <c r="H1341" s="533"/>
      <c r="I1341" s="533"/>
      <c r="J1341" s="302"/>
      <c r="K1341" s="129"/>
      <c r="AD1341" s="1"/>
      <c r="AE1341" s="1"/>
      <c r="AG1341" s="1"/>
      <c r="AH1341" s="1"/>
      <c r="AJ1341" s="1"/>
    </row>
    <row r="1342" spans="1:36" ht="15.75" x14ac:dyDescent="0.25">
      <c r="A1342" s="298" t="s">
        <v>115</v>
      </c>
      <c r="B1342" s="296">
        <v>910</v>
      </c>
      <c r="C1342" s="299" t="s">
        <v>116</v>
      </c>
      <c r="D1342" s="299"/>
      <c r="E1342" s="299"/>
      <c r="F1342" s="299"/>
      <c r="G1342" s="297">
        <f>G1343</f>
        <v>7874.24</v>
      </c>
      <c r="H1342" s="532"/>
      <c r="I1342" s="532"/>
      <c r="J1342" s="302"/>
      <c r="K1342" s="129"/>
      <c r="AD1342" s="1"/>
      <c r="AE1342" s="1"/>
      <c r="AG1342" s="1"/>
      <c r="AH1342" s="1"/>
      <c r="AJ1342" s="1"/>
    </row>
    <row r="1343" spans="1:36" ht="47.25" customHeight="1" x14ac:dyDescent="0.25">
      <c r="A1343" s="298" t="s">
        <v>287</v>
      </c>
      <c r="B1343" s="296">
        <v>910</v>
      </c>
      <c r="C1343" s="299" t="s">
        <v>116</v>
      </c>
      <c r="D1343" s="299" t="s">
        <v>159</v>
      </c>
      <c r="E1343" s="299"/>
      <c r="F1343" s="299"/>
      <c r="G1343" s="297">
        <f>G1344</f>
        <v>7874.24</v>
      </c>
      <c r="H1343" s="532"/>
      <c r="I1343" s="532"/>
      <c r="J1343" s="302"/>
      <c r="K1343" s="129"/>
      <c r="AD1343" s="1"/>
      <c r="AE1343" s="1"/>
      <c r="AG1343" s="1"/>
      <c r="AH1343" s="1"/>
      <c r="AJ1343" s="1"/>
    </row>
    <row r="1344" spans="1:36" ht="31.5" x14ac:dyDescent="0.25">
      <c r="A1344" s="298" t="s">
        <v>486</v>
      </c>
      <c r="B1344" s="296">
        <v>910</v>
      </c>
      <c r="C1344" s="299" t="s">
        <v>116</v>
      </c>
      <c r="D1344" s="299" t="s">
        <v>159</v>
      </c>
      <c r="E1344" s="299" t="s">
        <v>432</v>
      </c>
      <c r="F1344" s="299"/>
      <c r="G1344" s="297">
        <f>G1345</f>
        <v>7874.24</v>
      </c>
      <c r="H1344" s="532"/>
      <c r="I1344" s="532"/>
      <c r="J1344" s="302"/>
      <c r="K1344" s="129"/>
      <c r="AD1344" s="1"/>
      <c r="AE1344" s="1"/>
      <c r="AG1344" s="1"/>
      <c r="AH1344" s="1"/>
      <c r="AJ1344" s="1"/>
    </row>
    <row r="1345" spans="1:36" ht="15.75" x14ac:dyDescent="0.25">
      <c r="A1345" s="298" t="s">
        <v>549</v>
      </c>
      <c r="B1345" s="296">
        <v>910</v>
      </c>
      <c r="C1345" s="299" t="s">
        <v>116</v>
      </c>
      <c r="D1345" s="299" t="s">
        <v>159</v>
      </c>
      <c r="E1345" s="299" t="s">
        <v>550</v>
      </c>
      <c r="F1345" s="299"/>
      <c r="G1345" s="297">
        <f>G1351+G1356+G1346</f>
        <v>7874.24</v>
      </c>
      <c r="H1345" s="532"/>
      <c r="I1345" s="532"/>
      <c r="J1345" s="302"/>
      <c r="K1345" s="129"/>
      <c r="AD1345" s="1"/>
      <c r="AE1345" s="1"/>
      <c r="AG1345" s="1"/>
      <c r="AH1345" s="1"/>
      <c r="AJ1345" s="1"/>
    </row>
    <row r="1346" spans="1:36" s="129" customFormat="1" ht="31.5" x14ac:dyDescent="0.25">
      <c r="A1346" s="183" t="s">
        <v>866</v>
      </c>
      <c r="B1346" s="591">
        <v>910</v>
      </c>
      <c r="C1346" s="346" t="s">
        <v>116</v>
      </c>
      <c r="D1346" s="346" t="s">
        <v>159</v>
      </c>
      <c r="E1346" s="346" t="s">
        <v>896</v>
      </c>
      <c r="F1346" s="299"/>
      <c r="G1346" s="300">
        <f>G1347+G1349</f>
        <v>6147.33</v>
      </c>
      <c r="H1346" s="532"/>
      <c r="I1346" s="532"/>
      <c r="J1346" s="302"/>
    </row>
    <row r="1347" spans="1:36" s="129" customFormat="1" ht="63" x14ac:dyDescent="0.25">
      <c r="A1347" s="345" t="s">
        <v>119</v>
      </c>
      <c r="B1347" s="591">
        <v>910</v>
      </c>
      <c r="C1347" s="346" t="s">
        <v>116</v>
      </c>
      <c r="D1347" s="346" t="s">
        <v>159</v>
      </c>
      <c r="E1347" s="346" t="s">
        <v>896</v>
      </c>
      <c r="F1347" s="346" t="s">
        <v>120</v>
      </c>
      <c r="G1347" s="300">
        <f>G1348</f>
        <v>6097.63</v>
      </c>
      <c r="H1347" s="532"/>
      <c r="I1347" s="532"/>
      <c r="J1347" s="302"/>
    </row>
    <row r="1348" spans="1:36" s="129" customFormat="1" ht="31.5" x14ac:dyDescent="0.25">
      <c r="A1348" s="345" t="s">
        <v>121</v>
      </c>
      <c r="B1348" s="591">
        <v>910</v>
      </c>
      <c r="C1348" s="346" t="s">
        <v>116</v>
      </c>
      <c r="D1348" s="346" t="s">
        <v>159</v>
      </c>
      <c r="E1348" s="346" t="s">
        <v>896</v>
      </c>
      <c r="F1348" s="346" t="s">
        <v>122</v>
      </c>
      <c r="G1348" s="300">
        <f>4509.43+100+1604.13-10-262.688+156.758</f>
        <v>6097.63</v>
      </c>
      <c r="H1348" s="535"/>
      <c r="I1348" s="535"/>
      <c r="J1348" s="302"/>
    </row>
    <row r="1349" spans="1:36" s="129" customFormat="1" ht="31.5" x14ac:dyDescent="0.25">
      <c r="A1349" s="345" t="s">
        <v>153</v>
      </c>
      <c r="B1349" s="591">
        <v>910</v>
      </c>
      <c r="C1349" s="346" t="s">
        <v>116</v>
      </c>
      <c r="D1349" s="346" t="s">
        <v>159</v>
      </c>
      <c r="E1349" s="346" t="s">
        <v>896</v>
      </c>
      <c r="F1349" s="346" t="s">
        <v>124</v>
      </c>
      <c r="G1349" s="300">
        <f>G1350</f>
        <v>49.7</v>
      </c>
      <c r="H1349" s="532"/>
      <c r="I1349" s="532"/>
      <c r="J1349" s="302"/>
    </row>
    <row r="1350" spans="1:36" s="129" customFormat="1" ht="31.5" x14ac:dyDescent="0.25">
      <c r="A1350" s="345" t="s">
        <v>125</v>
      </c>
      <c r="B1350" s="591">
        <v>910</v>
      </c>
      <c r="C1350" s="346" t="s">
        <v>116</v>
      </c>
      <c r="D1350" s="346" t="s">
        <v>159</v>
      </c>
      <c r="E1350" s="346" t="s">
        <v>896</v>
      </c>
      <c r="F1350" s="346" t="s">
        <v>126</v>
      </c>
      <c r="G1350" s="300">
        <f>93-43.3</f>
        <v>49.7</v>
      </c>
      <c r="H1350" s="532"/>
      <c r="I1350" s="532"/>
      <c r="J1350" s="302"/>
    </row>
    <row r="1351" spans="1:36" ht="37.35" customHeight="1" x14ac:dyDescent="0.25">
      <c r="A1351" s="345" t="s">
        <v>552</v>
      </c>
      <c r="B1351" s="591">
        <v>910</v>
      </c>
      <c r="C1351" s="346" t="s">
        <v>116</v>
      </c>
      <c r="D1351" s="346" t="s">
        <v>159</v>
      </c>
      <c r="E1351" s="346" t="s">
        <v>553</v>
      </c>
      <c r="F1351" s="346"/>
      <c r="G1351" s="300">
        <f>G1352+G1354</f>
        <v>1726.91</v>
      </c>
      <c r="H1351" s="532"/>
      <c r="I1351" s="532"/>
      <c r="J1351" s="302"/>
      <c r="K1351" s="129"/>
      <c r="AD1351" s="1"/>
      <c r="AE1351" s="1"/>
      <c r="AG1351" s="1"/>
      <c r="AH1351" s="1"/>
      <c r="AJ1351" s="1"/>
    </row>
    <row r="1352" spans="1:36" ht="63" x14ac:dyDescent="0.25">
      <c r="A1352" s="345" t="s">
        <v>119</v>
      </c>
      <c r="B1352" s="591">
        <v>910</v>
      </c>
      <c r="C1352" s="346" t="s">
        <v>116</v>
      </c>
      <c r="D1352" s="346" t="s">
        <v>159</v>
      </c>
      <c r="E1352" s="346" t="s">
        <v>553</v>
      </c>
      <c r="F1352" s="346" t="s">
        <v>120</v>
      </c>
      <c r="G1352" s="300">
        <f>G1353</f>
        <v>1726.91</v>
      </c>
      <c r="H1352" s="532"/>
      <c r="I1352" s="532"/>
      <c r="J1352" s="302"/>
      <c r="K1352" s="129"/>
      <c r="AD1352" s="1"/>
      <c r="AE1352" s="1"/>
      <c r="AG1352" s="1"/>
      <c r="AH1352" s="1"/>
      <c r="AJ1352" s="1"/>
    </row>
    <row r="1353" spans="1:36" ht="31.5" x14ac:dyDescent="0.25">
      <c r="A1353" s="345" t="s">
        <v>121</v>
      </c>
      <c r="B1353" s="591">
        <v>910</v>
      </c>
      <c r="C1353" s="346" t="s">
        <v>116</v>
      </c>
      <c r="D1353" s="346" t="s">
        <v>159</v>
      </c>
      <c r="E1353" s="346" t="s">
        <v>553</v>
      </c>
      <c r="F1353" s="346" t="s">
        <v>122</v>
      </c>
      <c r="G1353" s="300">
        <f>1212.65+355.03+10+110.58+38.65</f>
        <v>1726.91</v>
      </c>
      <c r="H1353" s="532"/>
      <c r="I1353" s="532"/>
      <c r="J1353" s="302"/>
      <c r="K1353" s="129"/>
      <c r="AD1353" s="1"/>
      <c r="AE1353" s="1"/>
      <c r="AG1353" s="1"/>
      <c r="AH1353" s="1"/>
      <c r="AJ1353" s="1"/>
    </row>
    <row r="1354" spans="1:36" ht="31.5" hidden="1" x14ac:dyDescent="0.25">
      <c r="A1354" s="345" t="s">
        <v>153</v>
      </c>
      <c r="B1354" s="591">
        <v>910</v>
      </c>
      <c r="C1354" s="346" t="s">
        <v>116</v>
      </c>
      <c r="D1354" s="346" t="s">
        <v>159</v>
      </c>
      <c r="E1354" s="346" t="s">
        <v>553</v>
      </c>
      <c r="F1354" s="346" t="s">
        <v>124</v>
      </c>
      <c r="G1354" s="300">
        <f>G1355</f>
        <v>0</v>
      </c>
      <c r="H1354" s="532"/>
      <c r="I1354" s="532"/>
      <c r="J1354" s="302"/>
      <c r="K1354" s="129"/>
      <c r="AD1354" s="1"/>
      <c r="AE1354" s="1"/>
      <c r="AG1354" s="1"/>
      <c r="AH1354" s="1"/>
      <c r="AJ1354" s="1"/>
    </row>
    <row r="1355" spans="1:36" ht="31.5" hidden="1" x14ac:dyDescent="0.25">
      <c r="A1355" s="345" t="s">
        <v>125</v>
      </c>
      <c r="B1355" s="591">
        <v>910</v>
      </c>
      <c r="C1355" s="346" t="s">
        <v>116</v>
      </c>
      <c r="D1355" s="346" t="s">
        <v>159</v>
      </c>
      <c r="E1355" s="346" t="s">
        <v>553</v>
      </c>
      <c r="F1355" s="346" t="s">
        <v>126</v>
      </c>
      <c r="G1355" s="300">
        <v>0</v>
      </c>
      <c r="H1355" s="532"/>
      <c r="I1355" s="532"/>
      <c r="J1355" s="302"/>
      <c r="K1355" s="129"/>
      <c r="AD1355" s="1"/>
      <c r="AE1355" s="1"/>
      <c r="AG1355" s="1"/>
      <c r="AH1355" s="1"/>
      <c r="AJ1355" s="1"/>
    </row>
    <row r="1356" spans="1:36" s="129" customFormat="1" ht="39.75" hidden="1" customHeight="1" x14ac:dyDescent="0.25">
      <c r="A1356" s="345" t="s">
        <v>414</v>
      </c>
      <c r="B1356" s="591">
        <v>910</v>
      </c>
      <c r="C1356" s="346" t="s">
        <v>116</v>
      </c>
      <c r="D1356" s="346" t="s">
        <v>159</v>
      </c>
      <c r="E1356" s="346" t="s">
        <v>551</v>
      </c>
      <c r="F1356" s="346"/>
      <c r="G1356" s="300">
        <f>G1357</f>
        <v>0</v>
      </c>
      <c r="H1356" s="532"/>
      <c r="I1356" s="532"/>
      <c r="J1356" s="302"/>
    </row>
    <row r="1357" spans="1:36" s="129" customFormat="1" ht="69.75" hidden="1" customHeight="1" x14ac:dyDescent="0.25">
      <c r="A1357" s="345" t="s">
        <v>119</v>
      </c>
      <c r="B1357" s="591">
        <v>910</v>
      </c>
      <c r="C1357" s="346" t="s">
        <v>116</v>
      </c>
      <c r="D1357" s="346" t="s">
        <v>159</v>
      </c>
      <c r="E1357" s="346" t="s">
        <v>551</v>
      </c>
      <c r="F1357" s="346" t="s">
        <v>120</v>
      </c>
      <c r="G1357" s="300">
        <f>G1358</f>
        <v>0</v>
      </c>
      <c r="H1357" s="532"/>
      <c r="I1357" s="532"/>
      <c r="J1357" s="302"/>
    </row>
    <row r="1358" spans="1:36" s="129" customFormat="1" ht="35.450000000000003" hidden="1" customHeight="1" x14ac:dyDescent="0.25">
      <c r="A1358" s="345" t="s">
        <v>121</v>
      </c>
      <c r="B1358" s="591">
        <v>910</v>
      </c>
      <c r="C1358" s="346" t="s">
        <v>116</v>
      </c>
      <c r="D1358" s="346" t="s">
        <v>159</v>
      </c>
      <c r="E1358" s="346" t="s">
        <v>551</v>
      </c>
      <c r="F1358" s="346" t="s">
        <v>122</v>
      </c>
      <c r="G1358" s="300"/>
      <c r="H1358" s="532"/>
      <c r="I1358" s="532"/>
      <c r="J1358" s="302"/>
    </row>
    <row r="1359" spans="1:36" ht="15.75" x14ac:dyDescent="0.25">
      <c r="A1359" s="32" t="s">
        <v>290</v>
      </c>
      <c r="B1359" s="32"/>
      <c r="C1359" s="299"/>
      <c r="D1359" s="299"/>
      <c r="E1359" s="299"/>
      <c r="F1359" s="299"/>
      <c r="G1359" s="644">
        <f>G1341+G1049+G937+G674+G615+G275+G36+G9+G597</f>
        <v>978688.86740999995</v>
      </c>
      <c r="H1359" s="548"/>
      <c r="I1359" s="548"/>
      <c r="J1359" s="129"/>
      <c r="K1359" s="129"/>
      <c r="AD1359" s="1"/>
      <c r="AE1359" s="1"/>
      <c r="AG1359" s="1"/>
      <c r="AH1359" s="1"/>
      <c r="AJ1359" s="1"/>
    </row>
    <row r="1361" spans="1:7" x14ac:dyDescent="0.25">
      <c r="A1361" s="674" t="s">
        <v>1370</v>
      </c>
      <c r="B1361" s="674"/>
      <c r="C1361" s="674"/>
      <c r="D1361" s="674"/>
      <c r="E1361" s="674"/>
      <c r="F1361" s="674"/>
      <c r="G1361" s="674"/>
    </row>
  </sheetData>
  <mergeCells count="2">
    <mergeCell ref="A1361:G1361"/>
    <mergeCell ref="A5:G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colBreaks count="3" manualBreakCount="3">
    <brk id="8" max="1201" man="1"/>
    <brk id="15" max="1201" man="1"/>
    <brk id="22" max="11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3"/>
  <sheetViews>
    <sheetView view="pageBreakPreview" topLeftCell="A1009" zoomScale="90" zoomScaleNormal="100" zoomScaleSheetLayoutView="90" workbookViewId="0">
      <selection activeCell="H187" sqref="H187"/>
    </sheetView>
  </sheetViews>
  <sheetFormatPr defaultColWidth="9.140625" defaultRowHeight="15" x14ac:dyDescent="0.25"/>
  <cols>
    <col min="1" max="1" width="62.28515625" style="397" customWidth="1"/>
    <col min="2" max="2" width="7" style="397" customWidth="1"/>
    <col min="3" max="3" width="4.28515625" style="397" customWidth="1"/>
    <col min="4" max="4" width="4.85546875" style="397" customWidth="1"/>
    <col min="5" max="5" width="15.42578125" style="397" customWidth="1"/>
    <col min="6" max="6" width="5.7109375" style="397" customWidth="1"/>
    <col min="7" max="7" width="17.140625" style="447" customWidth="1"/>
    <col min="8" max="8" width="17.42578125" style="447" customWidth="1"/>
    <col min="9" max="9" width="21.85546875" style="311" customWidth="1"/>
    <col min="10" max="10" width="24.140625" style="344" customWidth="1"/>
    <col min="11" max="11" width="12.42578125" style="344" customWidth="1"/>
    <col min="12" max="12" width="10.5703125" style="344" customWidth="1"/>
    <col min="13" max="13" width="12.7109375" style="344" customWidth="1"/>
    <col min="14" max="14" width="16.42578125" style="344" customWidth="1"/>
    <col min="15" max="15" width="9.140625" style="344"/>
    <col min="16" max="16" width="10" style="344" customWidth="1"/>
    <col min="17" max="17" width="9.140625" style="344" customWidth="1"/>
    <col min="18" max="18" width="10.28515625" style="344" customWidth="1"/>
    <col min="19" max="19" width="9.140625" style="344" customWidth="1"/>
    <col min="20" max="26" width="9.140625" style="344"/>
    <col min="27" max="27" width="11.42578125" style="344" customWidth="1"/>
    <col min="28" max="44" width="9.140625" style="344"/>
    <col min="45" max="45" width="11.42578125" style="344" customWidth="1"/>
    <col min="46" max="16384" width="9.140625" style="344"/>
  </cols>
  <sheetData>
    <row r="1" spans="1:10" ht="15.75" x14ac:dyDescent="0.25">
      <c r="A1" s="443"/>
      <c r="B1" s="443"/>
      <c r="C1" s="443"/>
      <c r="D1" s="443"/>
      <c r="E1" s="444"/>
      <c r="F1" s="444"/>
      <c r="G1" s="678" t="s">
        <v>1224</v>
      </c>
      <c r="H1" s="678"/>
    </row>
    <row r="2" spans="1:10" ht="15.75" x14ac:dyDescent="0.25">
      <c r="A2" s="443"/>
      <c r="B2" s="443"/>
      <c r="C2" s="443"/>
      <c r="D2" s="443"/>
      <c r="E2" s="444"/>
      <c r="F2" s="444"/>
      <c r="G2" s="678" t="s">
        <v>0</v>
      </c>
      <c r="H2" s="678"/>
    </row>
    <row r="3" spans="1:10" ht="15.75" x14ac:dyDescent="0.25">
      <c r="A3" s="445"/>
      <c r="B3" s="445"/>
      <c r="C3" s="445"/>
      <c r="D3" s="445"/>
      <c r="E3" s="444"/>
      <c r="F3" s="444"/>
      <c r="G3" s="678" t="s">
        <v>1125</v>
      </c>
      <c r="H3" s="678"/>
    </row>
    <row r="4" spans="1:10" ht="15.75" x14ac:dyDescent="0.25">
      <c r="A4" s="446"/>
      <c r="B4" s="446"/>
      <c r="C4" s="446"/>
      <c r="D4" s="446"/>
      <c r="E4" s="446"/>
      <c r="F4" s="446"/>
      <c r="G4" s="588"/>
      <c r="H4" s="588"/>
    </row>
    <row r="5" spans="1:10" ht="15.75" customHeight="1" x14ac:dyDescent="0.25">
      <c r="A5" s="676" t="s">
        <v>1200</v>
      </c>
      <c r="B5" s="676"/>
      <c r="C5" s="676"/>
      <c r="D5" s="676"/>
      <c r="E5" s="676"/>
      <c r="F5" s="676"/>
      <c r="G5" s="676"/>
    </row>
    <row r="6" spans="1:10" ht="15.75" x14ac:dyDescent="0.25">
      <c r="A6" s="448"/>
      <c r="B6" s="448"/>
      <c r="C6" s="448"/>
      <c r="D6" s="448"/>
      <c r="E6" s="448"/>
      <c r="F6" s="448"/>
    </row>
    <row r="7" spans="1:10" ht="15.75" x14ac:dyDescent="0.25">
      <c r="A7" s="449"/>
      <c r="B7" s="449"/>
      <c r="C7" s="449"/>
      <c r="D7" s="449"/>
      <c r="E7" s="449"/>
      <c r="F7" s="449"/>
      <c r="G7" s="439"/>
      <c r="H7" s="439" t="s">
        <v>1</v>
      </c>
    </row>
    <row r="8" spans="1:10" ht="47.25" x14ac:dyDescent="0.25">
      <c r="A8" s="450" t="s">
        <v>108</v>
      </c>
      <c r="B8" s="450" t="s">
        <v>109</v>
      </c>
      <c r="C8" s="451" t="s">
        <v>110</v>
      </c>
      <c r="D8" s="451" t="s">
        <v>111</v>
      </c>
      <c r="E8" s="451" t="s">
        <v>112</v>
      </c>
      <c r="F8" s="451" t="s">
        <v>113</v>
      </c>
      <c r="G8" s="440" t="s">
        <v>808</v>
      </c>
      <c r="H8" s="440" t="s">
        <v>1180</v>
      </c>
      <c r="I8" s="310"/>
      <c r="J8" s="302"/>
    </row>
    <row r="9" spans="1:10" ht="15.75" x14ac:dyDescent="0.25">
      <c r="A9" s="452" t="s">
        <v>905</v>
      </c>
      <c r="B9" s="450"/>
      <c r="C9" s="451"/>
      <c r="D9" s="451"/>
      <c r="E9" s="451"/>
      <c r="F9" s="451"/>
      <c r="G9" s="441">
        <f>700+12979.9</f>
        <v>13679.9</v>
      </c>
      <c r="H9" s="441">
        <f>21071+124.6+7172.9</f>
        <v>28368.5</v>
      </c>
      <c r="I9" s="72">
        <f>('Пр.1.1. дох.23-24'!C9+'Пр.1.1. дох.23-24'!C79)*2.5%</f>
        <v>13679.906000000001</v>
      </c>
      <c r="J9" s="72">
        <f>('Пр.1.1. дох.23-24'!D9+'Пр.1.1. дох.23-24'!D79)*5%</f>
        <v>28368.485500000006</v>
      </c>
    </row>
    <row r="10" spans="1:10" ht="31.5" x14ac:dyDescent="0.25">
      <c r="A10" s="453" t="s">
        <v>114</v>
      </c>
      <c r="B10" s="453">
        <v>901</v>
      </c>
      <c r="C10" s="394"/>
      <c r="D10" s="394"/>
      <c r="E10" s="394"/>
      <c r="F10" s="394"/>
      <c r="G10" s="438">
        <f>G11</f>
        <v>14531.4</v>
      </c>
      <c r="H10" s="438">
        <f>H11</f>
        <v>14531.4</v>
      </c>
      <c r="I10" s="72">
        <f>G11+G32+G247+G543+G558+G610+G844+G935+G1195</f>
        <v>155173.79999999999</v>
      </c>
      <c r="J10" s="72">
        <f>H11+H32+H247+H543+H558+H610+H844+H935+H1195</f>
        <v>161023.59999999998</v>
      </c>
    </row>
    <row r="11" spans="1:10" ht="15.75" x14ac:dyDescent="0.25">
      <c r="A11" s="409" t="s">
        <v>115</v>
      </c>
      <c r="B11" s="453">
        <v>901</v>
      </c>
      <c r="C11" s="406" t="s">
        <v>116</v>
      </c>
      <c r="D11" s="394"/>
      <c r="E11" s="394"/>
      <c r="F11" s="394"/>
      <c r="G11" s="438">
        <f>G12+G25</f>
        <v>14531.4</v>
      </c>
      <c r="H11" s="438">
        <f>H12+H25</f>
        <v>14531.4</v>
      </c>
      <c r="I11" s="310"/>
      <c r="J11" s="302"/>
    </row>
    <row r="12" spans="1:10" ht="47.25" x14ac:dyDescent="0.25">
      <c r="A12" s="409" t="s">
        <v>117</v>
      </c>
      <c r="B12" s="453">
        <v>901</v>
      </c>
      <c r="C12" s="406" t="s">
        <v>116</v>
      </c>
      <c r="D12" s="406" t="s">
        <v>118</v>
      </c>
      <c r="E12" s="406"/>
      <c r="F12" s="406"/>
      <c r="G12" s="438">
        <f>G13</f>
        <v>14481.4</v>
      </c>
      <c r="H12" s="438">
        <f>H13</f>
        <v>14481.4</v>
      </c>
      <c r="I12" s="310"/>
      <c r="J12" s="302"/>
    </row>
    <row r="13" spans="1:10" ht="31.5" x14ac:dyDescent="0.25">
      <c r="A13" s="409" t="s">
        <v>486</v>
      </c>
      <c r="B13" s="453">
        <v>901</v>
      </c>
      <c r="C13" s="406" t="s">
        <v>116</v>
      </c>
      <c r="D13" s="406" t="s">
        <v>118</v>
      </c>
      <c r="E13" s="406" t="s">
        <v>432</v>
      </c>
      <c r="F13" s="406"/>
      <c r="G13" s="438">
        <f>G14</f>
        <v>14481.4</v>
      </c>
      <c r="H13" s="438">
        <f>H14</f>
        <v>14481.4</v>
      </c>
      <c r="I13" s="310"/>
      <c r="J13" s="302"/>
    </row>
    <row r="14" spans="1:10" ht="15.75" x14ac:dyDescent="0.25">
      <c r="A14" s="409" t="s">
        <v>487</v>
      </c>
      <c r="B14" s="453">
        <v>901</v>
      </c>
      <c r="C14" s="406" t="s">
        <v>116</v>
      </c>
      <c r="D14" s="406" t="s">
        <v>118</v>
      </c>
      <c r="E14" s="406" t="s">
        <v>433</v>
      </c>
      <c r="F14" s="406"/>
      <c r="G14" s="438">
        <f>G15+G22</f>
        <v>14481.4</v>
      </c>
      <c r="H14" s="438">
        <f>H15+H22</f>
        <v>14481.4</v>
      </c>
      <c r="I14" s="310"/>
      <c r="J14" s="302"/>
    </row>
    <row r="15" spans="1:10" ht="31.5" x14ac:dyDescent="0.25">
      <c r="A15" s="391" t="s">
        <v>466</v>
      </c>
      <c r="B15" s="454">
        <v>901</v>
      </c>
      <c r="C15" s="394" t="s">
        <v>116</v>
      </c>
      <c r="D15" s="394" t="s">
        <v>118</v>
      </c>
      <c r="E15" s="394" t="s">
        <v>434</v>
      </c>
      <c r="F15" s="394"/>
      <c r="G15" s="435">
        <f>G16+G18+G20</f>
        <v>14031.4</v>
      </c>
      <c r="H15" s="435">
        <f>H16+H18+H20</f>
        <v>14031.4</v>
      </c>
      <c r="I15" s="310"/>
      <c r="J15" s="302"/>
    </row>
    <row r="16" spans="1:10" ht="63" x14ac:dyDescent="0.25">
      <c r="A16" s="391" t="s">
        <v>119</v>
      </c>
      <c r="B16" s="454">
        <v>901</v>
      </c>
      <c r="C16" s="394" t="s">
        <v>116</v>
      </c>
      <c r="D16" s="394" t="s">
        <v>118</v>
      </c>
      <c r="E16" s="394" t="s">
        <v>434</v>
      </c>
      <c r="F16" s="394" t="s">
        <v>120</v>
      </c>
      <c r="G16" s="435">
        <f>G17</f>
        <v>13033.9</v>
      </c>
      <c r="H16" s="435">
        <f>H17</f>
        <v>13033.9</v>
      </c>
      <c r="I16" s="310"/>
      <c r="J16" s="302"/>
    </row>
    <row r="17" spans="1:11" ht="31.5" x14ac:dyDescent="0.25">
      <c r="A17" s="391" t="s">
        <v>121</v>
      </c>
      <c r="B17" s="454">
        <v>901</v>
      </c>
      <c r="C17" s="394" t="s">
        <v>116</v>
      </c>
      <c r="D17" s="394" t="s">
        <v>118</v>
      </c>
      <c r="E17" s="394" t="s">
        <v>434</v>
      </c>
      <c r="F17" s="394" t="s">
        <v>122</v>
      </c>
      <c r="G17" s="436">
        <v>13033.9</v>
      </c>
      <c r="H17" s="436">
        <f>G17</f>
        <v>13033.9</v>
      </c>
      <c r="I17" s="310"/>
      <c r="J17" s="310"/>
    </row>
    <row r="18" spans="1:11" ht="31.5" x14ac:dyDescent="0.25">
      <c r="A18" s="391" t="s">
        <v>123</v>
      </c>
      <c r="B18" s="454">
        <v>901</v>
      </c>
      <c r="C18" s="394" t="s">
        <v>116</v>
      </c>
      <c r="D18" s="394" t="s">
        <v>118</v>
      </c>
      <c r="E18" s="394" t="s">
        <v>434</v>
      </c>
      <c r="F18" s="394" t="s">
        <v>124</v>
      </c>
      <c r="G18" s="435">
        <f>G19</f>
        <v>969.5</v>
      </c>
      <c r="H18" s="435">
        <f>H19</f>
        <v>969.5</v>
      </c>
      <c r="I18" s="310"/>
      <c r="J18" s="302"/>
    </row>
    <row r="19" spans="1:11" ht="31.5" x14ac:dyDescent="0.25">
      <c r="A19" s="391" t="s">
        <v>125</v>
      </c>
      <c r="B19" s="454">
        <v>901</v>
      </c>
      <c r="C19" s="394" t="s">
        <v>116</v>
      </c>
      <c r="D19" s="394" t="s">
        <v>118</v>
      </c>
      <c r="E19" s="394" t="s">
        <v>434</v>
      </c>
      <c r="F19" s="394" t="s">
        <v>126</v>
      </c>
      <c r="G19" s="436">
        <v>969.5</v>
      </c>
      <c r="H19" s="436">
        <v>969.5</v>
      </c>
      <c r="I19" s="310"/>
      <c r="J19" s="302"/>
    </row>
    <row r="20" spans="1:11" ht="15.75" x14ac:dyDescent="0.25">
      <c r="A20" s="391" t="s">
        <v>127</v>
      </c>
      <c r="B20" s="454">
        <v>901</v>
      </c>
      <c r="C20" s="394" t="s">
        <v>116</v>
      </c>
      <c r="D20" s="394" t="s">
        <v>118</v>
      </c>
      <c r="E20" s="394" t="s">
        <v>434</v>
      </c>
      <c r="F20" s="394" t="s">
        <v>128</v>
      </c>
      <c r="G20" s="435">
        <f>G21</f>
        <v>28</v>
      </c>
      <c r="H20" s="435">
        <f>H21</f>
        <v>28</v>
      </c>
      <c r="I20" s="310"/>
      <c r="J20" s="302"/>
    </row>
    <row r="21" spans="1:11" ht="15.75" x14ac:dyDescent="0.25">
      <c r="A21" s="391" t="s">
        <v>280</v>
      </c>
      <c r="B21" s="454">
        <v>901</v>
      </c>
      <c r="C21" s="394" t="s">
        <v>116</v>
      </c>
      <c r="D21" s="394" t="s">
        <v>118</v>
      </c>
      <c r="E21" s="394" t="s">
        <v>434</v>
      </c>
      <c r="F21" s="394" t="s">
        <v>130</v>
      </c>
      <c r="G21" s="435">
        <v>28</v>
      </c>
      <c r="H21" s="435">
        <v>28</v>
      </c>
      <c r="I21" s="310"/>
      <c r="J21" s="302"/>
    </row>
    <row r="22" spans="1:11" ht="31.5" x14ac:dyDescent="0.25">
      <c r="A22" s="391" t="s">
        <v>414</v>
      </c>
      <c r="B22" s="454">
        <v>901</v>
      </c>
      <c r="C22" s="394" t="s">
        <v>116</v>
      </c>
      <c r="D22" s="394" t="s">
        <v>118</v>
      </c>
      <c r="E22" s="394" t="s">
        <v>436</v>
      </c>
      <c r="F22" s="394"/>
      <c r="G22" s="435">
        <f>G23</f>
        <v>450</v>
      </c>
      <c r="H22" s="435">
        <f>H23</f>
        <v>450</v>
      </c>
      <c r="I22" s="310"/>
      <c r="J22" s="302"/>
    </row>
    <row r="23" spans="1:11" ht="63" x14ac:dyDescent="0.25">
      <c r="A23" s="391" t="s">
        <v>119</v>
      </c>
      <c r="B23" s="454">
        <v>901</v>
      </c>
      <c r="C23" s="394" t="s">
        <v>116</v>
      </c>
      <c r="D23" s="394" t="s">
        <v>118</v>
      </c>
      <c r="E23" s="394" t="s">
        <v>436</v>
      </c>
      <c r="F23" s="394" t="s">
        <v>120</v>
      </c>
      <c r="G23" s="435">
        <f>G24</f>
        <v>450</v>
      </c>
      <c r="H23" s="435">
        <f>H24</f>
        <v>450</v>
      </c>
      <c r="I23" s="310"/>
      <c r="J23" s="302"/>
    </row>
    <row r="24" spans="1:11" ht="31.5" x14ac:dyDescent="0.25">
      <c r="A24" s="391" t="s">
        <v>121</v>
      </c>
      <c r="B24" s="454">
        <v>901</v>
      </c>
      <c r="C24" s="394" t="s">
        <v>116</v>
      </c>
      <c r="D24" s="394" t="s">
        <v>118</v>
      </c>
      <c r="E24" s="394" t="s">
        <v>436</v>
      </c>
      <c r="F24" s="394" t="s">
        <v>122</v>
      </c>
      <c r="G24" s="435">
        <v>450</v>
      </c>
      <c r="H24" s="435">
        <v>450</v>
      </c>
      <c r="I24" s="310"/>
      <c r="J24" s="302"/>
    </row>
    <row r="25" spans="1:11" ht="15.75" x14ac:dyDescent="0.25">
      <c r="A25" s="409" t="s">
        <v>895</v>
      </c>
      <c r="B25" s="453">
        <v>901</v>
      </c>
      <c r="C25" s="406" t="s">
        <v>116</v>
      </c>
      <c r="D25" s="406" t="s">
        <v>251</v>
      </c>
      <c r="E25" s="406"/>
      <c r="F25" s="406"/>
      <c r="G25" s="438">
        <f t="shared" ref="G25:H29" si="0">G26</f>
        <v>50</v>
      </c>
      <c r="H25" s="438">
        <f t="shared" si="0"/>
        <v>50</v>
      </c>
      <c r="I25" s="310"/>
      <c r="J25" s="302"/>
    </row>
    <row r="26" spans="1:11" ht="15.75" x14ac:dyDescent="0.25">
      <c r="A26" s="409" t="s">
        <v>133</v>
      </c>
      <c r="B26" s="453">
        <v>901</v>
      </c>
      <c r="C26" s="406" t="s">
        <v>116</v>
      </c>
      <c r="D26" s="406" t="s">
        <v>251</v>
      </c>
      <c r="E26" s="406" t="s">
        <v>440</v>
      </c>
      <c r="F26" s="406"/>
      <c r="G26" s="438">
        <f t="shared" si="0"/>
        <v>50</v>
      </c>
      <c r="H26" s="438">
        <f t="shared" si="0"/>
        <v>50</v>
      </c>
      <c r="I26" s="310"/>
      <c r="J26" s="302"/>
    </row>
    <row r="27" spans="1:11" ht="31.5" x14ac:dyDescent="0.25">
      <c r="A27" s="409" t="s">
        <v>444</v>
      </c>
      <c r="B27" s="453">
        <v>901</v>
      </c>
      <c r="C27" s="406" t="s">
        <v>116</v>
      </c>
      <c r="D27" s="406" t="s">
        <v>251</v>
      </c>
      <c r="E27" s="406" t="s">
        <v>439</v>
      </c>
      <c r="F27" s="406"/>
      <c r="G27" s="438">
        <f t="shared" si="0"/>
        <v>50</v>
      </c>
      <c r="H27" s="438">
        <f t="shared" si="0"/>
        <v>50</v>
      </c>
      <c r="I27" s="310"/>
      <c r="J27" s="302"/>
    </row>
    <row r="28" spans="1:11" ht="15.75" x14ac:dyDescent="0.25">
      <c r="A28" s="391" t="s">
        <v>686</v>
      </c>
      <c r="B28" s="454">
        <v>901</v>
      </c>
      <c r="C28" s="394" t="s">
        <v>116</v>
      </c>
      <c r="D28" s="394" t="s">
        <v>251</v>
      </c>
      <c r="E28" s="394" t="s">
        <v>687</v>
      </c>
      <c r="F28" s="394"/>
      <c r="G28" s="435">
        <f t="shared" si="0"/>
        <v>50</v>
      </c>
      <c r="H28" s="435">
        <f t="shared" si="0"/>
        <v>50</v>
      </c>
      <c r="I28" s="310"/>
      <c r="J28" s="302"/>
    </row>
    <row r="29" spans="1:11" ht="15.75" x14ac:dyDescent="0.25">
      <c r="A29" s="391" t="s">
        <v>127</v>
      </c>
      <c r="B29" s="454">
        <v>901</v>
      </c>
      <c r="C29" s="394" t="s">
        <v>116</v>
      </c>
      <c r="D29" s="394" t="s">
        <v>251</v>
      </c>
      <c r="E29" s="394" t="s">
        <v>687</v>
      </c>
      <c r="F29" s="394" t="s">
        <v>134</v>
      </c>
      <c r="G29" s="435">
        <f t="shared" si="0"/>
        <v>50</v>
      </c>
      <c r="H29" s="435">
        <f t="shared" si="0"/>
        <v>50</v>
      </c>
      <c r="I29" s="310"/>
      <c r="J29" s="302"/>
    </row>
    <row r="30" spans="1:11" ht="15.75" x14ac:dyDescent="0.25">
      <c r="A30" s="391" t="s">
        <v>686</v>
      </c>
      <c r="B30" s="454">
        <v>901</v>
      </c>
      <c r="C30" s="394" t="s">
        <v>116</v>
      </c>
      <c r="D30" s="394" t="s">
        <v>251</v>
      </c>
      <c r="E30" s="394" t="s">
        <v>687</v>
      </c>
      <c r="F30" s="394" t="s">
        <v>688</v>
      </c>
      <c r="G30" s="435">
        <v>50</v>
      </c>
      <c r="H30" s="435">
        <v>50</v>
      </c>
      <c r="I30" s="310"/>
      <c r="J30" s="302"/>
    </row>
    <row r="31" spans="1:11" ht="15.75" x14ac:dyDescent="0.25">
      <c r="A31" s="453" t="s">
        <v>137</v>
      </c>
      <c r="B31" s="453">
        <v>902</v>
      </c>
      <c r="C31" s="394"/>
      <c r="D31" s="394"/>
      <c r="E31" s="394"/>
      <c r="F31" s="394"/>
      <c r="G31" s="438">
        <f>G32+G171+G201+G225+G164</f>
        <v>85771.1</v>
      </c>
      <c r="H31" s="438">
        <f>H32+H171+H201+H225+H164</f>
        <v>92216.9</v>
      </c>
      <c r="I31" s="310"/>
      <c r="J31" s="302"/>
      <c r="K31" s="149"/>
    </row>
    <row r="32" spans="1:11" ht="15.75" x14ac:dyDescent="0.25">
      <c r="A32" s="409" t="s">
        <v>115</v>
      </c>
      <c r="B32" s="453">
        <v>902</v>
      </c>
      <c r="C32" s="406" t="s">
        <v>116</v>
      </c>
      <c r="D32" s="394"/>
      <c r="E32" s="394"/>
      <c r="F32" s="394"/>
      <c r="G32" s="438">
        <f>G49+G104+G121+G113+G33</f>
        <v>63474.100000000006</v>
      </c>
      <c r="H32" s="438">
        <f>H49+H104+H121+H113+H33</f>
        <v>69500.800000000003</v>
      </c>
      <c r="I32" s="310"/>
      <c r="J32" s="302"/>
    </row>
    <row r="33" spans="1:11" ht="31.9" customHeight="1" x14ac:dyDescent="0.25">
      <c r="A33" s="409" t="s">
        <v>285</v>
      </c>
      <c r="B33" s="453">
        <v>902</v>
      </c>
      <c r="C33" s="406" t="s">
        <v>116</v>
      </c>
      <c r="D33" s="406" t="s">
        <v>158</v>
      </c>
      <c r="E33" s="394"/>
      <c r="F33" s="394"/>
      <c r="G33" s="438">
        <f>G34</f>
        <v>5300.4</v>
      </c>
      <c r="H33" s="438">
        <f>H34</f>
        <v>5386.4</v>
      </c>
      <c r="I33" s="310"/>
      <c r="J33" s="302"/>
    </row>
    <row r="34" spans="1:11" ht="31.5" x14ac:dyDescent="0.25">
      <c r="A34" s="409" t="s">
        <v>486</v>
      </c>
      <c r="B34" s="453">
        <v>902</v>
      </c>
      <c r="C34" s="406" t="s">
        <v>116</v>
      </c>
      <c r="D34" s="406" t="s">
        <v>158</v>
      </c>
      <c r="E34" s="406" t="s">
        <v>432</v>
      </c>
      <c r="F34" s="394"/>
      <c r="G34" s="438">
        <f>G35+G44</f>
        <v>5300.4</v>
      </c>
      <c r="H34" s="438">
        <f>H35+H44</f>
        <v>5386.4</v>
      </c>
      <c r="I34" s="310"/>
      <c r="J34" s="302"/>
    </row>
    <row r="35" spans="1:11" ht="15.75" x14ac:dyDescent="0.25">
      <c r="A35" s="409" t="s">
        <v>487</v>
      </c>
      <c r="B35" s="453">
        <v>902</v>
      </c>
      <c r="C35" s="406" t="s">
        <v>116</v>
      </c>
      <c r="D35" s="406" t="s">
        <v>158</v>
      </c>
      <c r="E35" s="406" t="s">
        <v>433</v>
      </c>
      <c r="F35" s="394"/>
      <c r="G35" s="438">
        <f>G36+G41</f>
        <v>5299.9</v>
      </c>
      <c r="H35" s="438">
        <f>H36+H41</f>
        <v>5385.9</v>
      </c>
      <c r="I35" s="310"/>
      <c r="J35" s="302"/>
    </row>
    <row r="36" spans="1:11" ht="31.5" x14ac:dyDescent="0.25">
      <c r="A36" s="391" t="s">
        <v>286</v>
      </c>
      <c r="B36" s="454">
        <v>902</v>
      </c>
      <c r="C36" s="394" t="s">
        <v>116</v>
      </c>
      <c r="D36" s="394" t="s">
        <v>158</v>
      </c>
      <c r="E36" s="394" t="s">
        <v>837</v>
      </c>
      <c r="F36" s="394"/>
      <c r="G36" s="435">
        <f>G37+G39</f>
        <v>5299.9</v>
      </c>
      <c r="H36" s="435">
        <f>H37+H39</f>
        <v>5299.9</v>
      </c>
      <c r="I36" s="310"/>
      <c r="J36" s="302"/>
    </row>
    <row r="37" spans="1:11" ht="63" x14ac:dyDescent="0.25">
      <c r="A37" s="391" t="s">
        <v>119</v>
      </c>
      <c r="B37" s="454">
        <v>902</v>
      </c>
      <c r="C37" s="394" t="s">
        <v>116</v>
      </c>
      <c r="D37" s="394" t="s">
        <v>158</v>
      </c>
      <c r="E37" s="394" t="s">
        <v>837</v>
      </c>
      <c r="F37" s="394" t="s">
        <v>120</v>
      </c>
      <c r="G37" s="435">
        <f>G38</f>
        <v>5209.8999999999996</v>
      </c>
      <c r="H37" s="435">
        <f>H38</f>
        <v>5209.8999999999996</v>
      </c>
      <c r="I37" s="310"/>
      <c r="J37" s="302"/>
    </row>
    <row r="38" spans="1:11" ht="31.5" x14ac:dyDescent="0.25">
      <c r="A38" s="391" t="s">
        <v>121</v>
      </c>
      <c r="B38" s="454">
        <v>902</v>
      </c>
      <c r="C38" s="394" t="s">
        <v>116</v>
      </c>
      <c r="D38" s="394" t="s">
        <v>158</v>
      </c>
      <c r="E38" s="394" t="s">
        <v>837</v>
      </c>
      <c r="F38" s="394" t="s">
        <v>122</v>
      </c>
      <c r="G38" s="436">
        <v>5209.8999999999996</v>
      </c>
      <c r="H38" s="436">
        <v>5209.8999999999996</v>
      </c>
      <c r="I38" s="310"/>
      <c r="J38" s="302"/>
      <c r="K38" s="320"/>
    </row>
    <row r="39" spans="1:11" ht="31.5" x14ac:dyDescent="0.25">
      <c r="A39" s="391" t="s">
        <v>153</v>
      </c>
      <c r="B39" s="454">
        <v>902</v>
      </c>
      <c r="C39" s="394" t="s">
        <v>116</v>
      </c>
      <c r="D39" s="394" t="s">
        <v>158</v>
      </c>
      <c r="E39" s="394" t="s">
        <v>837</v>
      </c>
      <c r="F39" s="394" t="s">
        <v>124</v>
      </c>
      <c r="G39" s="435">
        <f>G40</f>
        <v>90</v>
      </c>
      <c r="H39" s="435">
        <f>H40</f>
        <v>90</v>
      </c>
      <c r="I39" s="310"/>
      <c r="J39" s="302"/>
    </row>
    <row r="40" spans="1:11" ht="31.5" x14ac:dyDescent="0.25">
      <c r="A40" s="391" t="s">
        <v>125</v>
      </c>
      <c r="B40" s="454">
        <v>902</v>
      </c>
      <c r="C40" s="394" t="s">
        <v>116</v>
      </c>
      <c r="D40" s="394" t="s">
        <v>158</v>
      </c>
      <c r="E40" s="394" t="s">
        <v>837</v>
      </c>
      <c r="F40" s="394" t="s">
        <v>126</v>
      </c>
      <c r="G40" s="435">
        <f>90</f>
        <v>90</v>
      </c>
      <c r="H40" s="435">
        <f>90</f>
        <v>90</v>
      </c>
      <c r="I40" s="310"/>
      <c r="J40" s="302"/>
    </row>
    <row r="41" spans="1:11" ht="31.5" x14ac:dyDescent="0.25">
      <c r="A41" s="391" t="s">
        <v>414</v>
      </c>
      <c r="B41" s="454">
        <v>902</v>
      </c>
      <c r="C41" s="394" t="s">
        <v>116</v>
      </c>
      <c r="D41" s="394" t="s">
        <v>158</v>
      </c>
      <c r="E41" s="394" t="s">
        <v>436</v>
      </c>
      <c r="F41" s="394"/>
      <c r="G41" s="435">
        <f>G42</f>
        <v>0</v>
      </c>
      <c r="H41" s="435">
        <f>H42</f>
        <v>86</v>
      </c>
      <c r="I41" s="310"/>
      <c r="J41" s="302"/>
    </row>
    <row r="42" spans="1:11" ht="63" x14ac:dyDescent="0.25">
      <c r="A42" s="391" t="s">
        <v>119</v>
      </c>
      <c r="B42" s="454">
        <v>902</v>
      </c>
      <c r="C42" s="394" t="s">
        <v>116</v>
      </c>
      <c r="D42" s="394" t="s">
        <v>158</v>
      </c>
      <c r="E42" s="394" t="s">
        <v>436</v>
      </c>
      <c r="F42" s="394" t="s">
        <v>120</v>
      </c>
      <c r="G42" s="435">
        <f>G43</f>
        <v>0</v>
      </c>
      <c r="H42" s="435">
        <f>H43</f>
        <v>86</v>
      </c>
      <c r="I42" s="310"/>
      <c r="J42" s="302"/>
    </row>
    <row r="43" spans="1:11" ht="31.5" x14ac:dyDescent="0.25">
      <c r="A43" s="391" t="s">
        <v>121</v>
      </c>
      <c r="B43" s="454">
        <v>902</v>
      </c>
      <c r="C43" s="394" t="s">
        <v>116</v>
      </c>
      <c r="D43" s="394" t="s">
        <v>158</v>
      </c>
      <c r="E43" s="394" t="s">
        <v>436</v>
      </c>
      <c r="F43" s="394" t="s">
        <v>122</v>
      </c>
      <c r="G43" s="435">
        <v>0</v>
      </c>
      <c r="H43" s="435">
        <v>86</v>
      </c>
      <c r="I43" s="310"/>
      <c r="J43" s="302"/>
    </row>
    <row r="44" spans="1:11" ht="31.5" x14ac:dyDescent="0.25">
      <c r="A44" s="409" t="s">
        <v>842</v>
      </c>
      <c r="B44" s="453">
        <v>902</v>
      </c>
      <c r="C44" s="406" t="s">
        <v>116</v>
      </c>
      <c r="D44" s="406" t="s">
        <v>158</v>
      </c>
      <c r="E44" s="406" t="s">
        <v>143</v>
      </c>
      <c r="F44" s="406"/>
      <c r="G44" s="438">
        <f t="shared" ref="G44:H47" si="1">G45</f>
        <v>0.5</v>
      </c>
      <c r="H44" s="438">
        <f t="shared" si="1"/>
        <v>0.5</v>
      </c>
      <c r="I44" s="310"/>
      <c r="J44" s="302"/>
    </row>
    <row r="45" spans="1:11" ht="63" x14ac:dyDescent="0.25">
      <c r="A45" s="455" t="s">
        <v>844</v>
      </c>
      <c r="B45" s="456">
        <v>902</v>
      </c>
      <c r="C45" s="406" t="s">
        <v>116</v>
      </c>
      <c r="D45" s="406" t="s">
        <v>158</v>
      </c>
      <c r="E45" s="399" t="s">
        <v>424</v>
      </c>
      <c r="F45" s="406"/>
      <c r="G45" s="438">
        <f t="shared" si="1"/>
        <v>0.5</v>
      </c>
      <c r="H45" s="438">
        <f t="shared" si="1"/>
        <v>0.5</v>
      </c>
      <c r="I45" s="310"/>
      <c r="J45" s="302"/>
    </row>
    <row r="46" spans="1:11" ht="59.1" customHeight="1" x14ac:dyDescent="0.25">
      <c r="A46" s="393" t="s">
        <v>334</v>
      </c>
      <c r="B46" s="454">
        <v>902</v>
      </c>
      <c r="C46" s="394" t="s">
        <v>116</v>
      </c>
      <c r="D46" s="394" t="s">
        <v>158</v>
      </c>
      <c r="E46" s="395" t="s">
        <v>554</v>
      </c>
      <c r="F46" s="394"/>
      <c r="G46" s="435">
        <f t="shared" si="1"/>
        <v>0.5</v>
      </c>
      <c r="H46" s="435">
        <f t="shared" si="1"/>
        <v>0.5</v>
      </c>
      <c r="I46" s="310"/>
      <c r="J46" s="302"/>
    </row>
    <row r="47" spans="1:11" ht="31.5" x14ac:dyDescent="0.25">
      <c r="A47" s="391" t="s">
        <v>123</v>
      </c>
      <c r="B47" s="454">
        <v>902</v>
      </c>
      <c r="C47" s="394" t="s">
        <v>116</v>
      </c>
      <c r="D47" s="394" t="s">
        <v>158</v>
      </c>
      <c r="E47" s="395" t="s">
        <v>554</v>
      </c>
      <c r="F47" s="394" t="s">
        <v>124</v>
      </c>
      <c r="G47" s="435">
        <f t="shared" si="1"/>
        <v>0.5</v>
      </c>
      <c r="H47" s="435">
        <f t="shared" si="1"/>
        <v>0.5</v>
      </c>
      <c r="I47" s="310"/>
      <c r="J47" s="302"/>
    </row>
    <row r="48" spans="1:11" ht="31.5" x14ac:dyDescent="0.25">
      <c r="A48" s="391" t="s">
        <v>125</v>
      </c>
      <c r="B48" s="454">
        <v>902</v>
      </c>
      <c r="C48" s="394" t="s">
        <v>116</v>
      </c>
      <c r="D48" s="394" t="s">
        <v>158</v>
      </c>
      <c r="E48" s="395" t="s">
        <v>554</v>
      </c>
      <c r="F48" s="394" t="s">
        <v>126</v>
      </c>
      <c r="G48" s="435">
        <v>0.5</v>
      </c>
      <c r="H48" s="435">
        <v>0.5</v>
      </c>
      <c r="I48" s="310"/>
      <c r="J48" s="302"/>
    </row>
    <row r="49" spans="1:11" ht="46.15" customHeight="1" x14ac:dyDescent="0.25">
      <c r="A49" s="409" t="s">
        <v>138</v>
      </c>
      <c r="B49" s="453">
        <v>902</v>
      </c>
      <c r="C49" s="406" t="s">
        <v>116</v>
      </c>
      <c r="D49" s="406" t="s">
        <v>139</v>
      </c>
      <c r="E49" s="406"/>
      <c r="F49" s="406"/>
      <c r="G49" s="438">
        <f>G50+G86</f>
        <v>50281.100000000006</v>
      </c>
      <c r="H49" s="438">
        <f>H50+H86</f>
        <v>56307.80000000001</v>
      </c>
      <c r="I49" s="310"/>
      <c r="J49" s="302"/>
    </row>
    <row r="50" spans="1:11" ht="31.5" x14ac:dyDescent="0.25">
      <c r="A50" s="409" t="s">
        <v>486</v>
      </c>
      <c r="B50" s="453">
        <v>902</v>
      </c>
      <c r="C50" s="406" t="s">
        <v>116</v>
      </c>
      <c r="D50" s="406" t="s">
        <v>139</v>
      </c>
      <c r="E50" s="406" t="s">
        <v>432</v>
      </c>
      <c r="F50" s="406"/>
      <c r="G50" s="442">
        <f>G51+G67</f>
        <v>49677.600000000006</v>
      </c>
      <c r="H50" s="442">
        <f>H51+H67</f>
        <v>55704.30000000001</v>
      </c>
      <c r="I50" s="310"/>
      <c r="J50" s="302"/>
    </row>
    <row r="51" spans="1:11" ht="15.75" x14ac:dyDescent="0.25">
      <c r="A51" s="409" t="s">
        <v>487</v>
      </c>
      <c r="B51" s="453">
        <v>902</v>
      </c>
      <c r="C51" s="406" t="s">
        <v>116</v>
      </c>
      <c r="D51" s="406" t="s">
        <v>139</v>
      </c>
      <c r="E51" s="406" t="s">
        <v>433</v>
      </c>
      <c r="F51" s="406"/>
      <c r="G51" s="442">
        <f>G52+G61+G64</f>
        <v>45957.000000000007</v>
      </c>
      <c r="H51" s="442">
        <f>H52+H61+H64</f>
        <v>51836.000000000007</v>
      </c>
      <c r="I51" s="310"/>
      <c r="J51" s="302"/>
    </row>
    <row r="52" spans="1:11" ht="31.5" x14ac:dyDescent="0.25">
      <c r="A52" s="391" t="s">
        <v>466</v>
      </c>
      <c r="B52" s="454">
        <v>902</v>
      </c>
      <c r="C52" s="394" t="s">
        <v>116</v>
      </c>
      <c r="D52" s="394" t="s">
        <v>139</v>
      </c>
      <c r="E52" s="394" t="s">
        <v>434</v>
      </c>
      <c r="F52" s="394"/>
      <c r="G52" s="435">
        <f>G53+G55+G59+G57</f>
        <v>41808.500000000007</v>
      </c>
      <c r="H52" s="435">
        <f>H53+H55+H59+H57</f>
        <v>47687.500000000007</v>
      </c>
      <c r="I52" s="310"/>
      <c r="J52" s="302"/>
    </row>
    <row r="53" spans="1:11" ht="62.1" customHeight="1" x14ac:dyDescent="0.25">
      <c r="A53" s="391" t="s">
        <v>119</v>
      </c>
      <c r="B53" s="454">
        <v>902</v>
      </c>
      <c r="C53" s="394" t="s">
        <v>116</v>
      </c>
      <c r="D53" s="394" t="s">
        <v>139</v>
      </c>
      <c r="E53" s="394" t="s">
        <v>434</v>
      </c>
      <c r="F53" s="394" t="s">
        <v>120</v>
      </c>
      <c r="G53" s="435">
        <f>G54</f>
        <v>39073.200000000004</v>
      </c>
      <c r="H53" s="435">
        <f>H54</f>
        <v>44952.200000000004</v>
      </c>
      <c r="I53" s="310"/>
      <c r="J53" s="302"/>
    </row>
    <row r="54" spans="1:11" ht="31.5" x14ac:dyDescent="0.25">
      <c r="A54" s="391" t="s">
        <v>121</v>
      </c>
      <c r="B54" s="454">
        <v>902</v>
      </c>
      <c r="C54" s="394" t="s">
        <v>116</v>
      </c>
      <c r="D54" s="394" t="s">
        <v>139</v>
      </c>
      <c r="E54" s="394" t="s">
        <v>434</v>
      </c>
      <c r="F54" s="394" t="s">
        <v>122</v>
      </c>
      <c r="G54" s="436">
        <f>45725.3-12979.9+6327.8</f>
        <v>39073.200000000004</v>
      </c>
      <c r="H54" s="436">
        <f>45725.3-7172.9+6399.8</f>
        <v>44952.200000000004</v>
      </c>
      <c r="I54" s="310"/>
      <c r="J54" s="302"/>
      <c r="K54" s="320"/>
    </row>
    <row r="55" spans="1:11" ht="31.5" x14ac:dyDescent="0.25">
      <c r="A55" s="391" t="s">
        <v>123</v>
      </c>
      <c r="B55" s="454">
        <v>902</v>
      </c>
      <c r="C55" s="394" t="s">
        <v>116</v>
      </c>
      <c r="D55" s="394" t="s">
        <v>139</v>
      </c>
      <c r="E55" s="394" t="s">
        <v>434</v>
      </c>
      <c r="F55" s="394" t="s">
        <v>124</v>
      </c>
      <c r="G55" s="435">
        <f>G56</f>
        <v>2660.3</v>
      </c>
      <c r="H55" s="435">
        <f>H56</f>
        <v>2660.3</v>
      </c>
      <c r="I55" s="310"/>
      <c r="J55" s="302"/>
    </row>
    <row r="56" spans="1:11" ht="31.5" x14ac:dyDescent="0.25">
      <c r="A56" s="391" t="s">
        <v>125</v>
      </c>
      <c r="B56" s="454">
        <v>902</v>
      </c>
      <c r="C56" s="394" t="s">
        <v>116</v>
      </c>
      <c r="D56" s="394" t="s">
        <v>139</v>
      </c>
      <c r="E56" s="394" t="s">
        <v>434</v>
      </c>
      <c r="F56" s="394" t="s">
        <v>126</v>
      </c>
      <c r="G56" s="436">
        <f>5660.3-3000</f>
        <v>2660.3</v>
      </c>
      <c r="H56" s="436">
        <f>5660.3-3000</f>
        <v>2660.3</v>
      </c>
      <c r="I56" s="312"/>
      <c r="J56" s="302"/>
    </row>
    <row r="57" spans="1:11" ht="15.75" x14ac:dyDescent="0.25">
      <c r="A57" s="391" t="s">
        <v>177</v>
      </c>
      <c r="B57" s="454">
        <v>902</v>
      </c>
      <c r="C57" s="394" t="s">
        <v>116</v>
      </c>
      <c r="D57" s="394" t="s">
        <v>139</v>
      </c>
      <c r="E57" s="394" t="s">
        <v>434</v>
      </c>
      <c r="F57" s="394" t="s">
        <v>178</v>
      </c>
      <c r="G57" s="436">
        <f>G58</f>
        <v>0</v>
      </c>
      <c r="H57" s="436">
        <f>H58</f>
        <v>0</v>
      </c>
      <c r="I57" s="310"/>
      <c r="J57" s="302"/>
    </row>
    <row r="58" spans="1:11" ht="31.5" x14ac:dyDescent="0.25">
      <c r="A58" s="391" t="s">
        <v>179</v>
      </c>
      <c r="B58" s="454">
        <v>902</v>
      </c>
      <c r="C58" s="394" t="s">
        <v>116</v>
      </c>
      <c r="D58" s="394" t="s">
        <v>139</v>
      </c>
      <c r="E58" s="394" t="s">
        <v>434</v>
      </c>
      <c r="F58" s="394" t="s">
        <v>180</v>
      </c>
      <c r="G58" s="436">
        <f>755-755</f>
        <v>0</v>
      </c>
      <c r="H58" s="436">
        <f>755-755</f>
        <v>0</v>
      </c>
      <c r="I58" s="310"/>
      <c r="J58" s="302"/>
    </row>
    <row r="59" spans="1:11" ht="15.75" x14ac:dyDescent="0.25">
      <c r="A59" s="391" t="s">
        <v>127</v>
      </c>
      <c r="B59" s="454">
        <v>902</v>
      </c>
      <c r="C59" s="394" t="s">
        <v>116</v>
      </c>
      <c r="D59" s="394" t="s">
        <v>139</v>
      </c>
      <c r="E59" s="394" t="s">
        <v>434</v>
      </c>
      <c r="F59" s="394" t="s">
        <v>134</v>
      </c>
      <c r="G59" s="435">
        <f>G60</f>
        <v>75</v>
      </c>
      <c r="H59" s="435">
        <f>H60</f>
        <v>75</v>
      </c>
      <c r="I59" s="312"/>
      <c r="J59" s="302"/>
    </row>
    <row r="60" spans="1:11" ht="15.75" x14ac:dyDescent="0.25">
      <c r="A60" s="391" t="s">
        <v>280</v>
      </c>
      <c r="B60" s="454">
        <v>902</v>
      </c>
      <c r="C60" s="394" t="s">
        <v>116</v>
      </c>
      <c r="D60" s="394" t="s">
        <v>139</v>
      </c>
      <c r="E60" s="394" t="s">
        <v>434</v>
      </c>
      <c r="F60" s="394" t="s">
        <v>130</v>
      </c>
      <c r="G60" s="436">
        <v>75</v>
      </c>
      <c r="H60" s="436">
        <v>75</v>
      </c>
      <c r="I60" s="310"/>
      <c r="J60" s="302"/>
    </row>
    <row r="61" spans="1:11" ht="31.5" x14ac:dyDescent="0.25">
      <c r="A61" s="391" t="s">
        <v>415</v>
      </c>
      <c r="B61" s="454">
        <v>902</v>
      </c>
      <c r="C61" s="394" t="s">
        <v>116</v>
      </c>
      <c r="D61" s="394" t="s">
        <v>139</v>
      </c>
      <c r="E61" s="394" t="s">
        <v>435</v>
      </c>
      <c r="F61" s="394"/>
      <c r="G61" s="436">
        <f>G62</f>
        <v>2614.9</v>
      </c>
      <c r="H61" s="436">
        <f>H62</f>
        <v>2614.9</v>
      </c>
      <c r="I61" s="310"/>
      <c r="J61" s="302"/>
    </row>
    <row r="62" spans="1:11" ht="67.7" customHeight="1" x14ac:dyDescent="0.25">
      <c r="A62" s="391" t="s">
        <v>119</v>
      </c>
      <c r="B62" s="454">
        <v>902</v>
      </c>
      <c r="C62" s="394" t="s">
        <v>116</v>
      </c>
      <c r="D62" s="394" t="s">
        <v>139</v>
      </c>
      <c r="E62" s="394" t="s">
        <v>435</v>
      </c>
      <c r="F62" s="394" t="s">
        <v>120</v>
      </c>
      <c r="G62" s="436">
        <f>G63</f>
        <v>2614.9</v>
      </c>
      <c r="H62" s="436">
        <f>H63</f>
        <v>2614.9</v>
      </c>
      <c r="I62" s="310"/>
      <c r="J62" s="302"/>
    </row>
    <row r="63" spans="1:11" ht="31.5" x14ac:dyDescent="0.25">
      <c r="A63" s="391" t="s">
        <v>121</v>
      </c>
      <c r="B63" s="454">
        <v>902</v>
      </c>
      <c r="C63" s="394" t="s">
        <v>116</v>
      </c>
      <c r="D63" s="394" t="s">
        <v>139</v>
      </c>
      <c r="E63" s="394" t="s">
        <v>435</v>
      </c>
      <c r="F63" s="394" t="s">
        <v>122</v>
      </c>
      <c r="G63" s="436">
        <f>2557.5+57.4</f>
        <v>2614.9</v>
      </c>
      <c r="H63" s="436">
        <f>2557.5+57.4</f>
        <v>2614.9</v>
      </c>
      <c r="I63" s="310"/>
      <c r="J63" s="302"/>
    </row>
    <row r="64" spans="1:11" ht="31.5" x14ac:dyDescent="0.25">
      <c r="A64" s="391" t="s">
        <v>414</v>
      </c>
      <c r="B64" s="454">
        <v>902</v>
      </c>
      <c r="C64" s="394" t="s">
        <v>116</v>
      </c>
      <c r="D64" s="394" t="s">
        <v>139</v>
      </c>
      <c r="E64" s="394" t="s">
        <v>436</v>
      </c>
      <c r="F64" s="394"/>
      <c r="G64" s="435">
        <f>G65</f>
        <v>1533.6</v>
      </c>
      <c r="H64" s="435">
        <f>H65</f>
        <v>1533.6</v>
      </c>
      <c r="I64" s="310"/>
      <c r="J64" s="302"/>
    </row>
    <row r="65" spans="1:11" ht="63" x14ac:dyDescent="0.25">
      <c r="A65" s="391" t="s">
        <v>119</v>
      </c>
      <c r="B65" s="454">
        <v>902</v>
      </c>
      <c r="C65" s="394" t="s">
        <v>116</v>
      </c>
      <c r="D65" s="394" t="s">
        <v>139</v>
      </c>
      <c r="E65" s="394" t="s">
        <v>436</v>
      </c>
      <c r="F65" s="394" t="s">
        <v>120</v>
      </c>
      <c r="G65" s="435">
        <f>G66</f>
        <v>1533.6</v>
      </c>
      <c r="H65" s="435">
        <f>H66</f>
        <v>1533.6</v>
      </c>
      <c r="I65" s="310"/>
      <c r="J65" s="302"/>
    </row>
    <row r="66" spans="1:11" ht="31.5" x14ac:dyDescent="0.25">
      <c r="A66" s="391" t="s">
        <v>121</v>
      </c>
      <c r="B66" s="454">
        <v>902</v>
      </c>
      <c r="C66" s="394" t="s">
        <v>116</v>
      </c>
      <c r="D66" s="394" t="s">
        <v>139</v>
      </c>
      <c r="E66" s="394" t="s">
        <v>436</v>
      </c>
      <c r="F66" s="394" t="s">
        <v>122</v>
      </c>
      <c r="G66" s="435">
        <f>1591-57.4</f>
        <v>1533.6</v>
      </c>
      <c r="H66" s="435">
        <f>1591-57.4</f>
        <v>1533.6</v>
      </c>
      <c r="I66" s="310"/>
      <c r="J66" s="302"/>
      <c r="K66" s="320"/>
    </row>
    <row r="67" spans="1:11" ht="31.5" x14ac:dyDescent="0.25">
      <c r="A67" s="409" t="s">
        <v>458</v>
      </c>
      <c r="B67" s="453">
        <v>902</v>
      </c>
      <c r="C67" s="406" t="s">
        <v>116</v>
      </c>
      <c r="D67" s="406" t="s">
        <v>139</v>
      </c>
      <c r="E67" s="406" t="s">
        <v>437</v>
      </c>
      <c r="F67" s="406"/>
      <c r="G67" s="438">
        <f>G68+G71+G76+G81</f>
        <v>3720.6000000000004</v>
      </c>
      <c r="H67" s="438">
        <f>H68+H71+H76+H81</f>
        <v>3868.3</v>
      </c>
      <c r="I67" s="310"/>
      <c r="J67" s="302"/>
    </row>
    <row r="68" spans="1:11" ht="35.450000000000003" hidden="1" customHeight="1" x14ac:dyDescent="0.25">
      <c r="A68" s="391" t="s">
        <v>356</v>
      </c>
      <c r="B68" s="454">
        <v>902</v>
      </c>
      <c r="C68" s="394" t="s">
        <v>116</v>
      </c>
      <c r="D68" s="394" t="s">
        <v>139</v>
      </c>
      <c r="E68" s="394" t="s">
        <v>488</v>
      </c>
      <c r="F68" s="406"/>
      <c r="G68" s="435">
        <f>G69</f>
        <v>0</v>
      </c>
      <c r="H68" s="435">
        <f>H69</f>
        <v>0</v>
      </c>
      <c r="I68" s="310"/>
      <c r="J68" s="302"/>
    </row>
    <row r="69" spans="1:11" ht="31.5" hidden="1" x14ac:dyDescent="0.25">
      <c r="A69" s="391" t="s">
        <v>123</v>
      </c>
      <c r="B69" s="454">
        <v>902</v>
      </c>
      <c r="C69" s="394" t="s">
        <v>116</v>
      </c>
      <c r="D69" s="394" t="s">
        <v>139</v>
      </c>
      <c r="E69" s="394" t="s">
        <v>488</v>
      </c>
      <c r="F69" s="394" t="s">
        <v>124</v>
      </c>
      <c r="G69" s="435">
        <f>G70</f>
        <v>0</v>
      </c>
      <c r="H69" s="435">
        <f>H70</f>
        <v>0</v>
      </c>
      <c r="I69" s="310"/>
      <c r="J69" s="302"/>
    </row>
    <row r="70" spans="1:11" ht="31.5" hidden="1" x14ac:dyDescent="0.25">
      <c r="A70" s="391" t="s">
        <v>125</v>
      </c>
      <c r="B70" s="454">
        <v>902</v>
      </c>
      <c r="C70" s="394" t="s">
        <v>116</v>
      </c>
      <c r="D70" s="394" t="s">
        <v>139</v>
      </c>
      <c r="E70" s="394" t="s">
        <v>488</v>
      </c>
      <c r="F70" s="394" t="s">
        <v>126</v>
      </c>
      <c r="G70" s="435">
        <v>0</v>
      </c>
      <c r="H70" s="435">
        <v>0</v>
      </c>
      <c r="I70" s="310"/>
      <c r="J70" s="302"/>
    </row>
    <row r="71" spans="1:11" ht="47.25" x14ac:dyDescent="0.25">
      <c r="A71" s="393" t="s">
        <v>150</v>
      </c>
      <c r="B71" s="454">
        <v>902</v>
      </c>
      <c r="C71" s="394" t="s">
        <v>116</v>
      </c>
      <c r="D71" s="394" t="s">
        <v>139</v>
      </c>
      <c r="E71" s="394" t="s">
        <v>489</v>
      </c>
      <c r="F71" s="394"/>
      <c r="G71" s="435">
        <f>G72+G74</f>
        <v>601.20000000000005</v>
      </c>
      <c r="H71" s="435">
        <f>H72+H74</f>
        <v>624.20000000000005</v>
      </c>
      <c r="I71" s="310"/>
      <c r="J71" s="302"/>
    </row>
    <row r="72" spans="1:11" ht="63" x14ac:dyDescent="0.25">
      <c r="A72" s="391" t="s">
        <v>119</v>
      </c>
      <c r="B72" s="454">
        <v>902</v>
      </c>
      <c r="C72" s="394" t="s">
        <v>116</v>
      </c>
      <c r="D72" s="394" t="s">
        <v>139</v>
      </c>
      <c r="E72" s="394" t="s">
        <v>489</v>
      </c>
      <c r="F72" s="394" t="s">
        <v>120</v>
      </c>
      <c r="G72" s="435">
        <f>G73</f>
        <v>601.20000000000005</v>
      </c>
      <c r="H72" s="435">
        <f>H73</f>
        <v>624.20000000000005</v>
      </c>
      <c r="I72" s="310"/>
      <c r="J72" s="302"/>
    </row>
    <row r="73" spans="1:11" ht="31.5" x14ac:dyDescent="0.25">
      <c r="A73" s="391" t="s">
        <v>121</v>
      </c>
      <c r="B73" s="454">
        <v>902</v>
      </c>
      <c r="C73" s="394" t="s">
        <v>116</v>
      </c>
      <c r="D73" s="394" t="s">
        <v>139</v>
      </c>
      <c r="E73" s="394" t="s">
        <v>489</v>
      </c>
      <c r="F73" s="394" t="s">
        <v>122</v>
      </c>
      <c r="G73" s="586">
        <f>601+0.2</f>
        <v>601.20000000000005</v>
      </c>
      <c r="H73" s="435">
        <v>624.20000000000005</v>
      </c>
      <c r="I73" s="310" t="s">
        <v>1271</v>
      </c>
      <c r="J73" s="302"/>
    </row>
    <row r="74" spans="1:11" ht="31.5" hidden="1" x14ac:dyDescent="0.25">
      <c r="A74" s="391" t="s">
        <v>123</v>
      </c>
      <c r="B74" s="454">
        <v>902</v>
      </c>
      <c r="C74" s="394" t="s">
        <v>116</v>
      </c>
      <c r="D74" s="394" t="s">
        <v>139</v>
      </c>
      <c r="E74" s="394" t="s">
        <v>489</v>
      </c>
      <c r="F74" s="394" t="s">
        <v>124</v>
      </c>
      <c r="G74" s="435">
        <f>G75</f>
        <v>0</v>
      </c>
      <c r="H74" s="435">
        <f>H75</f>
        <v>0</v>
      </c>
      <c r="I74" s="310"/>
      <c r="J74" s="302"/>
    </row>
    <row r="75" spans="1:11" ht="31.5" hidden="1" x14ac:dyDescent="0.25">
      <c r="A75" s="391" t="s">
        <v>125</v>
      </c>
      <c r="B75" s="454">
        <v>902</v>
      </c>
      <c r="C75" s="394" t="s">
        <v>116</v>
      </c>
      <c r="D75" s="394" t="s">
        <v>139</v>
      </c>
      <c r="E75" s="394" t="s">
        <v>489</v>
      </c>
      <c r="F75" s="394" t="s">
        <v>126</v>
      </c>
      <c r="G75" s="435">
        <v>0</v>
      </c>
      <c r="H75" s="435">
        <v>0</v>
      </c>
      <c r="I75" s="310"/>
      <c r="J75" s="302"/>
    </row>
    <row r="76" spans="1:11" ht="31.5" x14ac:dyDescent="0.25">
      <c r="A76" s="393" t="s">
        <v>152</v>
      </c>
      <c r="B76" s="454">
        <v>902</v>
      </c>
      <c r="C76" s="394" t="s">
        <v>116</v>
      </c>
      <c r="D76" s="394" t="s">
        <v>139</v>
      </c>
      <c r="E76" s="394" t="s">
        <v>490</v>
      </c>
      <c r="F76" s="394"/>
      <c r="G76" s="435">
        <f>G77+G79</f>
        <v>1477.7</v>
      </c>
      <c r="H76" s="435">
        <f>H77+H79</f>
        <v>1536.8000000000002</v>
      </c>
      <c r="I76" s="310"/>
      <c r="J76" s="302"/>
    </row>
    <row r="77" spans="1:11" ht="63" x14ac:dyDescent="0.25">
      <c r="A77" s="391" t="s">
        <v>119</v>
      </c>
      <c r="B77" s="454">
        <v>902</v>
      </c>
      <c r="C77" s="394" t="s">
        <v>116</v>
      </c>
      <c r="D77" s="394" t="s">
        <v>139</v>
      </c>
      <c r="E77" s="394" t="s">
        <v>490</v>
      </c>
      <c r="F77" s="394" t="s">
        <v>120</v>
      </c>
      <c r="G77" s="435">
        <f>G78</f>
        <v>1383.3</v>
      </c>
      <c r="H77" s="435">
        <f>H78</f>
        <v>1442.1000000000001</v>
      </c>
      <c r="I77" s="310"/>
      <c r="J77" s="302"/>
    </row>
    <row r="78" spans="1:11" ht="31.5" x14ac:dyDescent="0.25">
      <c r="A78" s="391" t="s">
        <v>121</v>
      </c>
      <c r="B78" s="454">
        <v>902</v>
      </c>
      <c r="C78" s="394" t="s">
        <v>116</v>
      </c>
      <c r="D78" s="394" t="s">
        <v>139</v>
      </c>
      <c r="E78" s="394" t="s">
        <v>490</v>
      </c>
      <c r="F78" s="394" t="s">
        <v>122</v>
      </c>
      <c r="G78" s="586">
        <f>1383.2+0.1</f>
        <v>1383.3</v>
      </c>
      <c r="H78" s="586">
        <f>1441.9+0.2</f>
        <v>1442.1000000000001</v>
      </c>
      <c r="I78" s="310" t="s">
        <v>1272</v>
      </c>
      <c r="J78" s="302"/>
    </row>
    <row r="79" spans="1:11" ht="31.5" x14ac:dyDescent="0.25">
      <c r="A79" s="391" t="s">
        <v>153</v>
      </c>
      <c r="B79" s="454">
        <v>902</v>
      </c>
      <c r="C79" s="394" t="s">
        <v>116</v>
      </c>
      <c r="D79" s="394" t="s">
        <v>139</v>
      </c>
      <c r="E79" s="394" t="s">
        <v>490</v>
      </c>
      <c r="F79" s="394" t="s">
        <v>124</v>
      </c>
      <c r="G79" s="435">
        <f>G80</f>
        <v>94.4</v>
      </c>
      <c r="H79" s="435">
        <f>H80</f>
        <v>94.7</v>
      </c>
      <c r="I79" s="310"/>
      <c r="J79" s="302"/>
    </row>
    <row r="80" spans="1:11" ht="31.5" x14ac:dyDescent="0.25">
      <c r="A80" s="391" t="s">
        <v>125</v>
      </c>
      <c r="B80" s="454">
        <v>902</v>
      </c>
      <c r="C80" s="394" t="s">
        <v>116</v>
      </c>
      <c r="D80" s="394" t="s">
        <v>139</v>
      </c>
      <c r="E80" s="394" t="s">
        <v>490</v>
      </c>
      <c r="F80" s="394" t="s">
        <v>126</v>
      </c>
      <c r="G80" s="586">
        <f>94.5-0.1</f>
        <v>94.4</v>
      </c>
      <c r="H80" s="586">
        <f>94.9-0.2</f>
        <v>94.7</v>
      </c>
      <c r="I80" s="310" t="s">
        <v>1273</v>
      </c>
      <c r="J80" s="302"/>
    </row>
    <row r="81" spans="1:10" ht="31.5" x14ac:dyDescent="0.25">
      <c r="A81" s="391" t="s">
        <v>1165</v>
      </c>
      <c r="B81" s="454">
        <v>902</v>
      </c>
      <c r="C81" s="394" t="s">
        <v>116</v>
      </c>
      <c r="D81" s="394" t="s">
        <v>139</v>
      </c>
      <c r="E81" s="394" t="s">
        <v>1174</v>
      </c>
      <c r="F81" s="394"/>
      <c r="G81" s="435">
        <f>G82+G84</f>
        <v>1641.7</v>
      </c>
      <c r="H81" s="435">
        <f>H82+H84</f>
        <v>1707.3</v>
      </c>
      <c r="I81" s="310"/>
      <c r="J81" s="302"/>
    </row>
    <row r="82" spans="1:10" ht="63" x14ac:dyDescent="0.25">
      <c r="A82" s="391" t="s">
        <v>119</v>
      </c>
      <c r="B82" s="454">
        <v>902</v>
      </c>
      <c r="C82" s="394" t="s">
        <v>116</v>
      </c>
      <c r="D82" s="394" t="s">
        <v>139</v>
      </c>
      <c r="E82" s="394" t="s">
        <v>1174</v>
      </c>
      <c r="F82" s="394" t="s">
        <v>120</v>
      </c>
      <c r="G82" s="435">
        <f>G83</f>
        <v>1601.4</v>
      </c>
      <c r="H82" s="435">
        <f>H83</f>
        <v>1619.1</v>
      </c>
      <c r="I82" s="310"/>
      <c r="J82" s="302"/>
    </row>
    <row r="83" spans="1:10" ht="31.5" x14ac:dyDescent="0.25">
      <c r="A83" s="391" t="s">
        <v>121</v>
      </c>
      <c r="B83" s="454">
        <v>902</v>
      </c>
      <c r="C83" s="394" t="s">
        <v>116</v>
      </c>
      <c r="D83" s="394" t="s">
        <v>139</v>
      </c>
      <c r="E83" s="394" t="s">
        <v>1174</v>
      </c>
      <c r="F83" s="394" t="s">
        <v>122</v>
      </c>
      <c r="G83" s="435">
        <v>1601.4</v>
      </c>
      <c r="H83" s="586">
        <f>1603.5+15.6</f>
        <v>1619.1</v>
      </c>
      <c r="I83" s="310" t="s">
        <v>1266</v>
      </c>
      <c r="J83" s="302"/>
    </row>
    <row r="84" spans="1:10" ht="31.5" x14ac:dyDescent="0.25">
      <c r="A84" s="391" t="s">
        <v>123</v>
      </c>
      <c r="B84" s="454">
        <v>902</v>
      </c>
      <c r="C84" s="394" t="s">
        <v>116</v>
      </c>
      <c r="D84" s="394" t="s">
        <v>139</v>
      </c>
      <c r="E84" s="394" t="s">
        <v>1174</v>
      </c>
      <c r="F84" s="394" t="s">
        <v>124</v>
      </c>
      <c r="G84" s="435">
        <f>G85</f>
        <v>40.299999999999997</v>
      </c>
      <c r="H84" s="435">
        <f>H85</f>
        <v>88.2</v>
      </c>
      <c r="I84" s="310"/>
      <c r="J84" s="302"/>
    </row>
    <row r="85" spans="1:10" ht="31.5" x14ac:dyDescent="0.25">
      <c r="A85" s="391" t="s">
        <v>125</v>
      </c>
      <c r="B85" s="454">
        <v>902</v>
      </c>
      <c r="C85" s="394" t="s">
        <v>116</v>
      </c>
      <c r="D85" s="394" t="s">
        <v>139</v>
      </c>
      <c r="E85" s="394" t="s">
        <v>1174</v>
      </c>
      <c r="F85" s="394" t="s">
        <v>126</v>
      </c>
      <c r="G85" s="435">
        <v>40.299999999999997</v>
      </c>
      <c r="H85" s="435">
        <v>88.2</v>
      </c>
      <c r="I85" s="310"/>
      <c r="J85" s="302"/>
    </row>
    <row r="86" spans="1:10" ht="31.5" x14ac:dyDescent="0.25">
      <c r="A86" s="409" t="s">
        <v>842</v>
      </c>
      <c r="B86" s="453">
        <v>902</v>
      </c>
      <c r="C86" s="406" t="s">
        <v>116</v>
      </c>
      <c r="D86" s="406" t="s">
        <v>139</v>
      </c>
      <c r="E86" s="406" t="s">
        <v>143</v>
      </c>
      <c r="F86" s="406"/>
      <c r="G86" s="438">
        <f>G87+G91+G100</f>
        <v>603.5</v>
      </c>
      <c r="H86" s="438">
        <f>H87+H91+H100</f>
        <v>603.5</v>
      </c>
      <c r="I86" s="310"/>
      <c r="J86" s="302"/>
    </row>
    <row r="87" spans="1:10" ht="63" x14ac:dyDescent="0.25">
      <c r="A87" s="457" t="s">
        <v>843</v>
      </c>
      <c r="B87" s="453">
        <v>902</v>
      </c>
      <c r="C87" s="406" t="s">
        <v>116</v>
      </c>
      <c r="D87" s="406" t="s">
        <v>139</v>
      </c>
      <c r="E87" s="399" t="s">
        <v>423</v>
      </c>
      <c r="F87" s="406"/>
      <c r="G87" s="438">
        <f t="shared" ref="G87:H89" si="2">G88</f>
        <v>526</v>
      </c>
      <c r="H87" s="438">
        <f t="shared" si="2"/>
        <v>526</v>
      </c>
      <c r="I87" s="310"/>
      <c r="J87" s="302"/>
    </row>
    <row r="88" spans="1:10" ht="47.25" x14ac:dyDescent="0.25">
      <c r="A88" s="458" t="s">
        <v>821</v>
      </c>
      <c r="B88" s="454">
        <v>902</v>
      </c>
      <c r="C88" s="394" t="s">
        <v>116</v>
      </c>
      <c r="D88" s="394" t="s">
        <v>139</v>
      </c>
      <c r="E88" s="395" t="s">
        <v>416</v>
      </c>
      <c r="F88" s="394"/>
      <c r="G88" s="435">
        <f t="shared" si="2"/>
        <v>526</v>
      </c>
      <c r="H88" s="435">
        <f t="shared" si="2"/>
        <v>526</v>
      </c>
      <c r="I88" s="310"/>
      <c r="J88" s="302"/>
    </row>
    <row r="89" spans="1:10" ht="31.5" x14ac:dyDescent="0.25">
      <c r="A89" s="391" t="s">
        <v>123</v>
      </c>
      <c r="B89" s="454">
        <v>902</v>
      </c>
      <c r="C89" s="394" t="s">
        <v>116</v>
      </c>
      <c r="D89" s="394" t="s">
        <v>139</v>
      </c>
      <c r="E89" s="395" t="s">
        <v>416</v>
      </c>
      <c r="F89" s="394" t="s">
        <v>124</v>
      </c>
      <c r="G89" s="435">
        <f t="shared" si="2"/>
        <v>526</v>
      </c>
      <c r="H89" s="435">
        <f t="shared" si="2"/>
        <v>526</v>
      </c>
      <c r="I89" s="310"/>
      <c r="J89" s="302"/>
    </row>
    <row r="90" spans="1:10" ht="31.5" x14ac:dyDescent="0.25">
      <c r="A90" s="391" t="s">
        <v>125</v>
      </c>
      <c r="B90" s="454">
        <v>902</v>
      </c>
      <c r="C90" s="394" t="s">
        <v>116</v>
      </c>
      <c r="D90" s="394" t="s">
        <v>139</v>
      </c>
      <c r="E90" s="395" t="s">
        <v>416</v>
      </c>
      <c r="F90" s="394" t="s">
        <v>126</v>
      </c>
      <c r="G90" s="435">
        <v>526</v>
      </c>
      <c r="H90" s="435">
        <v>526</v>
      </c>
      <c r="I90" s="310"/>
      <c r="J90" s="302"/>
    </row>
    <row r="91" spans="1:10" ht="69.75" customHeight="1" x14ac:dyDescent="0.25">
      <c r="A91" s="455" t="s">
        <v>844</v>
      </c>
      <c r="B91" s="456">
        <v>902</v>
      </c>
      <c r="C91" s="406" t="s">
        <v>116</v>
      </c>
      <c r="D91" s="406" t="s">
        <v>139</v>
      </c>
      <c r="E91" s="399" t="s">
        <v>424</v>
      </c>
      <c r="F91" s="406"/>
      <c r="G91" s="438">
        <f>G92+G97</f>
        <v>77</v>
      </c>
      <c r="H91" s="438">
        <f>H92+H97</f>
        <v>77</v>
      </c>
      <c r="I91" s="310"/>
      <c r="J91" s="302"/>
    </row>
    <row r="92" spans="1:10" ht="47.25" x14ac:dyDescent="0.25">
      <c r="A92" s="459" t="s">
        <v>144</v>
      </c>
      <c r="B92" s="454">
        <v>902</v>
      </c>
      <c r="C92" s="394" t="s">
        <v>116</v>
      </c>
      <c r="D92" s="394" t="s">
        <v>139</v>
      </c>
      <c r="E92" s="395" t="s">
        <v>417</v>
      </c>
      <c r="F92" s="394"/>
      <c r="G92" s="435">
        <f>G93+G95</f>
        <v>77</v>
      </c>
      <c r="H92" s="435">
        <f>H93+H95</f>
        <v>77</v>
      </c>
      <c r="I92" s="310"/>
      <c r="J92" s="302"/>
    </row>
    <row r="93" spans="1:10" ht="63" x14ac:dyDescent="0.25">
      <c r="A93" s="391" t="s">
        <v>119</v>
      </c>
      <c r="B93" s="454">
        <v>902</v>
      </c>
      <c r="C93" s="394" t="s">
        <v>116</v>
      </c>
      <c r="D93" s="394" t="s">
        <v>139</v>
      </c>
      <c r="E93" s="395" t="s">
        <v>417</v>
      </c>
      <c r="F93" s="394" t="s">
        <v>120</v>
      </c>
      <c r="G93" s="435">
        <f>G94</f>
        <v>37.200000000000003</v>
      </c>
      <c r="H93" s="435">
        <f>H94</f>
        <v>37.200000000000003</v>
      </c>
      <c r="I93" s="310"/>
      <c r="J93" s="302"/>
    </row>
    <row r="94" spans="1:10" ht="31.5" x14ac:dyDescent="0.25">
      <c r="A94" s="391" t="s">
        <v>121</v>
      </c>
      <c r="B94" s="454">
        <v>902</v>
      </c>
      <c r="C94" s="394" t="s">
        <v>116</v>
      </c>
      <c r="D94" s="394" t="s">
        <v>139</v>
      </c>
      <c r="E94" s="395" t="s">
        <v>417</v>
      </c>
      <c r="F94" s="394" t="s">
        <v>122</v>
      </c>
      <c r="G94" s="435">
        <v>37.200000000000003</v>
      </c>
      <c r="H94" s="435">
        <v>37.200000000000003</v>
      </c>
      <c r="I94" s="310"/>
      <c r="J94" s="302"/>
    </row>
    <row r="95" spans="1:10" ht="31.5" x14ac:dyDescent="0.25">
      <c r="A95" s="391" t="s">
        <v>123</v>
      </c>
      <c r="B95" s="454">
        <v>902</v>
      </c>
      <c r="C95" s="394" t="s">
        <v>116</v>
      </c>
      <c r="D95" s="394" t="s">
        <v>139</v>
      </c>
      <c r="E95" s="395" t="s">
        <v>417</v>
      </c>
      <c r="F95" s="394" t="s">
        <v>124</v>
      </c>
      <c r="G95" s="435">
        <f>G96</f>
        <v>39.799999999999997</v>
      </c>
      <c r="H95" s="435">
        <f>H96</f>
        <v>39.799999999999997</v>
      </c>
      <c r="I95" s="310"/>
      <c r="J95" s="302"/>
    </row>
    <row r="96" spans="1:10" ht="31.5" x14ac:dyDescent="0.25">
      <c r="A96" s="391" t="s">
        <v>125</v>
      </c>
      <c r="B96" s="454">
        <v>902</v>
      </c>
      <c r="C96" s="394" t="s">
        <v>116</v>
      </c>
      <c r="D96" s="394" t="s">
        <v>139</v>
      </c>
      <c r="E96" s="395" t="s">
        <v>417</v>
      </c>
      <c r="F96" s="394" t="s">
        <v>126</v>
      </c>
      <c r="G96" s="435">
        <v>39.799999999999997</v>
      </c>
      <c r="H96" s="435">
        <v>39.799999999999997</v>
      </c>
      <c r="I96" s="310"/>
      <c r="J96" s="302"/>
    </row>
    <row r="97" spans="1:10" ht="47.25" hidden="1" x14ac:dyDescent="0.25">
      <c r="A97" s="393" t="s">
        <v>646</v>
      </c>
      <c r="B97" s="454">
        <v>902</v>
      </c>
      <c r="C97" s="394" t="s">
        <v>116</v>
      </c>
      <c r="D97" s="394" t="s">
        <v>139</v>
      </c>
      <c r="E97" s="395" t="s">
        <v>554</v>
      </c>
      <c r="F97" s="394"/>
      <c r="G97" s="435">
        <f>G98</f>
        <v>0</v>
      </c>
      <c r="H97" s="435">
        <f>H98</f>
        <v>0</v>
      </c>
      <c r="I97" s="310"/>
      <c r="J97" s="302"/>
    </row>
    <row r="98" spans="1:10" ht="31.5" hidden="1" x14ac:dyDescent="0.25">
      <c r="A98" s="391" t="s">
        <v>123</v>
      </c>
      <c r="B98" s="454">
        <v>902</v>
      </c>
      <c r="C98" s="394" t="s">
        <v>116</v>
      </c>
      <c r="D98" s="394" t="s">
        <v>139</v>
      </c>
      <c r="E98" s="395" t="s">
        <v>554</v>
      </c>
      <c r="F98" s="394" t="s">
        <v>124</v>
      </c>
      <c r="G98" s="435">
        <f>G99</f>
        <v>0</v>
      </c>
      <c r="H98" s="435">
        <f>H99</f>
        <v>0</v>
      </c>
      <c r="I98" s="310"/>
      <c r="J98" s="302"/>
    </row>
    <row r="99" spans="1:10" ht="31.5" hidden="1" x14ac:dyDescent="0.25">
      <c r="A99" s="391" t="s">
        <v>125</v>
      </c>
      <c r="B99" s="454">
        <v>902</v>
      </c>
      <c r="C99" s="394" t="s">
        <v>116</v>
      </c>
      <c r="D99" s="394" t="s">
        <v>139</v>
      </c>
      <c r="E99" s="395" t="s">
        <v>335</v>
      </c>
      <c r="F99" s="394" t="s">
        <v>126</v>
      </c>
      <c r="G99" s="435">
        <v>0</v>
      </c>
      <c r="H99" s="435">
        <v>0</v>
      </c>
      <c r="I99" s="310"/>
      <c r="J99" s="302"/>
    </row>
    <row r="100" spans="1:10" ht="51" customHeight="1" x14ac:dyDescent="0.25">
      <c r="A100" s="460" t="s">
        <v>564</v>
      </c>
      <c r="B100" s="453">
        <v>902</v>
      </c>
      <c r="C100" s="406" t="s">
        <v>116</v>
      </c>
      <c r="D100" s="406" t="s">
        <v>139</v>
      </c>
      <c r="E100" s="399" t="s">
        <v>425</v>
      </c>
      <c r="F100" s="406"/>
      <c r="G100" s="438">
        <f t="shared" ref="G100:H102" si="3">G101</f>
        <v>0.5</v>
      </c>
      <c r="H100" s="438">
        <f t="shared" si="3"/>
        <v>0.5</v>
      </c>
      <c r="I100" s="310"/>
      <c r="J100" s="302"/>
    </row>
    <row r="101" spans="1:10" ht="31.5" x14ac:dyDescent="0.25">
      <c r="A101" s="461" t="s">
        <v>151</v>
      </c>
      <c r="B101" s="454">
        <v>902</v>
      </c>
      <c r="C101" s="394" t="s">
        <v>116</v>
      </c>
      <c r="D101" s="394" t="s">
        <v>139</v>
      </c>
      <c r="E101" s="395" t="s">
        <v>419</v>
      </c>
      <c r="F101" s="394" t="s">
        <v>1205</v>
      </c>
      <c r="G101" s="435">
        <f t="shared" si="3"/>
        <v>0.5</v>
      </c>
      <c r="H101" s="435">
        <f t="shared" si="3"/>
        <v>0.5</v>
      </c>
      <c r="I101" s="310"/>
      <c r="J101" s="302"/>
    </row>
    <row r="102" spans="1:10" ht="31.5" x14ac:dyDescent="0.25">
      <c r="A102" s="391" t="s">
        <v>123</v>
      </c>
      <c r="B102" s="454">
        <v>902</v>
      </c>
      <c r="C102" s="394" t="s">
        <v>116</v>
      </c>
      <c r="D102" s="394" t="s">
        <v>139</v>
      </c>
      <c r="E102" s="395" t="s">
        <v>419</v>
      </c>
      <c r="F102" s="394" t="s">
        <v>124</v>
      </c>
      <c r="G102" s="435">
        <f t="shared" si="3"/>
        <v>0.5</v>
      </c>
      <c r="H102" s="435">
        <f t="shared" si="3"/>
        <v>0.5</v>
      </c>
      <c r="I102" s="310"/>
      <c r="J102" s="302"/>
    </row>
    <row r="103" spans="1:10" ht="31.5" x14ac:dyDescent="0.25">
      <c r="A103" s="391" t="s">
        <v>125</v>
      </c>
      <c r="B103" s="454">
        <v>902</v>
      </c>
      <c r="C103" s="394" t="s">
        <v>116</v>
      </c>
      <c r="D103" s="394" t="s">
        <v>139</v>
      </c>
      <c r="E103" s="395" t="s">
        <v>419</v>
      </c>
      <c r="F103" s="394" t="s">
        <v>126</v>
      </c>
      <c r="G103" s="435">
        <v>0.5</v>
      </c>
      <c r="H103" s="435">
        <v>0.5</v>
      </c>
      <c r="I103" s="310"/>
      <c r="J103" s="302"/>
    </row>
    <row r="104" spans="1:10" ht="47.25" x14ac:dyDescent="0.25">
      <c r="A104" s="409" t="s">
        <v>117</v>
      </c>
      <c r="B104" s="453">
        <v>902</v>
      </c>
      <c r="C104" s="406" t="s">
        <v>116</v>
      </c>
      <c r="D104" s="406" t="s">
        <v>118</v>
      </c>
      <c r="E104" s="406"/>
      <c r="F104" s="394"/>
      <c r="G104" s="438">
        <f>G105</f>
        <v>1492</v>
      </c>
      <c r="H104" s="438">
        <f>H105</f>
        <v>1406</v>
      </c>
      <c r="I104" s="310"/>
      <c r="J104" s="302"/>
    </row>
    <row r="105" spans="1:10" ht="39.200000000000003" customHeight="1" x14ac:dyDescent="0.25">
      <c r="A105" s="409" t="s">
        <v>486</v>
      </c>
      <c r="B105" s="453">
        <v>902</v>
      </c>
      <c r="C105" s="406" t="s">
        <v>116</v>
      </c>
      <c r="D105" s="406" t="s">
        <v>118</v>
      </c>
      <c r="E105" s="406" t="s">
        <v>432</v>
      </c>
      <c r="F105" s="406"/>
      <c r="G105" s="438">
        <f>G106</f>
        <v>1492</v>
      </c>
      <c r="H105" s="438">
        <f>H106</f>
        <v>1406</v>
      </c>
      <c r="I105" s="310"/>
      <c r="J105" s="302"/>
    </row>
    <row r="106" spans="1:10" ht="15.75" x14ac:dyDescent="0.25">
      <c r="A106" s="409" t="s">
        <v>487</v>
      </c>
      <c r="B106" s="453">
        <v>902</v>
      </c>
      <c r="C106" s="406" t="s">
        <v>116</v>
      </c>
      <c r="D106" s="406" t="s">
        <v>118</v>
      </c>
      <c r="E106" s="406" t="s">
        <v>433</v>
      </c>
      <c r="F106" s="406"/>
      <c r="G106" s="438">
        <f>G107+G110</f>
        <v>1492</v>
      </c>
      <c r="H106" s="438">
        <f>H107+H110</f>
        <v>1406</v>
      </c>
      <c r="I106" s="310"/>
      <c r="J106" s="302"/>
    </row>
    <row r="107" spans="1:10" ht="31.5" x14ac:dyDescent="0.25">
      <c r="A107" s="391" t="s">
        <v>466</v>
      </c>
      <c r="B107" s="454">
        <v>902</v>
      </c>
      <c r="C107" s="394" t="s">
        <v>116</v>
      </c>
      <c r="D107" s="394" t="s">
        <v>118</v>
      </c>
      <c r="E107" s="394" t="s">
        <v>434</v>
      </c>
      <c r="F107" s="394"/>
      <c r="G107" s="435">
        <f>G108</f>
        <v>1406</v>
      </c>
      <c r="H107" s="435">
        <f>H108</f>
        <v>1406</v>
      </c>
      <c r="I107" s="310"/>
      <c r="J107" s="302"/>
    </row>
    <row r="108" spans="1:10" ht="63" x14ac:dyDescent="0.25">
      <c r="A108" s="391" t="s">
        <v>119</v>
      </c>
      <c r="B108" s="454">
        <v>902</v>
      </c>
      <c r="C108" s="394" t="s">
        <v>116</v>
      </c>
      <c r="D108" s="394" t="s">
        <v>118</v>
      </c>
      <c r="E108" s="394" t="s">
        <v>434</v>
      </c>
      <c r="F108" s="394" t="s">
        <v>120</v>
      </c>
      <c r="G108" s="435">
        <f>G109</f>
        <v>1406</v>
      </c>
      <c r="H108" s="435">
        <f>H109</f>
        <v>1406</v>
      </c>
      <c r="I108" s="310"/>
      <c r="J108" s="302"/>
    </row>
    <row r="109" spans="1:10" ht="31.5" x14ac:dyDescent="0.25">
      <c r="A109" s="391" t="s">
        <v>121</v>
      </c>
      <c r="B109" s="454">
        <v>902</v>
      </c>
      <c r="C109" s="394" t="s">
        <v>116</v>
      </c>
      <c r="D109" s="394" t="s">
        <v>118</v>
      </c>
      <c r="E109" s="394" t="s">
        <v>434</v>
      </c>
      <c r="F109" s="394" t="s">
        <v>122</v>
      </c>
      <c r="G109" s="436">
        <v>1406</v>
      </c>
      <c r="H109" s="436">
        <f>G109</f>
        <v>1406</v>
      </c>
      <c r="I109" s="310"/>
      <c r="J109" s="302"/>
    </row>
    <row r="110" spans="1:10" ht="31.7" customHeight="1" x14ac:dyDescent="0.25">
      <c r="A110" s="391" t="s">
        <v>414</v>
      </c>
      <c r="B110" s="454">
        <v>902</v>
      </c>
      <c r="C110" s="394" t="s">
        <v>116</v>
      </c>
      <c r="D110" s="394" t="s">
        <v>118</v>
      </c>
      <c r="E110" s="394" t="s">
        <v>436</v>
      </c>
      <c r="F110" s="394"/>
      <c r="G110" s="435">
        <f>G111</f>
        <v>86</v>
      </c>
      <c r="H110" s="435">
        <f>H111</f>
        <v>0</v>
      </c>
      <c r="I110" s="310"/>
      <c r="J110" s="302"/>
    </row>
    <row r="111" spans="1:10" ht="31.7" customHeight="1" x14ac:dyDescent="0.25">
      <c r="A111" s="391" t="s">
        <v>119</v>
      </c>
      <c r="B111" s="454">
        <v>902</v>
      </c>
      <c r="C111" s="394" t="s">
        <v>116</v>
      </c>
      <c r="D111" s="394" t="s">
        <v>118</v>
      </c>
      <c r="E111" s="394" t="s">
        <v>436</v>
      </c>
      <c r="F111" s="394" t="s">
        <v>120</v>
      </c>
      <c r="G111" s="435">
        <f>G112</f>
        <v>86</v>
      </c>
      <c r="H111" s="435">
        <f>H112</f>
        <v>0</v>
      </c>
      <c r="I111" s="310"/>
      <c r="J111" s="302"/>
    </row>
    <row r="112" spans="1:10" ht="34.5" customHeight="1" x14ac:dyDescent="0.25">
      <c r="A112" s="391" t="s">
        <v>121</v>
      </c>
      <c r="B112" s="454">
        <v>902</v>
      </c>
      <c r="C112" s="394" t="s">
        <v>116</v>
      </c>
      <c r="D112" s="394" t="s">
        <v>118</v>
      </c>
      <c r="E112" s="394" t="s">
        <v>436</v>
      </c>
      <c r="F112" s="394" t="s">
        <v>122</v>
      </c>
      <c r="G112" s="435">
        <v>86</v>
      </c>
      <c r="H112" s="435">
        <v>0</v>
      </c>
      <c r="I112" s="310"/>
      <c r="J112" s="302"/>
    </row>
    <row r="113" spans="1:11" ht="17.45" hidden="1" customHeight="1" x14ac:dyDescent="0.25">
      <c r="A113" s="409" t="s">
        <v>696</v>
      </c>
      <c r="B113" s="453">
        <v>902</v>
      </c>
      <c r="C113" s="406" t="s">
        <v>116</v>
      </c>
      <c r="D113" s="406" t="s">
        <v>187</v>
      </c>
      <c r="E113" s="406"/>
      <c r="F113" s="394"/>
      <c r="G113" s="438">
        <f t="shared" ref="G113:H115" si="4">G114</f>
        <v>0</v>
      </c>
      <c r="H113" s="438">
        <f t="shared" si="4"/>
        <v>0</v>
      </c>
      <c r="I113" s="310"/>
      <c r="J113" s="302"/>
    </row>
    <row r="114" spans="1:11" ht="21.75" hidden="1" customHeight="1" x14ac:dyDescent="0.25">
      <c r="A114" s="409" t="s">
        <v>133</v>
      </c>
      <c r="B114" s="453">
        <v>902</v>
      </c>
      <c r="C114" s="406" t="s">
        <v>116</v>
      </c>
      <c r="D114" s="406" t="s">
        <v>187</v>
      </c>
      <c r="E114" s="406" t="s">
        <v>440</v>
      </c>
      <c r="F114" s="394"/>
      <c r="G114" s="438">
        <f t="shared" si="4"/>
        <v>0</v>
      </c>
      <c r="H114" s="438">
        <f t="shared" si="4"/>
        <v>0</v>
      </c>
      <c r="I114" s="310"/>
      <c r="J114" s="302"/>
    </row>
    <row r="115" spans="1:11" ht="34.5" hidden="1" customHeight="1" x14ac:dyDescent="0.25">
      <c r="A115" s="409" t="s">
        <v>444</v>
      </c>
      <c r="B115" s="453">
        <v>902</v>
      </c>
      <c r="C115" s="406" t="s">
        <v>116</v>
      </c>
      <c r="D115" s="406" t="s">
        <v>187</v>
      </c>
      <c r="E115" s="406" t="s">
        <v>439</v>
      </c>
      <c r="F115" s="394"/>
      <c r="G115" s="438">
        <f t="shared" si="4"/>
        <v>0</v>
      </c>
      <c r="H115" s="438">
        <f t="shared" si="4"/>
        <v>0</v>
      </c>
      <c r="I115" s="310"/>
      <c r="J115" s="302"/>
    </row>
    <row r="116" spans="1:11" ht="18" hidden="1" customHeight="1" x14ac:dyDescent="0.25">
      <c r="A116" s="398" t="s">
        <v>154</v>
      </c>
      <c r="B116" s="454">
        <v>902</v>
      </c>
      <c r="C116" s="394" t="s">
        <v>116</v>
      </c>
      <c r="D116" s="394" t="s">
        <v>187</v>
      </c>
      <c r="E116" s="394" t="s">
        <v>695</v>
      </c>
      <c r="F116" s="394"/>
      <c r="G116" s="435">
        <f>G117+G119</f>
        <v>0</v>
      </c>
      <c r="H116" s="435">
        <f>H117+H119</f>
        <v>0</v>
      </c>
      <c r="I116" s="310"/>
      <c r="J116" s="302"/>
    </row>
    <row r="117" spans="1:11" ht="69.75" hidden="1" customHeight="1" x14ac:dyDescent="0.25">
      <c r="A117" s="391" t="s">
        <v>119</v>
      </c>
      <c r="B117" s="454">
        <v>902</v>
      </c>
      <c r="C117" s="394" t="s">
        <v>116</v>
      </c>
      <c r="D117" s="394" t="s">
        <v>187</v>
      </c>
      <c r="E117" s="394" t="s">
        <v>695</v>
      </c>
      <c r="F117" s="394" t="s">
        <v>120</v>
      </c>
      <c r="G117" s="435">
        <f>G118</f>
        <v>0</v>
      </c>
      <c r="H117" s="435">
        <f>H118</f>
        <v>0</v>
      </c>
      <c r="I117" s="310"/>
      <c r="J117" s="302"/>
    </row>
    <row r="118" spans="1:11" ht="34.5" hidden="1" customHeight="1" x14ac:dyDescent="0.25">
      <c r="A118" s="391" t="s">
        <v>121</v>
      </c>
      <c r="B118" s="454">
        <v>902</v>
      </c>
      <c r="C118" s="394" t="s">
        <v>116</v>
      </c>
      <c r="D118" s="394" t="s">
        <v>187</v>
      </c>
      <c r="E118" s="394" t="s">
        <v>695</v>
      </c>
      <c r="F118" s="394" t="s">
        <v>122</v>
      </c>
      <c r="G118" s="435">
        <v>0</v>
      </c>
      <c r="H118" s="435">
        <v>0</v>
      </c>
      <c r="I118" s="310"/>
      <c r="J118" s="302"/>
    </row>
    <row r="119" spans="1:11" ht="34.5" hidden="1" customHeight="1" x14ac:dyDescent="0.25">
      <c r="A119" s="391" t="s">
        <v>153</v>
      </c>
      <c r="B119" s="454">
        <v>902</v>
      </c>
      <c r="C119" s="394" t="s">
        <v>116</v>
      </c>
      <c r="D119" s="394" t="s">
        <v>187</v>
      </c>
      <c r="E119" s="394" t="s">
        <v>695</v>
      </c>
      <c r="F119" s="394" t="s">
        <v>124</v>
      </c>
      <c r="G119" s="435">
        <f>G120</f>
        <v>0</v>
      </c>
      <c r="H119" s="435">
        <f>H120</f>
        <v>0</v>
      </c>
      <c r="I119" s="310"/>
      <c r="J119" s="302"/>
    </row>
    <row r="120" spans="1:11" ht="34.5" hidden="1" customHeight="1" x14ac:dyDescent="0.25">
      <c r="A120" s="391" t="s">
        <v>125</v>
      </c>
      <c r="B120" s="454">
        <v>902</v>
      </c>
      <c r="C120" s="394" t="s">
        <v>116</v>
      </c>
      <c r="D120" s="394" t="s">
        <v>187</v>
      </c>
      <c r="E120" s="394" t="s">
        <v>695</v>
      </c>
      <c r="F120" s="394" t="s">
        <v>126</v>
      </c>
      <c r="G120" s="435">
        <v>0</v>
      </c>
      <c r="H120" s="435">
        <v>0</v>
      </c>
      <c r="I120" s="310"/>
      <c r="J120" s="302"/>
    </row>
    <row r="121" spans="1:11" ht="15.75" x14ac:dyDescent="0.25">
      <c r="A121" s="409" t="s">
        <v>131</v>
      </c>
      <c r="B121" s="453">
        <v>902</v>
      </c>
      <c r="C121" s="406" t="s">
        <v>116</v>
      </c>
      <c r="D121" s="406" t="s">
        <v>132</v>
      </c>
      <c r="E121" s="406"/>
      <c r="F121" s="406"/>
      <c r="G121" s="438">
        <f>G140+G149+G122+G159+G136+G154</f>
        <v>6400.6</v>
      </c>
      <c r="H121" s="438">
        <f>H140+H149+H122+H159+H136+H154</f>
        <v>6400.6</v>
      </c>
      <c r="I121" s="310"/>
      <c r="J121" s="302">
        <v>113</v>
      </c>
      <c r="K121" s="71">
        <f>G121+G248+G576+G610+G845+G936</f>
        <v>61313.8</v>
      </c>
    </row>
    <row r="122" spans="1:11" ht="19.5" hidden="1" customHeight="1" x14ac:dyDescent="0.25">
      <c r="A122" s="409" t="s">
        <v>133</v>
      </c>
      <c r="B122" s="453">
        <v>902</v>
      </c>
      <c r="C122" s="406" t="s">
        <v>116</v>
      </c>
      <c r="D122" s="406" t="s">
        <v>132</v>
      </c>
      <c r="E122" s="406" t="s">
        <v>440</v>
      </c>
      <c r="F122" s="406"/>
      <c r="G122" s="438">
        <f>G127+G123</f>
        <v>6181.6</v>
      </c>
      <c r="H122" s="438">
        <f>H127+H123</f>
        <v>6181.6</v>
      </c>
      <c r="I122" s="310"/>
      <c r="J122" s="302"/>
    </row>
    <row r="123" spans="1:11" ht="30.6" hidden="1" customHeight="1" x14ac:dyDescent="0.25">
      <c r="A123" s="409" t="s">
        <v>444</v>
      </c>
      <c r="B123" s="453">
        <v>902</v>
      </c>
      <c r="C123" s="406" t="s">
        <v>116</v>
      </c>
      <c r="D123" s="406" t="s">
        <v>132</v>
      </c>
      <c r="E123" s="406" t="s">
        <v>439</v>
      </c>
      <c r="F123" s="406"/>
      <c r="G123" s="438">
        <f t="shared" ref="G123:H125" si="5">G124</f>
        <v>0</v>
      </c>
      <c r="H123" s="438">
        <f t="shared" si="5"/>
        <v>0</v>
      </c>
      <c r="I123" s="310"/>
      <c r="J123" s="302"/>
    </row>
    <row r="124" spans="1:11" ht="19.5" hidden="1" customHeight="1" x14ac:dyDescent="0.25">
      <c r="A124" s="391" t="s">
        <v>154</v>
      </c>
      <c r="B124" s="454">
        <v>902</v>
      </c>
      <c r="C124" s="394" t="s">
        <v>116</v>
      </c>
      <c r="D124" s="394" t="s">
        <v>132</v>
      </c>
      <c r="E124" s="394" t="s">
        <v>695</v>
      </c>
      <c r="F124" s="394"/>
      <c r="G124" s="435">
        <f t="shared" si="5"/>
        <v>0</v>
      </c>
      <c r="H124" s="435">
        <f t="shared" si="5"/>
        <v>0</v>
      </c>
      <c r="I124" s="310"/>
      <c r="J124" s="302"/>
    </row>
    <row r="125" spans="1:11" ht="19.5" hidden="1" customHeight="1" x14ac:dyDescent="0.25">
      <c r="A125" s="391" t="s">
        <v>127</v>
      </c>
      <c r="B125" s="454">
        <v>902</v>
      </c>
      <c r="C125" s="394" t="s">
        <v>116</v>
      </c>
      <c r="D125" s="394" t="s">
        <v>132</v>
      </c>
      <c r="E125" s="394" t="s">
        <v>695</v>
      </c>
      <c r="F125" s="394" t="s">
        <v>134</v>
      </c>
      <c r="G125" s="435">
        <f t="shared" si="5"/>
        <v>0</v>
      </c>
      <c r="H125" s="435">
        <f t="shared" si="5"/>
        <v>0</v>
      </c>
      <c r="I125" s="310"/>
      <c r="J125" s="302"/>
    </row>
    <row r="126" spans="1:11" ht="19.5" hidden="1" customHeight="1" x14ac:dyDescent="0.25">
      <c r="A126" s="391" t="s">
        <v>280</v>
      </c>
      <c r="B126" s="454">
        <v>902</v>
      </c>
      <c r="C126" s="394" t="s">
        <v>116</v>
      </c>
      <c r="D126" s="394" t="s">
        <v>132</v>
      </c>
      <c r="E126" s="394" t="s">
        <v>695</v>
      </c>
      <c r="F126" s="394" t="s">
        <v>130</v>
      </c>
      <c r="G126" s="435"/>
      <c r="H126" s="435"/>
      <c r="I126" s="310"/>
      <c r="J126" s="302"/>
    </row>
    <row r="127" spans="1:11" ht="34.5" customHeight="1" x14ac:dyDescent="0.25">
      <c r="A127" s="409" t="s">
        <v>491</v>
      </c>
      <c r="B127" s="453">
        <v>902</v>
      </c>
      <c r="C127" s="406" t="s">
        <v>116</v>
      </c>
      <c r="D127" s="406" t="s">
        <v>132</v>
      </c>
      <c r="E127" s="406" t="s">
        <v>441</v>
      </c>
      <c r="F127" s="406"/>
      <c r="G127" s="438">
        <f>G128+G133</f>
        <v>6181.6</v>
      </c>
      <c r="H127" s="438">
        <f>H128+H133</f>
        <v>6181.6</v>
      </c>
      <c r="I127" s="310"/>
      <c r="J127" s="302"/>
    </row>
    <row r="128" spans="1:11" ht="21.75" customHeight="1" x14ac:dyDescent="0.25">
      <c r="A128" s="391" t="s">
        <v>497</v>
      </c>
      <c r="B128" s="454">
        <v>902</v>
      </c>
      <c r="C128" s="394" t="s">
        <v>116</v>
      </c>
      <c r="D128" s="394" t="s">
        <v>132</v>
      </c>
      <c r="E128" s="394" t="s">
        <v>442</v>
      </c>
      <c r="F128" s="394"/>
      <c r="G128" s="435">
        <f>G129+G131</f>
        <v>6052.6</v>
      </c>
      <c r="H128" s="435">
        <f>H129+H131</f>
        <v>6052.6</v>
      </c>
      <c r="I128" s="310"/>
      <c r="J128" s="302"/>
    </row>
    <row r="129" spans="1:15" ht="66.75" customHeight="1" x14ac:dyDescent="0.25">
      <c r="A129" s="391" t="s">
        <v>119</v>
      </c>
      <c r="B129" s="454">
        <v>902</v>
      </c>
      <c r="C129" s="394" t="s">
        <v>116</v>
      </c>
      <c r="D129" s="394" t="s">
        <v>132</v>
      </c>
      <c r="E129" s="394" t="s">
        <v>442</v>
      </c>
      <c r="F129" s="394" t="s">
        <v>120</v>
      </c>
      <c r="G129" s="435">
        <f>G130</f>
        <v>4703.3</v>
      </c>
      <c r="H129" s="435">
        <f>H130</f>
        <v>4703.3</v>
      </c>
      <c r="I129" s="310"/>
      <c r="J129" s="302"/>
    </row>
    <row r="130" spans="1:15" ht="40.5" customHeight="1" x14ac:dyDescent="0.25">
      <c r="A130" s="391" t="s">
        <v>121</v>
      </c>
      <c r="B130" s="454">
        <v>902</v>
      </c>
      <c r="C130" s="394" t="s">
        <v>116</v>
      </c>
      <c r="D130" s="394" t="s">
        <v>132</v>
      </c>
      <c r="E130" s="394" t="s">
        <v>442</v>
      </c>
      <c r="F130" s="394" t="s">
        <v>122</v>
      </c>
      <c r="G130" s="436">
        <f>4703.3</f>
        <v>4703.3</v>
      </c>
      <c r="H130" s="436">
        <f>G130</f>
        <v>4703.3</v>
      </c>
      <c r="I130" s="310"/>
      <c r="J130" s="302"/>
    </row>
    <row r="131" spans="1:15" ht="39.200000000000003" customHeight="1" x14ac:dyDescent="0.25">
      <c r="A131" s="391" t="s">
        <v>153</v>
      </c>
      <c r="B131" s="454">
        <v>902</v>
      </c>
      <c r="C131" s="394" t="s">
        <v>116</v>
      </c>
      <c r="D131" s="394" t="s">
        <v>132</v>
      </c>
      <c r="E131" s="394" t="s">
        <v>442</v>
      </c>
      <c r="F131" s="394" t="s">
        <v>124</v>
      </c>
      <c r="G131" s="435">
        <f>G132</f>
        <v>1349.3</v>
      </c>
      <c r="H131" s="435">
        <f>H132</f>
        <v>1349.3</v>
      </c>
      <c r="I131" s="310"/>
      <c r="J131" s="302"/>
    </row>
    <row r="132" spans="1:15" ht="39.200000000000003" customHeight="1" x14ac:dyDescent="0.25">
      <c r="A132" s="391" t="s">
        <v>125</v>
      </c>
      <c r="B132" s="454">
        <v>902</v>
      </c>
      <c r="C132" s="394" t="s">
        <v>116</v>
      </c>
      <c r="D132" s="394" t="s">
        <v>132</v>
      </c>
      <c r="E132" s="394" t="s">
        <v>442</v>
      </c>
      <c r="F132" s="394" t="s">
        <v>126</v>
      </c>
      <c r="G132" s="436">
        <f>1349.3</f>
        <v>1349.3</v>
      </c>
      <c r="H132" s="436">
        <f>1349.3</f>
        <v>1349.3</v>
      </c>
      <c r="I132" s="310"/>
      <c r="J132" s="302"/>
    </row>
    <row r="133" spans="1:15" ht="28.5" customHeight="1" x14ac:dyDescent="0.25">
      <c r="A133" s="391" t="s">
        <v>414</v>
      </c>
      <c r="B133" s="454">
        <v>902</v>
      </c>
      <c r="C133" s="394" t="s">
        <v>116</v>
      </c>
      <c r="D133" s="394" t="s">
        <v>132</v>
      </c>
      <c r="E133" s="394" t="s">
        <v>443</v>
      </c>
      <c r="F133" s="394"/>
      <c r="G133" s="435">
        <f>G134</f>
        <v>129</v>
      </c>
      <c r="H133" s="435">
        <f>H134</f>
        <v>129</v>
      </c>
      <c r="I133" s="310"/>
      <c r="J133" s="302"/>
    </row>
    <row r="134" spans="1:15" ht="63" customHeight="1" x14ac:dyDescent="0.25">
      <c r="A134" s="391" t="s">
        <v>119</v>
      </c>
      <c r="B134" s="454">
        <v>902</v>
      </c>
      <c r="C134" s="394" t="s">
        <v>116</v>
      </c>
      <c r="D134" s="394" t="s">
        <v>132</v>
      </c>
      <c r="E134" s="394" t="s">
        <v>443</v>
      </c>
      <c r="F134" s="394" t="s">
        <v>120</v>
      </c>
      <c r="G134" s="435">
        <f>G135</f>
        <v>129</v>
      </c>
      <c r="H134" s="435">
        <f>H135</f>
        <v>129</v>
      </c>
      <c r="I134" s="310"/>
      <c r="J134" s="302"/>
    </row>
    <row r="135" spans="1:15" ht="33" customHeight="1" x14ac:dyDescent="0.25">
      <c r="A135" s="391" t="s">
        <v>121</v>
      </c>
      <c r="B135" s="454">
        <v>902</v>
      </c>
      <c r="C135" s="394" t="s">
        <v>116</v>
      </c>
      <c r="D135" s="394" t="s">
        <v>132</v>
      </c>
      <c r="E135" s="394" t="s">
        <v>443</v>
      </c>
      <c r="F135" s="394" t="s">
        <v>122</v>
      </c>
      <c r="G135" s="435">
        <f>129</f>
        <v>129</v>
      </c>
      <c r="H135" s="435">
        <f>129</f>
        <v>129</v>
      </c>
      <c r="I135" s="310"/>
      <c r="J135" s="302"/>
      <c r="K135" s="320"/>
      <c r="M135" s="320"/>
      <c r="O135" s="320"/>
    </row>
    <row r="136" spans="1:15" ht="45" customHeight="1" x14ac:dyDescent="0.25">
      <c r="A136" s="409" t="s">
        <v>860</v>
      </c>
      <c r="B136" s="453">
        <v>902</v>
      </c>
      <c r="C136" s="406" t="s">
        <v>116</v>
      </c>
      <c r="D136" s="406" t="s">
        <v>132</v>
      </c>
      <c r="E136" s="406" t="s">
        <v>206</v>
      </c>
      <c r="F136" s="406"/>
      <c r="G136" s="438">
        <f t="shared" ref="G136:H138" si="6">G137</f>
        <v>12</v>
      </c>
      <c r="H136" s="438">
        <f t="shared" si="6"/>
        <v>12</v>
      </c>
      <c r="I136" s="310"/>
      <c r="J136" s="302"/>
      <c r="K136" s="320"/>
      <c r="M136" s="320"/>
      <c r="O136" s="320"/>
    </row>
    <row r="137" spans="1:15" ht="51" customHeight="1" x14ac:dyDescent="0.25">
      <c r="A137" s="391" t="s">
        <v>632</v>
      </c>
      <c r="B137" s="454">
        <v>902</v>
      </c>
      <c r="C137" s="394" t="s">
        <v>116</v>
      </c>
      <c r="D137" s="394" t="s">
        <v>132</v>
      </c>
      <c r="E137" s="394" t="s">
        <v>587</v>
      </c>
      <c r="F137" s="394"/>
      <c r="G137" s="435">
        <f t="shared" si="6"/>
        <v>12</v>
      </c>
      <c r="H137" s="435">
        <f t="shared" si="6"/>
        <v>12</v>
      </c>
      <c r="I137" s="310"/>
      <c r="J137" s="302"/>
      <c r="K137" s="320"/>
      <c r="M137" s="320"/>
      <c r="O137" s="320"/>
    </row>
    <row r="138" spans="1:15" ht="32.450000000000003" customHeight="1" x14ac:dyDescent="0.25">
      <c r="A138" s="391" t="s">
        <v>153</v>
      </c>
      <c r="B138" s="454">
        <v>902</v>
      </c>
      <c r="C138" s="394" t="s">
        <v>116</v>
      </c>
      <c r="D138" s="394" t="s">
        <v>132</v>
      </c>
      <c r="E138" s="394" t="s">
        <v>587</v>
      </c>
      <c r="F138" s="394" t="s">
        <v>124</v>
      </c>
      <c r="G138" s="435">
        <f t="shared" si="6"/>
        <v>12</v>
      </c>
      <c r="H138" s="435">
        <f t="shared" si="6"/>
        <v>12</v>
      </c>
      <c r="I138" s="310"/>
      <c r="J138" s="302"/>
      <c r="K138" s="320"/>
      <c r="M138" s="320"/>
      <c r="O138" s="320"/>
    </row>
    <row r="139" spans="1:15" ht="33.6" customHeight="1" x14ac:dyDescent="0.25">
      <c r="A139" s="391" t="s">
        <v>125</v>
      </c>
      <c r="B139" s="454">
        <v>902</v>
      </c>
      <c r="C139" s="394" t="s">
        <v>116</v>
      </c>
      <c r="D139" s="394" t="s">
        <v>132</v>
      </c>
      <c r="E139" s="394" t="s">
        <v>587</v>
      </c>
      <c r="F139" s="394" t="s">
        <v>126</v>
      </c>
      <c r="G139" s="435">
        <v>12</v>
      </c>
      <c r="H139" s="435">
        <v>12</v>
      </c>
      <c r="I139" s="310"/>
      <c r="J139" s="302"/>
      <c r="K139" s="320"/>
      <c r="M139" s="320"/>
      <c r="O139" s="320"/>
    </row>
    <row r="140" spans="1:15" ht="47.25" x14ac:dyDescent="0.25">
      <c r="A140" s="462" t="s">
        <v>845</v>
      </c>
      <c r="B140" s="453">
        <v>902</v>
      </c>
      <c r="C140" s="406" t="s">
        <v>116</v>
      </c>
      <c r="D140" s="406" t="s">
        <v>132</v>
      </c>
      <c r="E140" s="406" t="s">
        <v>339</v>
      </c>
      <c r="F140" s="463"/>
      <c r="G140" s="438">
        <f>G141+G145</f>
        <v>52</v>
      </c>
      <c r="H140" s="438">
        <f>H141+H145</f>
        <v>52</v>
      </c>
      <c r="I140" s="310"/>
      <c r="J140" s="302"/>
    </row>
    <row r="141" spans="1:15" ht="47.25" customHeight="1" x14ac:dyDescent="0.25">
      <c r="A141" s="464" t="s">
        <v>420</v>
      </c>
      <c r="B141" s="453">
        <v>902</v>
      </c>
      <c r="C141" s="406" t="s">
        <v>116</v>
      </c>
      <c r="D141" s="406" t="s">
        <v>132</v>
      </c>
      <c r="E141" s="406" t="s">
        <v>426</v>
      </c>
      <c r="F141" s="463"/>
      <c r="G141" s="438">
        <f t="shared" ref="G141:H143" si="7">G142</f>
        <v>37</v>
      </c>
      <c r="H141" s="438">
        <f t="shared" si="7"/>
        <v>37</v>
      </c>
      <c r="I141" s="310"/>
      <c r="J141" s="302"/>
    </row>
    <row r="142" spans="1:15" ht="36.75" customHeight="1" x14ac:dyDescent="0.25">
      <c r="A142" s="465" t="s">
        <v>353</v>
      </c>
      <c r="B142" s="454">
        <v>902</v>
      </c>
      <c r="C142" s="394" t="s">
        <v>116</v>
      </c>
      <c r="D142" s="394" t="s">
        <v>132</v>
      </c>
      <c r="E142" s="394" t="s">
        <v>421</v>
      </c>
      <c r="F142" s="466"/>
      <c r="G142" s="435">
        <f t="shared" si="7"/>
        <v>37</v>
      </c>
      <c r="H142" s="435">
        <f t="shared" si="7"/>
        <v>37</v>
      </c>
      <c r="I142" s="310"/>
      <c r="J142" s="302"/>
    </row>
    <row r="143" spans="1:15" ht="31.5" x14ac:dyDescent="0.25">
      <c r="A143" s="391" t="s">
        <v>123</v>
      </c>
      <c r="B143" s="454">
        <v>902</v>
      </c>
      <c r="C143" s="394" t="s">
        <v>116</v>
      </c>
      <c r="D143" s="394" t="s">
        <v>132</v>
      </c>
      <c r="E143" s="394" t="s">
        <v>421</v>
      </c>
      <c r="F143" s="466" t="s">
        <v>124</v>
      </c>
      <c r="G143" s="435">
        <f t="shared" si="7"/>
        <v>37</v>
      </c>
      <c r="H143" s="435">
        <f t="shared" si="7"/>
        <v>37</v>
      </c>
      <c r="I143" s="310"/>
      <c r="J143" s="302"/>
    </row>
    <row r="144" spans="1:15" ht="31.5" x14ac:dyDescent="0.25">
      <c r="A144" s="391" t="s">
        <v>125</v>
      </c>
      <c r="B144" s="454">
        <v>902</v>
      </c>
      <c r="C144" s="394" t="s">
        <v>116</v>
      </c>
      <c r="D144" s="394" t="s">
        <v>132</v>
      </c>
      <c r="E144" s="394" t="s">
        <v>421</v>
      </c>
      <c r="F144" s="466" t="s">
        <v>126</v>
      </c>
      <c r="G144" s="435">
        <v>37</v>
      </c>
      <c r="H144" s="435">
        <v>37</v>
      </c>
      <c r="I144" s="310"/>
      <c r="J144" s="302"/>
    </row>
    <row r="145" spans="1:10" ht="34.5" customHeight="1" x14ac:dyDescent="0.25">
      <c r="A145" s="467" t="s">
        <v>584</v>
      </c>
      <c r="B145" s="453">
        <v>902</v>
      </c>
      <c r="C145" s="406" t="s">
        <v>116</v>
      </c>
      <c r="D145" s="406" t="s">
        <v>132</v>
      </c>
      <c r="E145" s="406" t="s">
        <v>427</v>
      </c>
      <c r="F145" s="463"/>
      <c r="G145" s="438">
        <f t="shared" ref="G145:H147" si="8">G146</f>
        <v>15</v>
      </c>
      <c r="H145" s="438">
        <f t="shared" si="8"/>
        <v>15</v>
      </c>
      <c r="I145" s="310"/>
      <c r="J145" s="302"/>
    </row>
    <row r="146" spans="1:10" ht="39.200000000000003" customHeight="1" x14ac:dyDescent="0.25">
      <c r="A146" s="465" t="s">
        <v>354</v>
      </c>
      <c r="B146" s="454">
        <v>902</v>
      </c>
      <c r="C146" s="394" t="s">
        <v>116</v>
      </c>
      <c r="D146" s="394" t="s">
        <v>132</v>
      </c>
      <c r="E146" s="394" t="s">
        <v>422</v>
      </c>
      <c r="F146" s="466"/>
      <c r="G146" s="435">
        <f t="shared" si="8"/>
        <v>15</v>
      </c>
      <c r="H146" s="435">
        <f t="shared" si="8"/>
        <v>15</v>
      </c>
      <c r="I146" s="310"/>
      <c r="J146" s="302"/>
    </row>
    <row r="147" spans="1:10" ht="31.7" customHeight="1" x14ac:dyDescent="0.25">
      <c r="A147" s="391" t="s">
        <v>123</v>
      </c>
      <c r="B147" s="454">
        <v>902</v>
      </c>
      <c r="C147" s="394" t="s">
        <v>116</v>
      </c>
      <c r="D147" s="394" t="s">
        <v>132</v>
      </c>
      <c r="E147" s="394" t="s">
        <v>422</v>
      </c>
      <c r="F147" s="466" t="s">
        <v>124</v>
      </c>
      <c r="G147" s="435">
        <f t="shared" si="8"/>
        <v>15</v>
      </c>
      <c r="H147" s="435">
        <f t="shared" si="8"/>
        <v>15</v>
      </c>
      <c r="I147" s="310"/>
      <c r="J147" s="302"/>
    </row>
    <row r="148" spans="1:10" ht="32.25" customHeight="1" x14ac:dyDescent="0.25">
      <c r="A148" s="391" t="s">
        <v>125</v>
      </c>
      <c r="B148" s="454">
        <v>902</v>
      </c>
      <c r="C148" s="394" t="s">
        <v>116</v>
      </c>
      <c r="D148" s="394" t="s">
        <v>132</v>
      </c>
      <c r="E148" s="394" t="s">
        <v>422</v>
      </c>
      <c r="F148" s="466" t="s">
        <v>126</v>
      </c>
      <c r="G148" s="435">
        <v>15</v>
      </c>
      <c r="H148" s="435">
        <v>15</v>
      </c>
      <c r="I148" s="310"/>
      <c r="J148" s="302"/>
    </row>
    <row r="149" spans="1:10" ht="68.25" customHeight="1" x14ac:dyDescent="0.25">
      <c r="A149" s="462" t="s">
        <v>846</v>
      </c>
      <c r="B149" s="453">
        <v>902</v>
      </c>
      <c r="C149" s="468" t="s">
        <v>116</v>
      </c>
      <c r="D149" s="468" t="s">
        <v>132</v>
      </c>
      <c r="E149" s="469" t="s">
        <v>393</v>
      </c>
      <c r="F149" s="468"/>
      <c r="G149" s="438">
        <f>G151</f>
        <v>45</v>
      </c>
      <c r="H149" s="438">
        <f>H151</f>
        <v>45</v>
      </c>
      <c r="I149" s="310"/>
      <c r="J149" s="302"/>
    </row>
    <row r="150" spans="1:10" ht="35.450000000000003" customHeight="1" x14ac:dyDescent="0.25">
      <c r="A150" s="470" t="s">
        <v>428</v>
      </c>
      <c r="B150" s="453">
        <v>902</v>
      </c>
      <c r="C150" s="468" t="s">
        <v>116</v>
      </c>
      <c r="D150" s="468" t="s">
        <v>132</v>
      </c>
      <c r="E150" s="469" t="s">
        <v>628</v>
      </c>
      <c r="F150" s="468"/>
      <c r="G150" s="438">
        <f t="shared" ref="G150:H152" si="9">G151</f>
        <v>45</v>
      </c>
      <c r="H150" s="438">
        <f t="shared" si="9"/>
        <v>45</v>
      </c>
      <c r="I150" s="310"/>
      <c r="J150" s="302"/>
    </row>
    <row r="151" spans="1:10" ht="31.7" customHeight="1" x14ac:dyDescent="0.25">
      <c r="A151" s="471" t="s">
        <v>145</v>
      </c>
      <c r="B151" s="454">
        <v>902</v>
      </c>
      <c r="C151" s="472" t="s">
        <v>116</v>
      </c>
      <c r="D151" s="472" t="s">
        <v>132</v>
      </c>
      <c r="E151" s="396" t="s">
        <v>429</v>
      </c>
      <c r="F151" s="472"/>
      <c r="G151" s="435">
        <f t="shared" si="9"/>
        <v>45</v>
      </c>
      <c r="H151" s="435">
        <f t="shared" si="9"/>
        <v>45</v>
      </c>
      <c r="I151" s="310"/>
      <c r="J151" s="302"/>
    </row>
    <row r="152" spans="1:10" ht="35.450000000000003" customHeight="1" x14ac:dyDescent="0.25">
      <c r="A152" s="391" t="s">
        <v>123</v>
      </c>
      <c r="B152" s="454">
        <v>902</v>
      </c>
      <c r="C152" s="472" t="s">
        <v>116</v>
      </c>
      <c r="D152" s="472" t="s">
        <v>132</v>
      </c>
      <c r="E152" s="396" t="s">
        <v>429</v>
      </c>
      <c r="F152" s="472" t="s">
        <v>124</v>
      </c>
      <c r="G152" s="435">
        <f t="shared" si="9"/>
        <v>45</v>
      </c>
      <c r="H152" s="435">
        <f t="shared" si="9"/>
        <v>45</v>
      </c>
      <c r="I152" s="310"/>
      <c r="J152" s="302"/>
    </row>
    <row r="153" spans="1:10" ht="33" customHeight="1" x14ac:dyDescent="0.25">
      <c r="A153" s="391" t="s">
        <v>125</v>
      </c>
      <c r="B153" s="454">
        <v>902</v>
      </c>
      <c r="C153" s="472" t="s">
        <v>116</v>
      </c>
      <c r="D153" s="472" t="s">
        <v>132</v>
      </c>
      <c r="E153" s="396" t="s">
        <v>429</v>
      </c>
      <c r="F153" s="472" t="s">
        <v>126</v>
      </c>
      <c r="G153" s="435">
        <v>45</v>
      </c>
      <c r="H153" s="435">
        <v>45</v>
      </c>
      <c r="I153" s="310"/>
      <c r="J153" s="302"/>
    </row>
    <row r="154" spans="1:10" ht="63" x14ac:dyDescent="0.25">
      <c r="A154" s="340" t="s">
        <v>1257</v>
      </c>
      <c r="B154" s="453">
        <v>902</v>
      </c>
      <c r="C154" s="406" t="s">
        <v>116</v>
      </c>
      <c r="D154" s="406" t="s">
        <v>132</v>
      </c>
      <c r="E154" s="406" t="s">
        <v>1249</v>
      </c>
      <c r="F154" s="406"/>
      <c r="G154" s="438">
        <f t="shared" ref="G154:H157" si="10">G155</f>
        <v>30</v>
      </c>
      <c r="H154" s="438">
        <f t="shared" si="10"/>
        <v>30</v>
      </c>
      <c r="I154" s="310"/>
      <c r="J154" s="302"/>
    </row>
    <row r="155" spans="1:10" ht="33" customHeight="1" x14ac:dyDescent="0.25">
      <c r="A155" s="340" t="s">
        <v>1258</v>
      </c>
      <c r="B155" s="453">
        <v>902</v>
      </c>
      <c r="C155" s="406" t="s">
        <v>116</v>
      </c>
      <c r="D155" s="406" t="s">
        <v>132</v>
      </c>
      <c r="E155" s="406" t="s">
        <v>1250</v>
      </c>
      <c r="F155" s="406"/>
      <c r="G155" s="438">
        <f t="shared" si="10"/>
        <v>30</v>
      </c>
      <c r="H155" s="438">
        <f t="shared" si="10"/>
        <v>30</v>
      </c>
      <c r="I155" s="310"/>
      <c r="J155" s="302"/>
    </row>
    <row r="156" spans="1:10" ht="15.75" x14ac:dyDescent="0.25">
      <c r="A156" s="345" t="s">
        <v>1259</v>
      </c>
      <c r="B156" s="454">
        <v>902</v>
      </c>
      <c r="C156" s="394" t="s">
        <v>116</v>
      </c>
      <c r="D156" s="394" t="s">
        <v>132</v>
      </c>
      <c r="E156" s="394" t="s">
        <v>1251</v>
      </c>
      <c r="F156" s="394"/>
      <c r="G156" s="435">
        <f t="shared" si="10"/>
        <v>30</v>
      </c>
      <c r="H156" s="435">
        <f t="shared" si="10"/>
        <v>30</v>
      </c>
      <c r="I156" s="310"/>
      <c r="J156" s="302"/>
    </row>
    <row r="157" spans="1:10" ht="15.75" x14ac:dyDescent="0.25">
      <c r="A157" s="583" t="s">
        <v>177</v>
      </c>
      <c r="B157" s="454">
        <v>902</v>
      </c>
      <c r="C157" s="394" t="s">
        <v>116</v>
      </c>
      <c r="D157" s="394" t="s">
        <v>132</v>
      </c>
      <c r="E157" s="394" t="s">
        <v>1251</v>
      </c>
      <c r="F157" s="394" t="s">
        <v>178</v>
      </c>
      <c r="G157" s="435">
        <f t="shared" si="10"/>
        <v>30</v>
      </c>
      <c r="H157" s="435">
        <f t="shared" si="10"/>
        <v>30</v>
      </c>
      <c r="I157" s="310"/>
      <c r="J157" s="302"/>
    </row>
    <row r="158" spans="1:10" ht="15.75" x14ac:dyDescent="0.25">
      <c r="A158" s="345" t="s">
        <v>1260</v>
      </c>
      <c r="B158" s="454">
        <v>902</v>
      </c>
      <c r="C158" s="394" t="s">
        <v>116</v>
      </c>
      <c r="D158" s="394" t="s">
        <v>132</v>
      </c>
      <c r="E158" s="394" t="s">
        <v>1251</v>
      </c>
      <c r="F158" s="394" t="s">
        <v>1252</v>
      </c>
      <c r="G158" s="586">
        <v>30</v>
      </c>
      <c r="H158" s="586">
        <v>30</v>
      </c>
      <c r="I158" s="310" t="s">
        <v>1253</v>
      </c>
      <c r="J158" s="302"/>
    </row>
    <row r="159" spans="1:10" ht="63" x14ac:dyDescent="0.25">
      <c r="A159" s="462" t="s">
        <v>847</v>
      </c>
      <c r="B159" s="453">
        <v>902</v>
      </c>
      <c r="C159" s="468" t="s">
        <v>116</v>
      </c>
      <c r="D159" s="468" t="s">
        <v>132</v>
      </c>
      <c r="E159" s="469" t="s">
        <v>394</v>
      </c>
      <c r="F159" s="468"/>
      <c r="G159" s="438">
        <f>G161</f>
        <v>80</v>
      </c>
      <c r="H159" s="438">
        <f>H161</f>
        <v>80</v>
      </c>
      <c r="I159" s="310"/>
      <c r="J159" s="302"/>
    </row>
    <row r="160" spans="1:10" ht="31.5" x14ac:dyDescent="0.25">
      <c r="A160" s="473" t="s">
        <v>430</v>
      </c>
      <c r="B160" s="453">
        <v>902</v>
      </c>
      <c r="C160" s="468" t="s">
        <v>116</v>
      </c>
      <c r="D160" s="468" t="s">
        <v>132</v>
      </c>
      <c r="E160" s="469" t="s">
        <v>438</v>
      </c>
      <c r="F160" s="468"/>
      <c r="G160" s="438">
        <f t="shared" ref="G160:H162" si="11">G161</f>
        <v>80</v>
      </c>
      <c r="H160" s="438">
        <f t="shared" si="11"/>
        <v>80</v>
      </c>
      <c r="I160" s="310"/>
      <c r="J160" s="302"/>
    </row>
    <row r="161" spans="1:10" ht="15.75" x14ac:dyDescent="0.25">
      <c r="A161" s="398" t="s">
        <v>398</v>
      </c>
      <c r="B161" s="454">
        <v>902</v>
      </c>
      <c r="C161" s="472" t="s">
        <v>116</v>
      </c>
      <c r="D161" s="472" t="s">
        <v>132</v>
      </c>
      <c r="E161" s="396" t="s">
        <v>431</v>
      </c>
      <c r="F161" s="472"/>
      <c r="G161" s="435">
        <f t="shared" si="11"/>
        <v>80</v>
      </c>
      <c r="H161" s="435">
        <f t="shared" si="11"/>
        <v>80</v>
      </c>
      <c r="I161" s="310"/>
      <c r="J161" s="302"/>
    </row>
    <row r="162" spans="1:10" ht="31.5" x14ac:dyDescent="0.25">
      <c r="A162" s="391" t="s">
        <v>123</v>
      </c>
      <c r="B162" s="454">
        <v>902</v>
      </c>
      <c r="C162" s="472" t="s">
        <v>116</v>
      </c>
      <c r="D162" s="472" t="s">
        <v>132</v>
      </c>
      <c r="E162" s="396" t="s">
        <v>431</v>
      </c>
      <c r="F162" s="472" t="s">
        <v>124</v>
      </c>
      <c r="G162" s="435">
        <f t="shared" si="11"/>
        <v>80</v>
      </c>
      <c r="H162" s="435">
        <f t="shared" si="11"/>
        <v>80</v>
      </c>
      <c r="I162" s="310"/>
      <c r="J162" s="302"/>
    </row>
    <row r="163" spans="1:10" ht="31.5" x14ac:dyDescent="0.25">
      <c r="A163" s="391" t="s">
        <v>125</v>
      </c>
      <c r="B163" s="454">
        <v>902</v>
      </c>
      <c r="C163" s="472" t="s">
        <v>116</v>
      </c>
      <c r="D163" s="472" t="s">
        <v>132</v>
      </c>
      <c r="E163" s="396" t="s">
        <v>431</v>
      </c>
      <c r="F163" s="472" t="s">
        <v>126</v>
      </c>
      <c r="G163" s="435">
        <v>80</v>
      </c>
      <c r="H163" s="435">
        <v>80</v>
      </c>
      <c r="I163" s="310"/>
      <c r="J163" s="302"/>
    </row>
    <row r="164" spans="1:10" ht="15.75" hidden="1" customHeight="1" x14ac:dyDescent="0.25">
      <c r="A164" s="409" t="s">
        <v>157</v>
      </c>
      <c r="B164" s="453">
        <v>902</v>
      </c>
      <c r="C164" s="406" t="s">
        <v>158</v>
      </c>
      <c r="D164" s="406"/>
      <c r="E164" s="406"/>
      <c r="F164" s="406"/>
      <c r="G164" s="438">
        <f t="shared" ref="G164:H169" si="12">G165</f>
        <v>0</v>
      </c>
      <c r="H164" s="438">
        <f t="shared" si="12"/>
        <v>0</v>
      </c>
      <c r="I164" s="310"/>
      <c r="J164" s="302"/>
    </row>
    <row r="165" spans="1:10" ht="20.25" hidden="1" customHeight="1" x14ac:dyDescent="0.25">
      <c r="A165" s="409" t="s">
        <v>160</v>
      </c>
      <c r="B165" s="453">
        <v>902</v>
      </c>
      <c r="C165" s="406" t="s">
        <v>158</v>
      </c>
      <c r="D165" s="406" t="s">
        <v>161</v>
      </c>
      <c r="E165" s="406"/>
      <c r="F165" s="406"/>
      <c r="G165" s="438">
        <f t="shared" si="12"/>
        <v>0</v>
      </c>
      <c r="H165" s="438">
        <f t="shared" si="12"/>
        <v>0</v>
      </c>
      <c r="I165" s="310"/>
      <c r="J165" s="302"/>
    </row>
    <row r="166" spans="1:10" ht="15.75" hidden="1" customHeight="1" x14ac:dyDescent="0.25">
      <c r="A166" s="409" t="s">
        <v>133</v>
      </c>
      <c r="B166" s="453">
        <v>902</v>
      </c>
      <c r="C166" s="406" t="s">
        <v>158</v>
      </c>
      <c r="D166" s="406" t="s">
        <v>161</v>
      </c>
      <c r="E166" s="406" t="s">
        <v>440</v>
      </c>
      <c r="F166" s="406"/>
      <c r="G166" s="438">
        <f t="shared" si="12"/>
        <v>0</v>
      </c>
      <c r="H166" s="438">
        <f t="shared" si="12"/>
        <v>0</v>
      </c>
      <c r="I166" s="310"/>
      <c r="J166" s="302"/>
    </row>
    <row r="167" spans="1:10" ht="33.75" hidden="1" customHeight="1" x14ac:dyDescent="0.25">
      <c r="A167" s="409" t="s">
        <v>444</v>
      </c>
      <c r="B167" s="453">
        <v>902</v>
      </c>
      <c r="C167" s="406" t="s">
        <v>158</v>
      </c>
      <c r="D167" s="406" t="s">
        <v>161</v>
      </c>
      <c r="E167" s="406" t="s">
        <v>439</v>
      </c>
      <c r="F167" s="406"/>
      <c r="G167" s="438">
        <f t="shared" si="12"/>
        <v>0</v>
      </c>
      <c r="H167" s="438">
        <f t="shared" si="12"/>
        <v>0</v>
      </c>
      <c r="I167" s="310"/>
      <c r="J167" s="302"/>
    </row>
    <row r="168" spans="1:10" ht="15.75" hidden="1" customHeight="1" x14ac:dyDescent="0.25">
      <c r="A168" s="391" t="s">
        <v>162</v>
      </c>
      <c r="B168" s="454">
        <v>902</v>
      </c>
      <c r="C168" s="394" t="s">
        <v>158</v>
      </c>
      <c r="D168" s="394" t="s">
        <v>161</v>
      </c>
      <c r="E168" s="394" t="s">
        <v>445</v>
      </c>
      <c r="F168" s="394"/>
      <c r="G168" s="435">
        <f t="shared" si="12"/>
        <v>0</v>
      </c>
      <c r="H168" s="435">
        <f t="shared" si="12"/>
        <v>0</v>
      </c>
      <c r="I168" s="310"/>
      <c r="J168" s="302"/>
    </row>
    <row r="169" spans="1:10" ht="33.75" hidden="1" customHeight="1" x14ac:dyDescent="0.25">
      <c r="A169" s="391" t="s">
        <v>153</v>
      </c>
      <c r="B169" s="454">
        <v>902</v>
      </c>
      <c r="C169" s="394" t="s">
        <v>158</v>
      </c>
      <c r="D169" s="394" t="s">
        <v>161</v>
      </c>
      <c r="E169" s="394" t="s">
        <v>445</v>
      </c>
      <c r="F169" s="394" t="s">
        <v>124</v>
      </c>
      <c r="G169" s="435">
        <f t="shared" si="12"/>
        <v>0</v>
      </c>
      <c r="H169" s="435">
        <f t="shared" si="12"/>
        <v>0</v>
      </c>
      <c r="I169" s="310"/>
      <c r="J169" s="302"/>
    </row>
    <row r="170" spans="1:10" ht="40.700000000000003" hidden="1" customHeight="1" x14ac:dyDescent="0.25">
      <c r="A170" s="391" t="s">
        <v>125</v>
      </c>
      <c r="B170" s="454">
        <v>902</v>
      </c>
      <c r="C170" s="394" t="s">
        <v>158</v>
      </c>
      <c r="D170" s="394" t="s">
        <v>161</v>
      </c>
      <c r="E170" s="394" t="s">
        <v>445</v>
      </c>
      <c r="F170" s="394" t="s">
        <v>126</v>
      </c>
      <c r="G170" s="436">
        <v>0</v>
      </c>
      <c r="H170" s="436">
        <v>0</v>
      </c>
      <c r="I170" s="310"/>
      <c r="J170" s="302"/>
    </row>
    <row r="171" spans="1:10" ht="31.5" x14ac:dyDescent="0.25">
      <c r="A171" s="409" t="s">
        <v>163</v>
      </c>
      <c r="B171" s="453">
        <v>902</v>
      </c>
      <c r="C171" s="406" t="s">
        <v>159</v>
      </c>
      <c r="D171" s="406"/>
      <c r="E171" s="406"/>
      <c r="F171" s="406"/>
      <c r="G171" s="438">
        <f>G172</f>
        <v>8185.2</v>
      </c>
      <c r="H171" s="438">
        <f>H172</f>
        <v>8185.2</v>
      </c>
      <c r="I171" s="310"/>
      <c r="J171" s="302"/>
    </row>
    <row r="172" spans="1:10" ht="47.25" customHeight="1" x14ac:dyDescent="0.25">
      <c r="A172" s="409" t="s">
        <v>849</v>
      </c>
      <c r="B172" s="453">
        <v>902</v>
      </c>
      <c r="C172" s="406" t="s">
        <v>159</v>
      </c>
      <c r="D172" s="406" t="s">
        <v>174</v>
      </c>
      <c r="E172" s="394"/>
      <c r="F172" s="394"/>
      <c r="G172" s="438">
        <f>G173+G190</f>
        <v>8185.2</v>
      </c>
      <c r="H172" s="438">
        <f>H173+H190</f>
        <v>8185.2</v>
      </c>
      <c r="I172" s="310"/>
      <c r="J172" s="302"/>
    </row>
    <row r="173" spans="1:10" ht="15.75" x14ac:dyDescent="0.25">
      <c r="A173" s="409" t="s">
        <v>133</v>
      </c>
      <c r="B173" s="453">
        <v>902</v>
      </c>
      <c r="C173" s="406" t="s">
        <v>159</v>
      </c>
      <c r="D173" s="406" t="s">
        <v>174</v>
      </c>
      <c r="E173" s="406" t="s">
        <v>440</v>
      </c>
      <c r="F173" s="406"/>
      <c r="G173" s="438">
        <f>G174+G181</f>
        <v>8185.2</v>
      </c>
      <c r="H173" s="438">
        <f>H174+H181</f>
        <v>8185.2</v>
      </c>
      <c r="I173" s="310"/>
      <c r="J173" s="302"/>
    </row>
    <row r="174" spans="1:10" ht="31.5" x14ac:dyDescent="0.25">
      <c r="A174" s="409" t="s">
        <v>444</v>
      </c>
      <c r="B174" s="453">
        <v>902</v>
      </c>
      <c r="C174" s="406" t="s">
        <v>159</v>
      </c>
      <c r="D174" s="406" t="s">
        <v>174</v>
      </c>
      <c r="E174" s="406" t="s">
        <v>439</v>
      </c>
      <c r="F174" s="406"/>
      <c r="G174" s="438">
        <f>G175+G178</f>
        <v>1481.8</v>
      </c>
      <c r="H174" s="438">
        <f>H175+H178</f>
        <v>1481.8</v>
      </c>
      <c r="I174" s="310"/>
      <c r="J174" s="302"/>
    </row>
    <row r="175" spans="1:10" ht="31.5" x14ac:dyDescent="0.25">
      <c r="A175" s="391" t="s">
        <v>164</v>
      </c>
      <c r="B175" s="454">
        <v>902</v>
      </c>
      <c r="C175" s="394" t="s">
        <v>159</v>
      </c>
      <c r="D175" s="394" t="s">
        <v>174</v>
      </c>
      <c r="E175" s="394" t="s">
        <v>449</v>
      </c>
      <c r="F175" s="394"/>
      <c r="G175" s="435">
        <f>G176</f>
        <v>1284.8</v>
      </c>
      <c r="H175" s="435">
        <f>H176</f>
        <v>1284.8</v>
      </c>
      <c r="I175" s="310"/>
      <c r="J175" s="302"/>
    </row>
    <row r="176" spans="1:10" ht="31.5" x14ac:dyDescent="0.25">
      <c r="A176" s="391" t="s">
        <v>153</v>
      </c>
      <c r="B176" s="454">
        <v>902</v>
      </c>
      <c r="C176" s="394" t="s">
        <v>159</v>
      </c>
      <c r="D176" s="394" t="s">
        <v>174</v>
      </c>
      <c r="E176" s="394" t="s">
        <v>449</v>
      </c>
      <c r="F176" s="394" t="s">
        <v>124</v>
      </c>
      <c r="G176" s="435">
        <f>G177</f>
        <v>1284.8</v>
      </c>
      <c r="H176" s="435">
        <f>H177</f>
        <v>1284.8</v>
      </c>
      <c r="I176" s="310"/>
      <c r="J176" s="302"/>
    </row>
    <row r="177" spans="1:10" ht="31.5" x14ac:dyDescent="0.25">
      <c r="A177" s="391" t="s">
        <v>125</v>
      </c>
      <c r="B177" s="454">
        <v>902</v>
      </c>
      <c r="C177" s="394" t="s">
        <v>159</v>
      </c>
      <c r="D177" s="394" t="s">
        <v>174</v>
      </c>
      <c r="E177" s="394" t="s">
        <v>449</v>
      </c>
      <c r="F177" s="394" t="s">
        <v>126</v>
      </c>
      <c r="G177" s="521">
        <f>1285-0.2</f>
        <v>1284.8</v>
      </c>
      <c r="H177" s="521">
        <f>1285-0.2</f>
        <v>1284.8</v>
      </c>
      <c r="I177" s="310"/>
      <c r="J177" s="302"/>
    </row>
    <row r="178" spans="1:10" ht="15.75" x14ac:dyDescent="0.25">
      <c r="A178" s="391" t="s">
        <v>165</v>
      </c>
      <c r="B178" s="454">
        <v>902</v>
      </c>
      <c r="C178" s="394" t="s">
        <v>159</v>
      </c>
      <c r="D178" s="394" t="s">
        <v>174</v>
      </c>
      <c r="E178" s="394" t="s">
        <v>450</v>
      </c>
      <c r="F178" s="394"/>
      <c r="G178" s="436">
        <f>G179</f>
        <v>197</v>
      </c>
      <c r="H178" s="436">
        <f>H179</f>
        <v>197</v>
      </c>
      <c r="I178" s="310"/>
      <c r="J178" s="302"/>
    </row>
    <row r="179" spans="1:10" ht="31.5" x14ac:dyDescent="0.25">
      <c r="A179" s="391" t="s">
        <v>153</v>
      </c>
      <c r="B179" s="454">
        <v>902</v>
      </c>
      <c r="C179" s="394" t="s">
        <v>159</v>
      </c>
      <c r="D179" s="394" t="s">
        <v>174</v>
      </c>
      <c r="E179" s="394" t="s">
        <v>450</v>
      </c>
      <c r="F179" s="394" t="s">
        <v>124</v>
      </c>
      <c r="G179" s="436">
        <f>G180</f>
        <v>197</v>
      </c>
      <c r="H179" s="436">
        <f>H180</f>
        <v>197</v>
      </c>
      <c r="I179" s="310"/>
      <c r="J179" s="302"/>
    </row>
    <row r="180" spans="1:10" ht="31.5" x14ac:dyDescent="0.25">
      <c r="A180" s="391" t="s">
        <v>125</v>
      </c>
      <c r="B180" s="454">
        <v>902</v>
      </c>
      <c r="C180" s="394" t="s">
        <v>159</v>
      </c>
      <c r="D180" s="394" t="s">
        <v>174</v>
      </c>
      <c r="E180" s="394" t="s">
        <v>450</v>
      </c>
      <c r="F180" s="394" t="s">
        <v>126</v>
      </c>
      <c r="G180" s="436">
        <f>197</f>
        <v>197</v>
      </c>
      <c r="H180" s="436">
        <f>197</f>
        <v>197</v>
      </c>
      <c r="I180" s="310"/>
      <c r="J180" s="302"/>
    </row>
    <row r="181" spans="1:10" ht="34.5" customHeight="1" x14ac:dyDescent="0.25">
      <c r="A181" s="409" t="s">
        <v>492</v>
      </c>
      <c r="B181" s="453">
        <v>902</v>
      </c>
      <c r="C181" s="406" t="s">
        <v>159</v>
      </c>
      <c r="D181" s="406" t="s">
        <v>174</v>
      </c>
      <c r="E181" s="406" t="s">
        <v>446</v>
      </c>
      <c r="F181" s="406"/>
      <c r="G181" s="438">
        <f>G182+G187</f>
        <v>6703.4</v>
      </c>
      <c r="H181" s="438">
        <f>H182+H187</f>
        <v>6703.4</v>
      </c>
      <c r="I181" s="310"/>
      <c r="J181" s="302"/>
    </row>
    <row r="182" spans="1:10" ht="31.5" x14ac:dyDescent="0.25">
      <c r="A182" s="391" t="s">
        <v>496</v>
      </c>
      <c r="B182" s="454">
        <v>902</v>
      </c>
      <c r="C182" s="394" t="s">
        <v>159</v>
      </c>
      <c r="D182" s="394" t="s">
        <v>174</v>
      </c>
      <c r="E182" s="394" t="s">
        <v>447</v>
      </c>
      <c r="F182" s="394"/>
      <c r="G182" s="435">
        <f>G183+G185</f>
        <v>6445.4</v>
      </c>
      <c r="H182" s="435">
        <f>H183+H185</f>
        <v>6445.4</v>
      </c>
      <c r="I182" s="310"/>
      <c r="J182" s="302"/>
    </row>
    <row r="183" spans="1:10" ht="63" x14ac:dyDescent="0.25">
      <c r="A183" s="391" t="s">
        <v>119</v>
      </c>
      <c r="B183" s="454">
        <v>902</v>
      </c>
      <c r="C183" s="394" t="s">
        <v>159</v>
      </c>
      <c r="D183" s="394" t="s">
        <v>174</v>
      </c>
      <c r="E183" s="394" t="s">
        <v>447</v>
      </c>
      <c r="F183" s="394" t="s">
        <v>120</v>
      </c>
      <c r="G183" s="435">
        <f>G184</f>
        <v>6119.4</v>
      </c>
      <c r="H183" s="435">
        <f>H184</f>
        <v>6119.4</v>
      </c>
      <c r="I183" s="310"/>
      <c r="J183" s="302"/>
    </row>
    <row r="184" spans="1:10" ht="15.75" x14ac:dyDescent="0.25">
      <c r="A184" s="391" t="s">
        <v>155</v>
      </c>
      <c r="B184" s="454">
        <v>902</v>
      </c>
      <c r="C184" s="394" t="s">
        <v>159</v>
      </c>
      <c r="D184" s="394" t="s">
        <v>174</v>
      </c>
      <c r="E184" s="394" t="s">
        <v>447</v>
      </c>
      <c r="F184" s="394" t="s">
        <v>156</v>
      </c>
      <c r="G184" s="436">
        <f>6282.4-163</f>
        <v>6119.4</v>
      </c>
      <c r="H184" s="436">
        <f>G184</f>
        <v>6119.4</v>
      </c>
      <c r="I184" s="310"/>
      <c r="J184" s="302"/>
    </row>
    <row r="185" spans="1:10" ht="31.5" x14ac:dyDescent="0.25">
      <c r="A185" s="391" t="s">
        <v>153</v>
      </c>
      <c r="B185" s="454">
        <v>902</v>
      </c>
      <c r="C185" s="394" t="s">
        <v>159</v>
      </c>
      <c r="D185" s="394" t="s">
        <v>174</v>
      </c>
      <c r="E185" s="394" t="s">
        <v>447</v>
      </c>
      <c r="F185" s="394" t="s">
        <v>124</v>
      </c>
      <c r="G185" s="435">
        <f>G186</f>
        <v>326</v>
      </c>
      <c r="H185" s="435">
        <f>H186</f>
        <v>326</v>
      </c>
      <c r="I185" s="310"/>
      <c r="J185" s="302"/>
    </row>
    <row r="186" spans="1:10" ht="31.5" x14ac:dyDescent="0.25">
      <c r="A186" s="391" t="s">
        <v>125</v>
      </c>
      <c r="B186" s="454">
        <v>902</v>
      </c>
      <c r="C186" s="394" t="s">
        <v>159</v>
      </c>
      <c r="D186" s="394" t="s">
        <v>174</v>
      </c>
      <c r="E186" s="394" t="s">
        <v>447</v>
      </c>
      <c r="F186" s="394" t="s">
        <v>126</v>
      </c>
      <c r="G186" s="436">
        <f>163+163</f>
        <v>326</v>
      </c>
      <c r="H186" s="436">
        <f>163+163</f>
        <v>326</v>
      </c>
      <c r="I186" s="310"/>
      <c r="J186" s="302"/>
    </row>
    <row r="187" spans="1:10" ht="31.5" x14ac:dyDescent="0.25">
      <c r="A187" s="391" t="s">
        <v>414</v>
      </c>
      <c r="B187" s="454">
        <v>902</v>
      </c>
      <c r="C187" s="394" t="s">
        <v>159</v>
      </c>
      <c r="D187" s="394" t="s">
        <v>174</v>
      </c>
      <c r="E187" s="394" t="s">
        <v>448</v>
      </c>
      <c r="F187" s="394"/>
      <c r="G187" s="435">
        <f>G188</f>
        <v>258</v>
      </c>
      <c r="H187" s="435">
        <f>H188</f>
        <v>258</v>
      </c>
      <c r="I187" s="310"/>
      <c r="J187" s="302"/>
    </row>
    <row r="188" spans="1:10" ht="63" x14ac:dyDescent="0.25">
      <c r="A188" s="391" t="s">
        <v>119</v>
      </c>
      <c r="B188" s="454">
        <v>902</v>
      </c>
      <c r="C188" s="394" t="s">
        <v>159</v>
      </c>
      <c r="D188" s="394" t="s">
        <v>174</v>
      </c>
      <c r="E188" s="394" t="s">
        <v>448</v>
      </c>
      <c r="F188" s="394" t="s">
        <v>120</v>
      </c>
      <c r="G188" s="435">
        <f>G189</f>
        <v>258</v>
      </c>
      <c r="H188" s="435">
        <f>H189</f>
        <v>258</v>
      </c>
      <c r="I188" s="310"/>
      <c r="J188" s="302"/>
    </row>
    <row r="189" spans="1:10" ht="15.75" x14ac:dyDescent="0.25">
      <c r="A189" s="391" t="s">
        <v>155</v>
      </c>
      <c r="B189" s="454">
        <v>902</v>
      </c>
      <c r="C189" s="394" t="s">
        <v>159</v>
      </c>
      <c r="D189" s="394" t="s">
        <v>174</v>
      </c>
      <c r="E189" s="394" t="s">
        <v>448</v>
      </c>
      <c r="F189" s="394" t="s">
        <v>156</v>
      </c>
      <c r="G189" s="435">
        <f>258</f>
        <v>258</v>
      </c>
      <c r="H189" s="435">
        <f>258</f>
        <v>258</v>
      </c>
      <c r="I189" s="310"/>
      <c r="J189" s="302"/>
    </row>
    <row r="190" spans="1:10" ht="47.25" hidden="1" x14ac:dyDescent="0.25">
      <c r="A190" s="462" t="s">
        <v>845</v>
      </c>
      <c r="B190" s="453">
        <v>902</v>
      </c>
      <c r="C190" s="406" t="s">
        <v>159</v>
      </c>
      <c r="D190" s="406" t="s">
        <v>174</v>
      </c>
      <c r="E190" s="406" t="s">
        <v>339</v>
      </c>
      <c r="F190" s="394"/>
      <c r="G190" s="438">
        <f>G191</f>
        <v>0</v>
      </c>
      <c r="H190" s="438">
        <f>H191</f>
        <v>0</v>
      </c>
      <c r="I190" s="310"/>
      <c r="J190" s="302"/>
    </row>
    <row r="191" spans="1:10" ht="31.5" hidden="1" x14ac:dyDescent="0.25">
      <c r="A191" s="467" t="s">
        <v>1027</v>
      </c>
      <c r="B191" s="453">
        <v>902</v>
      </c>
      <c r="C191" s="406" t="s">
        <v>159</v>
      </c>
      <c r="D191" s="406" t="s">
        <v>174</v>
      </c>
      <c r="E191" s="406" t="s">
        <v>1028</v>
      </c>
      <c r="F191" s="463"/>
      <c r="G191" s="438">
        <f>G192+G195+G198</f>
        <v>0</v>
      </c>
      <c r="H191" s="438">
        <f>H192+H195+H198</f>
        <v>0</v>
      </c>
      <c r="I191" s="310"/>
      <c r="J191" s="302"/>
    </row>
    <row r="192" spans="1:10" ht="15.75" hidden="1" x14ac:dyDescent="0.25">
      <c r="A192" s="391" t="s">
        <v>165</v>
      </c>
      <c r="B192" s="454">
        <v>902</v>
      </c>
      <c r="C192" s="394" t="s">
        <v>159</v>
      </c>
      <c r="D192" s="394" t="s">
        <v>174</v>
      </c>
      <c r="E192" s="394" t="s">
        <v>1029</v>
      </c>
      <c r="F192" s="466"/>
      <c r="G192" s="435">
        <f>G193</f>
        <v>0</v>
      </c>
      <c r="H192" s="435">
        <f>H193</f>
        <v>0</v>
      </c>
      <c r="I192" s="310"/>
      <c r="J192" s="302"/>
    </row>
    <row r="193" spans="1:10" ht="31.5" hidden="1" x14ac:dyDescent="0.25">
      <c r="A193" s="391" t="s">
        <v>123</v>
      </c>
      <c r="B193" s="454">
        <v>902</v>
      </c>
      <c r="C193" s="394" t="s">
        <v>159</v>
      </c>
      <c r="D193" s="394" t="s">
        <v>174</v>
      </c>
      <c r="E193" s="394" t="s">
        <v>1029</v>
      </c>
      <c r="F193" s="466" t="s">
        <v>124</v>
      </c>
      <c r="G193" s="435">
        <f>G194</f>
        <v>0</v>
      </c>
      <c r="H193" s="435">
        <f>H194</f>
        <v>0</v>
      </c>
      <c r="I193" s="310"/>
      <c r="J193" s="302"/>
    </row>
    <row r="194" spans="1:10" ht="31.5" hidden="1" x14ac:dyDescent="0.25">
      <c r="A194" s="391" t="s">
        <v>125</v>
      </c>
      <c r="B194" s="454">
        <v>902</v>
      </c>
      <c r="C194" s="394" t="s">
        <v>159</v>
      </c>
      <c r="D194" s="394" t="s">
        <v>174</v>
      </c>
      <c r="E194" s="394" t="s">
        <v>1029</v>
      </c>
      <c r="F194" s="466" t="s">
        <v>126</v>
      </c>
      <c r="G194" s="435">
        <f>100-100</f>
        <v>0</v>
      </c>
      <c r="H194" s="435">
        <f>100-100</f>
        <v>0</v>
      </c>
      <c r="I194" s="310"/>
      <c r="J194" s="302"/>
    </row>
    <row r="195" spans="1:10" ht="31.5" hidden="1" x14ac:dyDescent="0.25">
      <c r="A195" s="391" t="s">
        <v>1062</v>
      </c>
      <c r="B195" s="454">
        <v>902</v>
      </c>
      <c r="C195" s="394" t="s">
        <v>159</v>
      </c>
      <c r="D195" s="394" t="s">
        <v>174</v>
      </c>
      <c r="E195" s="394" t="s">
        <v>1063</v>
      </c>
      <c r="F195" s="466"/>
      <c r="G195" s="435">
        <f>G196+G199</f>
        <v>0</v>
      </c>
      <c r="H195" s="435">
        <f>H196+H199</f>
        <v>0</v>
      </c>
      <c r="I195" s="310"/>
      <c r="J195" s="302"/>
    </row>
    <row r="196" spans="1:10" ht="31.5" hidden="1" x14ac:dyDescent="0.25">
      <c r="A196" s="391" t="s">
        <v>123</v>
      </c>
      <c r="B196" s="454">
        <v>902</v>
      </c>
      <c r="C196" s="394" t="s">
        <v>159</v>
      </c>
      <c r="D196" s="394" t="s">
        <v>174</v>
      </c>
      <c r="E196" s="394" t="s">
        <v>1063</v>
      </c>
      <c r="F196" s="466" t="s">
        <v>124</v>
      </c>
      <c r="G196" s="435">
        <f>G197</f>
        <v>0</v>
      </c>
      <c r="H196" s="435">
        <f>H197</f>
        <v>0</v>
      </c>
      <c r="I196" s="310"/>
      <c r="J196" s="302"/>
    </row>
    <row r="197" spans="1:10" ht="31.5" hidden="1" x14ac:dyDescent="0.25">
      <c r="A197" s="391" t="s">
        <v>125</v>
      </c>
      <c r="B197" s="454">
        <v>902</v>
      </c>
      <c r="C197" s="394" t="s">
        <v>159</v>
      </c>
      <c r="D197" s="394" t="s">
        <v>174</v>
      </c>
      <c r="E197" s="394" t="s">
        <v>1063</v>
      </c>
      <c r="F197" s="466" t="s">
        <v>126</v>
      </c>
      <c r="G197" s="435">
        <f>448+100-548</f>
        <v>0</v>
      </c>
      <c r="H197" s="435">
        <f>448+100-548</f>
        <v>0</v>
      </c>
      <c r="I197" s="310"/>
      <c r="J197" s="302"/>
    </row>
    <row r="198" spans="1:10" ht="31.5" hidden="1" x14ac:dyDescent="0.25">
      <c r="A198" s="391" t="s">
        <v>1062</v>
      </c>
      <c r="B198" s="454">
        <v>902</v>
      </c>
      <c r="C198" s="394" t="s">
        <v>159</v>
      </c>
      <c r="D198" s="394" t="s">
        <v>174</v>
      </c>
      <c r="E198" s="394" t="s">
        <v>1063</v>
      </c>
      <c r="F198" s="466"/>
      <c r="G198" s="435"/>
      <c r="H198" s="435"/>
      <c r="I198" s="310"/>
      <c r="J198" s="302"/>
    </row>
    <row r="199" spans="1:10" ht="15.75" hidden="1" x14ac:dyDescent="0.25">
      <c r="A199" s="391" t="s">
        <v>177</v>
      </c>
      <c r="B199" s="454">
        <v>902</v>
      </c>
      <c r="C199" s="394" t="s">
        <v>159</v>
      </c>
      <c r="D199" s="394" t="s">
        <v>174</v>
      </c>
      <c r="E199" s="394" t="s">
        <v>1063</v>
      </c>
      <c r="F199" s="466" t="s">
        <v>178</v>
      </c>
      <c r="G199" s="435">
        <f>G200</f>
        <v>0</v>
      </c>
      <c r="H199" s="435">
        <f>H200</f>
        <v>0</v>
      </c>
      <c r="I199" s="310"/>
      <c r="J199" s="302"/>
    </row>
    <row r="200" spans="1:10" ht="30" hidden="1" customHeight="1" x14ac:dyDescent="0.25">
      <c r="A200" s="391" t="s">
        <v>179</v>
      </c>
      <c r="B200" s="454">
        <v>902</v>
      </c>
      <c r="C200" s="394" t="s">
        <v>159</v>
      </c>
      <c r="D200" s="394" t="s">
        <v>174</v>
      </c>
      <c r="E200" s="394" t="s">
        <v>1063</v>
      </c>
      <c r="F200" s="466" t="s">
        <v>180</v>
      </c>
      <c r="G200" s="435"/>
      <c r="H200" s="435"/>
      <c r="I200" s="310"/>
      <c r="J200" s="302"/>
    </row>
    <row r="201" spans="1:10" ht="15.75" x14ac:dyDescent="0.25">
      <c r="A201" s="409" t="s">
        <v>166</v>
      </c>
      <c r="B201" s="453">
        <v>902</v>
      </c>
      <c r="C201" s="406" t="s">
        <v>139</v>
      </c>
      <c r="D201" s="406"/>
      <c r="E201" s="406"/>
      <c r="F201" s="394"/>
      <c r="G201" s="438">
        <f>G212+G202</f>
        <v>497.59999999999997</v>
      </c>
      <c r="H201" s="438">
        <f>H212+H202</f>
        <v>765.9</v>
      </c>
      <c r="I201" s="310"/>
      <c r="J201" s="302"/>
    </row>
    <row r="202" spans="1:10" ht="15.75" x14ac:dyDescent="0.25">
      <c r="A202" s="409" t="s">
        <v>167</v>
      </c>
      <c r="B202" s="453">
        <v>902</v>
      </c>
      <c r="C202" s="406" t="s">
        <v>139</v>
      </c>
      <c r="D202" s="406" t="s">
        <v>168</v>
      </c>
      <c r="E202" s="406"/>
      <c r="F202" s="394"/>
      <c r="G202" s="438">
        <f>G203</f>
        <v>19.199999999999989</v>
      </c>
      <c r="H202" s="438">
        <f>H203</f>
        <v>274.2</v>
      </c>
      <c r="I202" s="310"/>
      <c r="J202" s="302"/>
    </row>
    <row r="203" spans="1:10" ht="42.4" customHeight="1" x14ac:dyDescent="0.25">
      <c r="A203" s="405" t="s">
        <v>848</v>
      </c>
      <c r="B203" s="453">
        <v>902</v>
      </c>
      <c r="C203" s="406" t="s">
        <v>139</v>
      </c>
      <c r="D203" s="406" t="s">
        <v>168</v>
      </c>
      <c r="E203" s="469" t="s">
        <v>147</v>
      </c>
      <c r="F203" s="463"/>
      <c r="G203" s="438">
        <f>G204+G208</f>
        <v>19.199999999999989</v>
      </c>
      <c r="H203" s="438">
        <f>H204+H208</f>
        <v>274.2</v>
      </c>
      <c r="I203" s="310"/>
      <c r="J203" s="302"/>
    </row>
    <row r="204" spans="1:10" ht="35.450000000000003" customHeight="1" x14ac:dyDescent="0.25">
      <c r="A204" s="405" t="s">
        <v>567</v>
      </c>
      <c r="B204" s="453">
        <v>902</v>
      </c>
      <c r="C204" s="406" t="s">
        <v>139</v>
      </c>
      <c r="D204" s="406" t="s">
        <v>168</v>
      </c>
      <c r="E204" s="474" t="s">
        <v>451</v>
      </c>
      <c r="F204" s="463"/>
      <c r="G204" s="438">
        <f t="shared" ref="G204:H206" si="13">G205</f>
        <v>19.199999999999989</v>
      </c>
      <c r="H204" s="438">
        <f t="shared" si="13"/>
        <v>274.2</v>
      </c>
      <c r="I204" s="310"/>
      <c r="J204" s="302"/>
    </row>
    <row r="205" spans="1:10" ht="31.5" x14ac:dyDescent="0.25">
      <c r="A205" s="391" t="s">
        <v>169</v>
      </c>
      <c r="B205" s="454">
        <v>902</v>
      </c>
      <c r="C205" s="394" t="s">
        <v>139</v>
      </c>
      <c r="D205" s="394" t="s">
        <v>168</v>
      </c>
      <c r="E205" s="394" t="s">
        <v>467</v>
      </c>
      <c r="F205" s="466"/>
      <c r="G205" s="435">
        <f t="shared" si="13"/>
        <v>19.199999999999989</v>
      </c>
      <c r="H205" s="435">
        <f t="shared" si="13"/>
        <v>274.2</v>
      </c>
      <c r="I205" s="310"/>
      <c r="J205" s="302"/>
    </row>
    <row r="206" spans="1:10" ht="15.75" x14ac:dyDescent="0.25">
      <c r="A206" s="458" t="s">
        <v>127</v>
      </c>
      <c r="B206" s="454">
        <v>902</v>
      </c>
      <c r="C206" s="394" t="s">
        <v>139</v>
      </c>
      <c r="D206" s="394" t="s">
        <v>168</v>
      </c>
      <c r="E206" s="394" t="s">
        <v>467</v>
      </c>
      <c r="F206" s="466" t="s">
        <v>134</v>
      </c>
      <c r="G206" s="435">
        <f t="shared" si="13"/>
        <v>19.199999999999989</v>
      </c>
      <c r="H206" s="435">
        <f t="shared" si="13"/>
        <v>274.2</v>
      </c>
      <c r="I206" s="310"/>
      <c r="J206" s="302"/>
    </row>
    <row r="207" spans="1:10" ht="47.25" x14ac:dyDescent="0.25">
      <c r="A207" s="458" t="s">
        <v>148</v>
      </c>
      <c r="B207" s="454">
        <v>902</v>
      </c>
      <c r="C207" s="394" t="s">
        <v>139</v>
      </c>
      <c r="D207" s="394" t="s">
        <v>168</v>
      </c>
      <c r="E207" s="394" t="s">
        <v>467</v>
      </c>
      <c r="F207" s="466" t="s">
        <v>142</v>
      </c>
      <c r="G207" s="586">
        <f>19.2+255-255</f>
        <v>19.199999999999989</v>
      </c>
      <c r="H207" s="435">
        <f>19.2+255</f>
        <v>274.2</v>
      </c>
      <c r="I207" s="310" t="s">
        <v>1230</v>
      </c>
      <c r="J207" s="302"/>
    </row>
    <row r="208" spans="1:10" ht="31.5" hidden="1" x14ac:dyDescent="0.25">
      <c r="A208" s="475" t="s">
        <v>568</v>
      </c>
      <c r="B208" s="453">
        <v>902</v>
      </c>
      <c r="C208" s="406" t="s">
        <v>139</v>
      </c>
      <c r="D208" s="406" t="s">
        <v>168</v>
      </c>
      <c r="E208" s="469" t="s">
        <v>453</v>
      </c>
      <c r="F208" s="463"/>
      <c r="G208" s="438">
        <f t="shared" ref="G208:H210" si="14">G209</f>
        <v>0</v>
      </c>
      <c r="H208" s="438">
        <f t="shared" si="14"/>
        <v>0</v>
      </c>
      <c r="I208" s="310"/>
      <c r="J208" s="302"/>
    </row>
    <row r="209" spans="1:10" ht="15.75" hidden="1" x14ac:dyDescent="0.25">
      <c r="A209" s="391" t="s">
        <v>452</v>
      </c>
      <c r="B209" s="454">
        <v>902</v>
      </c>
      <c r="C209" s="394" t="s">
        <v>139</v>
      </c>
      <c r="D209" s="394" t="s">
        <v>168</v>
      </c>
      <c r="E209" s="396" t="s">
        <v>468</v>
      </c>
      <c r="F209" s="466"/>
      <c r="G209" s="435">
        <f t="shared" si="14"/>
        <v>0</v>
      </c>
      <c r="H209" s="435">
        <f t="shared" si="14"/>
        <v>0</v>
      </c>
      <c r="I209" s="310"/>
      <c r="J209" s="302"/>
    </row>
    <row r="210" spans="1:10" ht="15.75" hidden="1" x14ac:dyDescent="0.25">
      <c r="A210" s="458" t="s">
        <v>127</v>
      </c>
      <c r="B210" s="454">
        <v>902</v>
      </c>
      <c r="C210" s="394" t="s">
        <v>139</v>
      </c>
      <c r="D210" s="394" t="s">
        <v>168</v>
      </c>
      <c r="E210" s="396" t="s">
        <v>468</v>
      </c>
      <c r="F210" s="466" t="s">
        <v>134</v>
      </c>
      <c r="G210" s="435">
        <f t="shared" si="14"/>
        <v>0</v>
      </c>
      <c r="H210" s="435">
        <f t="shared" si="14"/>
        <v>0</v>
      </c>
      <c r="I210" s="310"/>
      <c r="J210" s="302"/>
    </row>
    <row r="211" spans="1:10" ht="47.25" hidden="1" x14ac:dyDescent="0.25">
      <c r="A211" s="458" t="s">
        <v>148</v>
      </c>
      <c r="B211" s="454">
        <v>902</v>
      </c>
      <c r="C211" s="394" t="s">
        <v>139</v>
      </c>
      <c r="D211" s="394" t="s">
        <v>168</v>
      </c>
      <c r="E211" s="396" t="s">
        <v>468</v>
      </c>
      <c r="F211" s="466" t="s">
        <v>142</v>
      </c>
      <c r="G211" s="435">
        <v>0</v>
      </c>
      <c r="H211" s="435">
        <v>0</v>
      </c>
      <c r="I211" s="310"/>
      <c r="J211" s="302"/>
    </row>
    <row r="212" spans="1:10" ht="15.75" x14ac:dyDescent="0.25">
      <c r="A212" s="409" t="s">
        <v>170</v>
      </c>
      <c r="B212" s="453">
        <v>902</v>
      </c>
      <c r="C212" s="406" t="s">
        <v>139</v>
      </c>
      <c r="D212" s="406" t="s">
        <v>171</v>
      </c>
      <c r="E212" s="406"/>
      <c r="F212" s="406"/>
      <c r="G212" s="438">
        <f>G213+G220</f>
        <v>478.4</v>
      </c>
      <c r="H212" s="438">
        <f>H213+H220</f>
        <v>491.7</v>
      </c>
      <c r="I212" s="310"/>
      <c r="J212" s="302"/>
    </row>
    <row r="213" spans="1:10" ht="31.5" x14ac:dyDescent="0.25">
      <c r="A213" s="409" t="s">
        <v>486</v>
      </c>
      <c r="B213" s="453">
        <v>902</v>
      </c>
      <c r="C213" s="406" t="s">
        <v>139</v>
      </c>
      <c r="D213" s="406" t="s">
        <v>171</v>
      </c>
      <c r="E213" s="406" t="s">
        <v>432</v>
      </c>
      <c r="F213" s="406"/>
      <c r="G213" s="438">
        <f>G214</f>
        <v>328.5</v>
      </c>
      <c r="H213" s="438">
        <f>H214</f>
        <v>341.7</v>
      </c>
      <c r="I213" s="310"/>
      <c r="J213" s="302"/>
    </row>
    <row r="214" spans="1:10" ht="31.5" x14ac:dyDescent="0.25">
      <c r="A214" s="409" t="s">
        <v>458</v>
      </c>
      <c r="B214" s="453">
        <v>902</v>
      </c>
      <c r="C214" s="406" t="s">
        <v>139</v>
      </c>
      <c r="D214" s="406" t="s">
        <v>171</v>
      </c>
      <c r="E214" s="406" t="s">
        <v>437</v>
      </c>
      <c r="F214" s="406"/>
      <c r="G214" s="438">
        <f>G215</f>
        <v>328.5</v>
      </c>
      <c r="H214" s="438">
        <f>H215</f>
        <v>341.7</v>
      </c>
      <c r="I214" s="310"/>
      <c r="J214" s="302"/>
    </row>
    <row r="215" spans="1:10" ht="69.75" customHeight="1" x14ac:dyDescent="0.25">
      <c r="A215" s="393" t="s">
        <v>172</v>
      </c>
      <c r="B215" s="454">
        <v>902</v>
      </c>
      <c r="C215" s="394" t="s">
        <v>139</v>
      </c>
      <c r="D215" s="394" t="s">
        <v>171</v>
      </c>
      <c r="E215" s="394" t="s">
        <v>493</v>
      </c>
      <c r="F215" s="394"/>
      <c r="G215" s="435">
        <f>G216+G218</f>
        <v>328.5</v>
      </c>
      <c r="H215" s="435">
        <f>H216+H218</f>
        <v>341.7</v>
      </c>
      <c r="I215" s="310"/>
      <c r="J215" s="302"/>
    </row>
    <row r="216" spans="1:10" ht="63" x14ac:dyDescent="0.25">
      <c r="A216" s="391" t="s">
        <v>119</v>
      </c>
      <c r="B216" s="454">
        <v>902</v>
      </c>
      <c r="C216" s="394" t="s">
        <v>139</v>
      </c>
      <c r="D216" s="394" t="s">
        <v>171</v>
      </c>
      <c r="E216" s="394" t="s">
        <v>493</v>
      </c>
      <c r="F216" s="394" t="s">
        <v>120</v>
      </c>
      <c r="G216" s="435">
        <f>G217</f>
        <v>298.60000000000002</v>
      </c>
      <c r="H216" s="435">
        <f>H217</f>
        <v>310.59999999999997</v>
      </c>
      <c r="I216" s="310"/>
      <c r="J216" s="302"/>
    </row>
    <row r="217" spans="1:10" ht="31.5" x14ac:dyDescent="0.25">
      <c r="A217" s="391" t="s">
        <v>121</v>
      </c>
      <c r="B217" s="454">
        <v>902</v>
      </c>
      <c r="C217" s="394" t="s">
        <v>139</v>
      </c>
      <c r="D217" s="394" t="s">
        <v>171</v>
      </c>
      <c r="E217" s="394" t="s">
        <v>493</v>
      </c>
      <c r="F217" s="394" t="s">
        <v>122</v>
      </c>
      <c r="G217" s="586">
        <f>298.5+0.1</f>
        <v>298.60000000000002</v>
      </c>
      <c r="H217" s="586">
        <f>310.4+0.2</f>
        <v>310.59999999999997</v>
      </c>
      <c r="I217" s="310" t="s">
        <v>1271</v>
      </c>
      <c r="J217" s="302"/>
    </row>
    <row r="218" spans="1:10" ht="31.5" x14ac:dyDescent="0.25">
      <c r="A218" s="391" t="s">
        <v>123</v>
      </c>
      <c r="B218" s="454">
        <v>902</v>
      </c>
      <c r="C218" s="394" t="s">
        <v>139</v>
      </c>
      <c r="D218" s="394" t="s">
        <v>171</v>
      </c>
      <c r="E218" s="394" t="s">
        <v>493</v>
      </c>
      <c r="F218" s="394" t="s">
        <v>124</v>
      </c>
      <c r="G218" s="435">
        <f>G219</f>
        <v>29.9</v>
      </c>
      <c r="H218" s="435">
        <f>H219</f>
        <v>31.1</v>
      </c>
      <c r="I218" s="310"/>
      <c r="J218" s="302"/>
    </row>
    <row r="219" spans="1:10" ht="31.5" x14ac:dyDescent="0.25">
      <c r="A219" s="391" t="s">
        <v>125</v>
      </c>
      <c r="B219" s="454">
        <v>902</v>
      </c>
      <c r="C219" s="394" t="s">
        <v>139</v>
      </c>
      <c r="D219" s="394" t="s">
        <v>171</v>
      </c>
      <c r="E219" s="394" t="s">
        <v>493</v>
      </c>
      <c r="F219" s="394" t="s">
        <v>126</v>
      </c>
      <c r="G219" s="586">
        <f>30-0.1</f>
        <v>29.9</v>
      </c>
      <c r="H219" s="586">
        <f>31.3-0.2</f>
        <v>31.1</v>
      </c>
      <c r="I219" s="310" t="s">
        <v>1273</v>
      </c>
      <c r="J219" s="302"/>
    </row>
    <row r="220" spans="1:10" ht="33.4" customHeight="1" x14ac:dyDescent="0.25">
      <c r="A220" s="409" t="s">
        <v>840</v>
      </c>
      <c r="B220" s="453">
        <v>902</v>
      </c>
      <c r="C220" s="406" t="s">
        <v>139</v>
      </c>
      <c r="D220" s="406" t="s">
        <v>171</v>
      </c>
      <c r="E220" s="406" t="s">
        <v>141</v>
      </c>
      <c r="F220" s="406"/>
      <c r="G220" s="438">
        <f t="shared" ref="G220:H223" si="15">G221</f>
        <v>149.9</v>
      </c>
      <c r="H220" s="438">
        <f t="shared" si="15"/>
        <v>150</v>
      </c>
      <c r="I220" s="310"/>
      <c r="J220" s="302"/>
    </row>
    <row r="221" spans="1:10" ht="31.5" x14ac:dyDescent="0.25">
      <c r="A221" s="409" t="s">
        <v>619</v>
      </c>
      <c r="B221" s="453">
        <v>902</v>
      </c>
      <c r="C221" s="406" t="s">
        <v>139</v>
      </c>
      <c r="D221" s="406" t="s">
        <v>171</v>
      </c>
      <c r="E221" s="406" t="s">
        <v>617</v>
      </c>
      <c r="F221" s="406"/>
      <c r="G221" s="438">
        <f t="shared" si="15"/>
        <v>149.9</v>
      </c>
      <c r="H221" s="438">
        <f t="shared" si="15"/>
        <v>150</v>
      </c>
      <c r="I221" s="310"/>
      <c r="J221" s="302"/>
    </row>
    <row r="222" spans="1:10" ht="31.5" x14ac:dyDescent="0.25">
      <c r="A222" s="391" t="s">
        <v>620</v>
      </c>
      <c r="B222" s="454">
        <v>902</v>
      </c>
      <c r="C222" s="394" t="s">
        <v>139</v>
      </c>
      <c r="D222" s="394" t="s">
        <v>171</v>
      </c>
      <c r="E222" s="394" t="s">
        <v>618</v>
      </c>
      <c r="F222" s="394"/>
      <c r="G222" s="435">
        <f t="shared" si="15"/>
        <v>149.9</v>
      </c>
      <c r="H222" s="435">
        <f t="shared" si="15"/>
        <v>150</v>
      </c>
      <c r="I222" s="310"/>
      <c r="J222" s="302"/>
    </row>
    <row r="223" spans="1:10" ht="15.75" x14ac:dyDescent="0.25">
      <c r="A223" s="391" t="s">
        <v>127</v>
      </c>
      <c r="B223" s="454">
        <v>902</v>
      </c>
      <c r="C223" s="394" t="s">
        <v>139</v>
      </c>
      <c r="D223" s="394" t="s">
        <v>171</v>
      </c>
      <c r="E223" s="394" t="s">
        <v>618</v>
      </c>
      <c r="F223" s="394" t="s">
        <v>134</v>
      </c>
      <c r="G223" s="435">
        <f t="shared" si="15"/>
        <v>149.9</v>
      </c>
      <c r="H223" s="435">
        <f t="shared" si="15"/>
        <v>150</v>
      </c>
      <c r="I223" s="310"/>
      <c r="J223" s="302"/>
    </row>
    <row r="224" spans="1:10" ht="47.25" x14ac:dyDescent="0.25">
      <c r="A224" s="391" t="s">
        <v>148</v>
      </c>
      <c r="B224" s="454">
        <v>902</v>
      </c>
      <c r="C224" s="394" t="s">
        <v>139</v>
      </c>
      <c r="D224" s="394" t="s">
        <v>171</v>
      </c>
      <c r="E224" s="394" t="s">
        <v>618</v>
      </c>
      <c r="F224" s="394" t="s">
        <v>142</v>
      </c>
      <c r="G224" s="586">
        <f>150-0.1</f>
        <v>149.9</v>
      </c>
      <c r="H224" s="435">
        <v>150</v>
      </c>
      <c r="I224" s="310"/>
      <c r="J224" s="302"/>
    </row>
    <row r="225" spans="1:10" ht="16.5" customHeight="1" x14ac:dyDescent="0.25">
      <c r="A225" s="409" t="s">
        <v>173</v>
      </c>
      <c r="B225" s="453">
        <v>902</v>
      </c>
      <c r="C225" s="406" t="s">
        <v>174</v>
      </c>
      <c r="D225" s="406"/>
      <c r="E225" s="406"/>
      <c r="F225" s="406"/>
      <c r="G225" s="438">
        <f>G226+G232+G238</f>
        <v>13614.2</v>
      </c>
      <c r="H225" s="438">
        <f>H226+H232+H238</f>
        <v>13765</v>
      </c>
      <c r="I225" s="310"/>
      <c r="J225" s="302"/>
    </row>
    <row r="226" spans="1:10" ht="15.75" x14ac:dyDescent="0.25">
      <c r="A226" s="409" t="s">
        <v>175</v>
      </c>
      <c r="B226" s="453">
        <v>902</v>
      </c>
      <c r="C226" s="406" t="s">
        <v>174</v>
      </c>
      <c r="D226" s="406" t="s">
        <v>116</v>
      </c>
      <c r="E226" s="406"/>
      <c r="F226" s="406"/>
      <c r="G226" s="438">
        <f t="shared" ref="G226:H230" si="16">G227</f>
        <v>9913.5</v>
      </c>
      <c r="H226" s="438">
        <f t="shared" si="16"/>
        <v>9913.5</v>
      </c>
      <c r="I226" s="310"/>
      <c r="J226" s="302"/>
    </row>
    <row r="227" spans="1:10" ht="15.75" x14ac:dyDescent="0.25">
      <c r="A227" s="409" t="s">
        <v>133</v>
      </c>
      <c r="B227" s="453">
        <v>902</v>
      </c>
      <c r="C227" s="406" t="s">
        <v>174</v>
      </c>
      <c r="D227" s="406" t="s">
        <v>116</v>
      </c>
      <c r="E227" s="406" t="s">
        <v>440</v>
      </c>
      <c r="F227" s="406"/>
      <c r="G227" s="438">
        <f t="shared" si="16"/>
        <v>9913.5</v>
      </c>
      <c r="H227" s="438">
        <f t="shared" si="16"/>
        <v>9913.5</v>
      </c>
      <c r="I227" s="310"/>
      <c r="J227" s="302"/>
    </row>
    <row r="228" spans="1:10" ht="31.5" x14ac:dyDescent="0.25">
      <c r="A228" s="409" t="s">
        <v>444</v>
      </c>
      <c r="B228" s="453">
        <v>902</v>
      </c>
      <c r="C228" s="406" t="s">
        <v>174</v>
      </c>
      <c r="D228" s="406" t="s">
        <v>116</v>
      </c>
      <c r="E228" s="406" t="s">
        <v>439</v>
      </c>
      <c r="F228" s="406"/>
      <c r="G228" s="438">
        <f t="shared" si="16"/>
        <v>9913.5</v>
      </c>
      <c r="H228" s="438">
        <f t="shared" si="16"/>
        <v>9913.5</v>
      </c>
      <c r="I228" s="310"/>
      <c r="J228" s="302"/>
    </row>
    <row r="229" spans="1:10" ht="15.75" x14ac:dyDescent="0.25">
      <c r="A229" s="391" t="s">
        <v>176</v>
      </c>
      <c r="B229" s="454">
        <v>902</v>
      </c>
      <c r="C229" s="394" t="s">
        <v>174</v>
      </c>
      <c r="D229" s="394" t="s">
        <v>116</v>
      </c>
      <c r="E229" s="394" t="s">
        <v>454</v>
      </c>
      <c r="F229" s="394"/>
      <c r="G229" s="435">
        <f t="shared" si="16"/>
        <v>9913.5</v>
      </c>
      <c r="H229" s="435">
        <f t="shared" si="16"/>
        <v>9913.5</v>
      </c>
      <c r="I229" s="310"/>
      <c r="J229" s="302"/>
    </row>
    <row r="230" spans="1:10" ht="15.75" x14ac:dyDescent="0.25">
      <c r="A230" s="391" t="s">
        <v>177</v>
      </c>
      <c r="B230" s="454">
        <v>902</v>
      </c>
      <c r="C230" s="394" t="s">
        <v>174</v>
      </c>
      <c r="D230" s="394" t="s">
        <v>116</v>
      </c>
      <c r="E230" s="394" t="s">
        <v>454</v>
      </c>
      <c r="F230" s="394" t="s">
        <v>178</v>
      </c>
      <c r="G230" s="435">
        <f t="shared" si="16"/>
        <v>9913.5</v>
      </c>
      <c r="H230" s="435">
        <f t="shared" si="16"/>
        <v>9913.5</v>
      </c>
      <c r="I230" s="310"/>
      <c r="J230" s="302"/>
    </row>
    <row r="231" spans="1:10" ht="15.75" x14ac:dyDescent="0.25">
      <c r="A231" s="391" t="s">
        <v>216</v>
      </c>
      <c r="B231" s="454">
        <v>902</v>
      </c>
      <c r="C231" s="394" t="s">
        <v>174</v>
      </c>
      <c r="D231" s="394" t="s">
        <v>116</v>
      </c>
      <c r="E231" s="394" t="s">
        <v>454</v>
      </c>
      <c r="F231" s="394" t="s">
        <v>217</v>
      </c>
      <c r="G231" s="436">
        <v>9913.5</v>
      </c>
      <c r="H231" s="436">
        <v>9913.5</v>
      </c>
      <c r="I231" s="310"/>
      <c r="J231" s="302"/>
    </row>
    <row r="232" spans="1:10" ht="15.75" x14ac:dyDescent="0.25">
      <c r="A232" s="409" t="s">
        <v>181</v>
      </c>
      <c r="B232" s="453">
        <v>902</v>
      </c>
      <c r="C232" s="406" t="s">
        <v>174</v>
      </c>
      <c r="D232" s="406" t="s">
        <v>159</v>
      </c>
      <c r="E232" s="394"/>
      <c r="F232" s="394"/>
      <c r="G232" s="438">
        <f t="shared" ref="G232:H236" si="17">G233</f>
        <v>10</v>
      </c>
      <c r="H232" s="438">
        <f t="shared" si="17"/>
        <v>10</v>
      </c>
      <c r="I232" s="310"/>
      <c r="J232" s="302"/>
    </row>
    <row r="233" spans="1:10" ht="47.25" x14ac:dyDescent="0.25">
      <c r="A233" s="409" t="s">
        <v>850</v>
      </c>
      <c r="B233" s="453">
        <v>902</v>
      </c>
      <c r="C233" s="406" t="s">
        <v>174</v>
      </c>
      <c r="D233" s="406" t="s">
        <v>159</v>
      </c>
      <c r="E233" s="406" t="s">
        <v>182</v>
      </c>
      <c r="F233" s="406"/>
      <c r="G233" s="438">
        <f t="shared" si="17"/>
        <v>10</v>
      </c>
      <c r="H233" s="438">
        <f t="shared" si="17"/>
        <v>10</v>
      </c>
      <c r="I233" s="310"/>
      <c r="J233" s="302"/>
    </row>
    <row r="234" spans="1:10" ht="31.5" x14ac:dyDescent="0.25">
      <c r="A234" s="405" t="s">
        <v>457</v>
      </c>
      <c r="B234" s="453">
        <v>902</v>
      </c>
      <c r="C234" s="406" t="s">
        <v>174</v>
      </c>
      <c r="D234" s="406" t="s">
        <v>159</v>
      </c>
      <c r="E234" s="406" t="s">
        <v>455</v>
      </c>
      <c r="F234" s="406"/>
      <c r="G234" s="438">
        <f t="shared" si="17"/>
        <v>10</v>
      </c>
      <c r="H234" s="438">
        <f t="shared" si="17"/>
        <v>10</v>
      </c>
      <c r="I234" s="310"/>
      <c r="J234" s="302"/>
    </row>
    <row r="235" spans="1:10" ht="28.5" customHeight="1" x14ac:dyDescent="0.25">
      <c r="A235" s="391" t="s">
        <v>728</v>
      </c>
      <c r="B235" s="454">
        <v>902</v>
      </c>
      <c r="C235" s="394" t="s">
        <v>174</v>
      </c>
      <c r="D235" s="394" t="s">
        <v>159</v>
      </c>
      <c r="E235" s="394" t="s">
        <v>726</v>
      </c>
      <c r="F235" s="394"/>
      <c r="G235" s="435">
        <f t="shared" si="17"/>
        <v>10</v>
      </c>
      <c r="H235" s="435">
        <f t="shared" si="17"/>
        <v>10</v>
      </c>
      <c r="I235" s="310"/>
      <c r="J235" s="302"/>
    </row>
    <row r="236" spans="1:10" ht="19.5" customHeight="1" x14ac:dyDescent="0.25">
      <c r="A236" s="391" t="s">
        <v>177</v>
      </c>
      <c r="B236" s="454">
        <v>902</v>
      </c>
      <c r="C236" s="394" t="s">
        <v>174</v>
      </c>
      <c r="D236" s="394" t="s">
        <v>159</v>
      </c>
      <c r="E236" s="394" t="s">
        <v>726</v>
      </c>
      <c r="F236" s="394" t="s">
        <v>178</v>
      </c>
      <c r="G236" s="435">
        <f t="shared" si="17"/>
        <v>10</v>
      </c>
      <c r="H236" s="435">
        <f t="shared" si="17"/>
        <v>10</v>
      </c>
      <c r="I236" s="310"/>
      <c r="J236" s="302"/>
    </row>
    <row r="237" spans="1:10" ht="31.5" x14ac:dyDescent="0.25">
      <c r="A237" s="391" t="s">
        <v>179</v>
      </c>
      <c r="B237" s="454">
        <v>902</v>
      </c>
      <c r="C237" s="394" t="s">
        <v>174</v>
      </c>
      <c r="D237" s="394" t="s">
        <v>159</v>
      </c>
      <c r="E237" s="394" t="s">
        <v>726</v>
      </c>
      <c r="F237" s="394" t="s">
        <v>180</v>
      </c>
      <c r="G237" s="435">
        <v>10</v>
      </c>
      <c r="H237" s="435">
        <v>10</v>
      </c>
      <c r="I237" s="310"/>
      <c r="J237" s="302"/>
    </row>
    <row r="238" spans="1:10" ht="15.75" x14ac:dyDescent="0.25">
      <c r="A238" s="409" t="s">
        <v>183</v>
      </c>
      <c r="B238" s="453">
        <v>902</v>
      </c>
      <c r="C238" s="406" t="s">
        <v>174</v>
      </c>
      <c r="D238" s="406" t="s">
        <v>118</v>
      </c>
      <c r="E238" s="406"/>
      <c r="F238" s="406"/>
      <c r="G238" s="438">
        <f t="shared" ref="G238:H240" si="18">G239</f>
        <v>3690.7000000000003</v>
      </c>
      <c r="H238" s="438">
        <f t="shared" si="18"/>
        <v>3841.5</v>
      </c>
      <c r="I238" s="310"/>
      <c r="J238" s="302"/>
    </row>
    <row r="239" spans="1:10" ht="31.5" x14ac:dyDescent="0.25">
      <c r="A239" s="409" t="s">
        <v>486</v>
      </c>
      <c r="B239" s="453">
        <v>902</v>
      </c>
      <c r="C239" s="406" t="s">
        <v>174</v>
      </c>
      <c r="D239" s="406" t="s">
        <v>118</v>
      </c>
      <c r="E239" s="406" t="s">
        <v>432</v>
      </c>
      <c r="F239" s="406"/>
      <c r="G239" s="438">
        <f t="shared" si="18"/>
        <v>3690.7000000000003</v>
      </c>
      <c r="H239" s="438">
        <f t="shared" si="18"/>
        <v>3841.5</v>
      </c>
      <c r="I239" s="310"/>
      <c r="J239" s="302"/>
    </row>
    <row r="240" spans="1:10" ht="31.5" x14ac:dyDescent="0.25">
      <c r="A240" s="409" t="s">
        <v>458</v>
      </c>
      <c r="B240" s="453">
        <v>902</v>
      </c>
      <c r="C240" s="406" t="s">
        <v>174</v>
      </c>
      <c r="D240" s="406" t="s">
        <v>118</v>
      </c>
      <c r="E240" s="406" t="s">
        <v>437</v>
      </c>
      <c r="F240" s="406"/>
      <c r="G240" s="438">
        <f t="shared" si="18"/>
        <v>3690.7000000000003</v>
      </c>
      <c r="H240" s="438">
        <f t="shared" si="18"/>
        <v>3841.5</v>
      </c>
      <c r="I240" s="310"/>
      <c r="J240" s="302"/>
    </row>
    <row r="241" spans="1:10" ht="47.25" customHeight="1" x14ac:dyDescent="0.25">
      <c r="A241" s="393" t="s">
        <v>184</v>
      </c>
      <c r="B241" s="454">
        <v>902</v>
      </c>
      <c r="C241" s="394" t="s">
        <v>174</v>
      </c>
      <c r="D241" s="394" t="s">
        <v>118</v>
      </c>
      <c r="E241" s="394" t="s">
        <v>494</v>
      </c>
      <c r="F241" s="394"/>
      <c r="G241" s="435">
        <f>G242+G244</f>
        <v>3690.7000000000003</v>
      </c>
      <c r="H241" s="435">
        <f>H242+H244</f>
        <v>3841.5</v>
      </c>
      <c r="I241" s="310"/>
      <c r="J241" s="302"/>
    </row>
    <row r="242" spans="1:10" ht="63" x14ac:dyDescent="0.25">
      <c r="A242" s="391" t="s">
        <v>119</v>
      </c>
      <c r="B242" s="454">
        <v>902</v>
      </c>
      <c r="C242" s="394" t="s">
        <v>174</v>
      </c>
      <c r="D242" s="394" t="s">
        <v>118</v>
      </c>
      <c r="E242" s="394" t="s">
        <v>494</v>
      </c>
      <c r="F242" s="394" t="s">
        <v>120</v>
      </c>
      <c r="G242" s="435">
        <f>G243</f>
        <v>3555.4</v>
      </c>
      <c r="H242" s="435">
        <f>H243</f>
        <v>3689.8</v>
      </c>
      <c r="I242" s="310"/>
      <c r="J242" s="302"/>
    </row>
    <row r="243" spans="1:10" ht="31.5" x14ac:dyDescent="0.25">
      <c r="A243" s="391" t="s">
        <v>121</v>
      </c>
      <c r="B243" s="454">
        <v>902</v>
      </c>
      <c r="C243" s="394" t="s">
        <v>174</v>
      </c>
      <c r="D243" s="394" t="s">
        <v>118</v>
      </c>
      <c r="E243" s="394" t="s">
        <v>494</v>
      </c>
      <c r="F243" s="394" t="s">
        <v>122</v>
      </c>
      <c r="G243" s="585">
        <f>3558.4-3</f>
        <v>3555.4</v>
      </c>
      <c r="H243" s="436">
        <v>3689.8</v>
      </c>
      <c r="I243" s="310" t="s">
        <v>1274</v>
      </c>
      <c r="J243" s="302"/>
    </row>
    <row r="244" spans="1:10" ht="31.5" x14ac:dyDescent="0.25">
      <c r="A244" s="391" t="s">
        <v>123</v>
      </c>
      <c r="B244" s="454">
        <v>902</v>
      </c>
      <c r="C244" s="394" t="s">
        <v>174</v>
      </c>
      <c r="D244" s="394" t="s">
        <v>118</v>
      </c>
      <c r="E244" s="394" t="s">
        <v>494</v>
      </c>
      <c r="F244" s="394" t="s">
        <v>124</v>
      </c>
      <c r="G244" s="435">
        <f>G245</f>
        <v>135.30000000000001</v>
      </c>
      <c r="H244" s="435">
        <f>H245</f>
        <v>151.69999999999999</v>
      </c>
      <c r="I244" s="310"/>
      <c r="J244" s="302"/>
    </row>
    <row r="245" spans="1:10" ht="31.5" x14ac:dyDescent="0.25">
      <c r="A245" s="391" t="s">
        <v>125</v>
      </c>
      <c r="B245" s="454">
        <v>902</v>
      </c>
      <c r="C245" s="394" t="s">
        <v>174</v>
      </c>
      <c r="D245" s="394" t="s">
        <v>118</v>
      </c>
      <c r="E245" s="394" t="s">
        <v>494</v>
      </c>
      <c r="F245" s="394" t="s">
        <v>126</v>
      </c>
      <c r="G245" s="436">
        <v>135.30000000000001</v>
      </c>
      <c r="H245" s="436">
        <v>151.69999999999999</v>
      </c>
      <c r="I245" s="310"/>
      <c r="J245" s="302"/>
    </row>
    <row r="246" spans="1:10" ht="48.75" customHeight="1" x14ac:dyDescent="0.25">
      <c r="A246" s="453" t="s">
        <v>185</v>
      </c>
      <c r="B246" s="453">
        <v>903</v>
      </c>
      <c r="C246" s="394"/>
      <c r="D246" s="394"/>
      <c r="E246" s="394"/>
      <c r="F246" s="394"/>
      <c r="G246" s="438">
        <f>G303+G372+G496+G247+G283+G521</f>
        <v>112789.65999999999</v>
      </c>
      <c r="H246" s="438">
        <f>H303+H372+H496+H247+H283+H521</f>
        <v>112757.90999999999</v>
      </c>
      <c r="I246" s="310"/>
      <c r="J246" s="302"/>
    </row>
    <row r="247" spans="1:10" ht="15.75" x14ac:dyDescent="0.25">
      <c r="A247" s="409" t="s">
        <v>115</v>
      </c>
      <c r="B247" s="453">
        <v>903</v>
      </c>
      <c r="C247" s="406" t="s">
        <v>116</v>
      </c>
      <c r="D247" s="394"/>
      <c r="E247" s="394"/>
      <c r="F247" s="394"/>
      <c r="G247" s="438">
        <f>G248</f>
        <v>681.9</v>
      </c>
      <c r="H247" s="438">
        <f>H248</f>
        <v>681.9</v>
      </c>
      <c r="I247" s="310"/>
      <c r="J247" s="302"/>
    </row>
    <row r="248" spans="1:10" ht="15.75" x14ac:dyDescent="0.25">
      <c r="A248" s="409" t="s">
        <v>131</v>
      </c>
      <c r="B248" s="453">
        <v>903</v>
      </c>
      <c r="C248" s="406" t="s">
        <v>116</v>
      </c>
      <c r="D248" s="406" t="s">
        <v>132</v>
      </c>
      <c r="E248" s="394"/>
      <c r="F248" s="394"/>
      <c r="G248" s="438">
        <f>G249+G261+G278</f>
        <v>681.9</v>
      </c>
      <c r="H248" s="438">
        <f>H249+H261+H278</f>
        <v>681.9</v>
      </c>
      <c r="I248" s="310"/>
      <c r="J248" s="302"/>
    </row>
    <row r="249" spans="1:10" ht="47.25" x14ac:dyDescent="0.25">
      <c r="A249" s="409" t="s">
        <v>851</v>
      </c>
      <c r="B249" s="453">
        <v>903</v>
      </c>
      <c r="C249" s="468" t="s">
        <v>116</v>
      </c>
      <c r="D249" s="468" t="s">
        <v>132</v>
      </c>
      <c r="E249" s="469" t="s">
        <v>213</v>
      </c>
      <c r="F249" s="468"/>
      <c r="G249" s="438">
        <f>G250</f>
        <v>655.9</v>
      </c>
      <c r="H249" s="438">
        <f>H250</f>
        <v>655.9</v>
      </c>
      <c r="I249" s="310"/>
      <c r="J249" s="302"/>
    </row>
    <row r="250" spans="1:10" ht="73.5" customHeight="1" x14ac:dyDescent="0.25">
      <c r="A250" s="462" t="s">
        <v>852</v>
      </c>
      <c r="B250" s="453">
        <v>903</v>
      </c>
      <c r="C250" s="399" t="s">
        <v>116</v>
      </c>
      <c r="D250" s="399" t="s">
        <v>132</v>
      </c>
      <c r="E250" s="399" t="s">
        <v>222</v>
      </c>
      <c r="F250" s="399"/>
      <c r="G250" s="438">
        <f>G251</f>
        <v>655.9</v>
      </c>
      <c r="H250" s="438">
        <f>H251</f>
        <v>655.9</v>
      </c>
      <c r="I250" s="310"/>
      <c r="J250" s="302"/>
    </row>
    <row r="251" spans="1:10" ht="47.25" x14ac:dyDescent="0.25">
      <c r="A251" s="476" t="s">
        <v>604</v>
      </c>
      <c r="B251" s="453">
        <v>903</v>
      </c>
      <c r="C251" s="399" t="s">
        <v>116</v>
      </c>
      <c r="D251" s="399" t="s">
        <v>132</v>
      </c>
      <c r="E251" s="399" t="s">
        <v>478</v>
      </c>
      <c r="F251" s="399"/>
      <c r="G251" s="438">
        <f>G252+G255+G258</f>
        <v>655.9</v>
      </c>
      <c r="H251" s="438">
        <f>H252+H255+H258</f>
        <v>655.9</v>
      </c>
      <c r="I251" s="310"/>
      <c r="J251" s="302"/>
    </row>
    <row r="252" spans="1:10" ht="47.25" x14ac:dyDescent="0.25">
      <c r="A252" s="465" t="s">
        <v>1145</v>
      </c>
      <c r="B252" s="454">
        <v>903</v>
      </c>
      <c r="C252" s="395" t="s">
        <v>116</v>
      </c>
      <c r="D252" s="395" t="s">
        <v>132</v>
      </c>
      <c r="E252" s="395" t="s">
        <v>736</v>
      </c>
      <c r="F252" s="395"/>
      <c r="G252" s="435">
        <f>G253</f>
        <v>440.8</v>
      </c>
      <c r="H252" s="435">
        <f>H253</f>
        <v>440.8</v>
      </c>
      <c r="I252" s="310"/>
      <c r="J252" s="302"/>
    </row>
    <row r="253" spans="1:10" ht="31.5" x14ac:dyDescent="0.25">
      <c r="A253" s="458" t="s">
        <v>123</v>
      </c>
      <c r="B253" s="454">
        <v>903</v>
      </c>
      <c r="C253" s="395" t="s">
        <v>116</v>
      </c>
      <c r="D253" s="395" t="s">
        <v>132</v>
      </c>
      <c r="E253" s="395" t="s">
        <v>736</v>
      </c>
      <c r="F253" s="395" t="s">
        <v>124</v>
      </c>
      <c r="G253" s="435">
        <f>G254</f>
        <v>440.8</v>
      </c>
      <c r="H253" s="435">
        <f>H254</f>
        <v>440.8</v>
      </c>
      <c r="I253" s="310"/>
      <c r="J253" s="302"/>
    </row>
    <row r="254" spans="1:10" ht="31.5" x14ac:dyDescent="0.25">
      <c r="A254" s="458" t="s">
        <v>125</v>
      </c>
      <c r="B254" s="454">
        <v>903</v>
      </c>
      <c r="C254" s="395" t="s">
        <v>116</v>
      </c>
      <c r="D254" s="395" t="s">
        <v>132</v>
      </c>
      <c r="E254" s="395" t="s">
        <v>736</v>
      </c>
      <c r="F254" s="395" t="s">
        <v>126</v>
      </c>
      <c r="G254" s="435">
        <f>247.3+200-6.5</f>
        <v>440.8</v>
      </c>
      <c r="H254" s="435">
        <f>247.3+200-6.5</f>
        <v>440.8</v>
      </c>
      <c r="I254" s="310"/>
      <c r="J254" s="302"/>
    </row>
    <row r="255" spans="1:10" ht="31.5" x14ac:dyDescent="0.25">
      <c r="A255" s="398" t="s">
        <v>1025</v>
      </c>
      <c r="B255" s="454">
        <v>903</v>
      </c>
      <c r="C255" s="395" t="s">
        <v>116</v>
      </c>
      <c r="D255" s="395" t="s">
        <v>132</v>
      </c>
      <c r="E255" s="395" t="s">
        <v>1059</v>
      </c>
      <c r="F255" s="395"/>
      <c r="G255" s="435">
        <f>G256</f>
        <v>215.1</v>
      </c>
      <c r="H255" s="435">
        <f>H256</f>
        <v>215.1</v>
      </c>
      <c r="I255" s="310"/>
      <c r="J255" s="302"/>
    </row>
    <row r="256" spans="1:10" ht="31.5" x14ac:dyDescent="0.25">
      <c r="A256" s="458" t="s">
        <v>123</v>
      </c>
      <c r="B256" s="454">
        <v>903</v>
      </c>
      <c r="C256" s="395" t="s">
        <v>116</v>
      </c>
      <c r="D256" s="395" t="s">
        <v>132</v>
      </c>
      <c r="E256" s="395" t="s">
        <v>1059</v>
      </c>
      <c r="F256" s="395" t="s">
        <v>124</v>
      </c>
      <c r="G256" s="435">
        <f>G257</f>
        <v>215.1</v>
      </c>
      <c r="H256" s="435">
        <f>H257</f>
        <v>215.1</v>
      </c>
      <c r="I256" s="310"/>
      <c r="J256" s="302"/>
    </row>
    <row r="257" spans="1:10" ht="31.5" x14ac:dyDescent="0.25">
      <c r="A257" s="458" t="s">
        <v>125</v>
      </c>
      <c r="B257" s="454">
        <v>903</v>
      </c>
      <c r="C257" s="395" t="s">
        <v>116</v>
      </c>
      <c r="D257" s="395" t="s">
        <v>132</v>
      </c>
      <c r="E257" s="395" t="s">
        <v>1059</v>
      </c>
      <c r="F257" s="395" t="s">
        <v>126</v>
      </c>
      <c r="G257" s="435">
        <f>200+8.6+6.5</f>
        <v>215.1</v>
      </c>
      <c r="H257" s="435">
        <f>200+8.6+6.5</f>
        <v>215.1</v>
      </c>
      <c r="I257" s="310"/>
      <c r="J257" s="302"/>
    </row>
    <row r="258" spans="1:10" ht="30.6" hidden="1" customHeight="1" x14ac:dyDescent="0.25">
      <c r="A258" s="458" t="s">
        <v>1149</v>
      </c>
      <c r="B258" s="454">
        <v>903</v>
      </c>
      <c r="C258" s="395" t="s">
        <v>116</v>
      </c>
      <c r="D258" s="395" t="s">
        <v>132</v>
      </c>
      <c r="E258" s="472" t="s">
        <v>1150</v>
      </c>
      <c r="F258" s="395"/>
      <c r="G258" s="435">
        <f>G260</f>
        <v>0</v>
      </c>
      <c r="H258" s="435">
        <f>H260</f>
        <v>0</v>
      </c>
      <c r="I258" s="310"/>
      <c r="J258" s="302"/>
    </row>
    <row r="259" spans="1:10" ht="31.5" hidden="1" x14ac:dyDescent="0.25">
      <c r="A259" s="458" t="s">
        <v>123</v>
      </c>
      <c r="B259" s="454">
        <v>903</v>
      </c>
      <c r="C259" s="395" t="s">
        <v>116</v>
      </c>
      <c r="D259" s="395" t="s">
        <v>132</v>
      </c>
      <c r="E259" s="472" t="s">
        <v>1150</v>
      </c>
      <c r="F259" s="395" t="s">
        <v>124</v>
      </c>
      <c r="G259" s="435">
        <f>G260</f>
        <v>0</v>
      </c>
      <c r="H259" s="435">
        <f>H260</f>
        <v>0</v>
      </c>
      <c r="I259" s="310"/>
      <c r="J259" s="302"/>
    </row>
    <row r="260" spans="1:10" ht="31.5" hidden="1" x14ac:dyDescent="0.25">
      <c r="A260" s="458" t="s">
        <v>125</v>
      </c>
      <c r="B260" s="454">
        <v>903</v>
      </c>
      <c r="C260" s="395" t="s">
        <v>116</v>
      </c>
      <c r="D260" s="395" t="s">
        <v>132</v>
      </c>
      <c r="E260" s="472" t="s">
        <v>1150</v>
      </c>
      <c r="F260" s="395" t="s">
        <v>126</v>
      </c>
      <c r="G260" s="435"/>
      <c r="H260" s="435"/>
      <c r="I260" s="310"/>
      <c r="J260" s="302"/>
    </row>
    <row r="261" spans="1:10" ht="31.5" x14ac:dyDescent="0.25">
      <c r="A261" s="409" t="s">
        <v>853</v>
      </c>
      <c r="B261" s="453">
        <v>903</v>
      </c>
      <c r="C261" s="406" t="s">
        <v>116</v>
      </c>
      <c r="D261" s="406" t="s">
        <v>132</v>
      </c>
      <c r="E261" s="406" t="s">
        <v>209</v>
      </c>
      <c r="F261" s="406"/>
      <c r="G261" s="438">
        <f>G262</f>
        <v>20</v>
      </c>
      <c r="H261" s="438">
        <f>H262</f>
        <v>20</v>
      </c>
      <c r="I261" s="310"/>
      <c r="J261" s="302"/>
    </row>
    <row r="262" spans="1:10" ht="31.5" x14ac:dyDescent="0.25">
      <c r="A262" s="409" t="s">
        <v>608</v>
      </c>
      <c r="B262" s="453">
        <v>903</v>
      </c>
      <c r="C262" s="406" t="s">
        <v>116</v>
      </c>
      <c r="D262" s="406" t="s">
        <v>132</v>
      </c>
      <c r="E262" s="406" t="s">
        <v>609</v>
      </c>
      <c r="F262" s="406"/>
      <c r="G262" s="438">
        <f>G263+G266+G269+G272+G275</f>
        <v>20</v>
      </c>
      <c r="H262" s="438">
        <f>H263+H266+H269+H272+H275</f>
        <v>20</v>
      </c>
      <c r="I262" s="310"/>
      <c r="J262" s="302"/>
    </row>
    <row r="263" spans="1:10" ht="31.5" hidden="1" x14ac:dyDescent="0.25">
      <c r="A263" s="471" t="s">
        <v>210</v>
      </c>
      <c r="B263" s="454">
        <v>903</v>
      </c>
      <c r="C263" s="394" t="s">
        <v>116</v>
      </c>
      <c r="D263" s="394" t="s">
        <v>132</v>
      </c>
      <c r="E263" s="394" t="s">
        <v>610</v>
      </c>
      <c r="F263" s="394"/>
      <c r="G263" s="435">
        <f>G264</f>
        <v>0</v>
      </c>
      <c r="H263" s="435">
        <f>H264</f>
        <v>0</v>
      </c>
      <c r="I263" s="310"/>
      <c r="J263" s="302"/>
    </row>
    <row r="264" spans="1:10" ht="31.5" hidden="1" x14ac:dyDescent="0.25">
      <c r="A264" s="391" t="s">
        <v>123</v>
      </c>
      <c r="B264" s="454">
        <v>903</v>
      </c>
      <c r="C264" s="394" t="s">
        <v>116</v>
      </c>
      <c r="D264" s="394" t="s">
        <v>132</v>
      </c>
      <c r="E264" s="394" t="s">
        <v>610</v>
      </c>
      <c r="F264" s="394" t="s">
        <v>124</v>
      </c>
      <c r="G264" s="435">
        <f>G265</f>
        <v>0</v>
      </c>
      <c r="H264" s="435">
        <f>H265</f>
        <v>0</v>
      </c>
      <c r="I264" s="310"/>
      <c r="J264" s="302"/>
    </row>
    <row r="265" spans="1:10" ht="31.5" hidden="1" x14ac:dyDescent="0.25">
      <c r="A265" s="391" t="s">
        <v>125</v>
      </c>
      <c r="B265" s="454">
        <v>903</v>
      </c>
      <c r="C265" s="394" t="s">
        <v>116</v>
      </c>
      <c r="D265" s="394" t="s">
        <v>132</v>
      </c>
      <c r="E265" s="394" t="s">
        <v>610</v>
      </c>
      <c r="F265" s="394" t="s">
        <v>126</v>
      </c>
      <c r="G265" s="435">
        <v>0</v>
      </c>
      <c r="H265" s="435">
        <v>0</v>
      </c>
      <c r="I265" s="310"/>
      <c r="J265" s="302"/>
    </row>
    <row r="266" spans="1:10" ht="15.75" x14ac:dyDescent="0.25">
      <c r="A266" s="391" t="s">
        <v>211</v>
      </c>
      <c r="B266" s="454">
        <v>903</v>
      </c>
      <c r="C266" s="394" t="s">
        <v>116</v>
      </c>
      <c r="D266" s="394" t="s">
        <v>132</v>
      </c>
      <c r="E266" s="394" t="s">
        <v>611</v>
      </c>
      <c r="F266" s="394"/>
      <c r="G266" s="435">
        <f>G267</f>
        <v>20</v>
      </c>
      <c r="H266" s="435">
        <f>H267</f>
        <v>20</v>
      </c>
      <c r="I266" s="310"/>
      <c r="J266" s="302"/>
    </row>
    <row r="267" spans="1:10" ht="31.5" x14ac:dyDescent="0.25">
      <c r="A267" s="391" t="s">
        <v>123</v>
      </c>
      <c r="B267" s="454">
        <v>903</v>
      </c>
      <c r="C267" s="394" t="s">
        <v>116</v>
      </c>
      <c r="D267" s="394" t="s">
        <v>132</v>
      </c>
      <c r="E267" s="394" t="s">
        <v>611</v>
      </c>
      <c r="F267" s="394" t="s">
        <v>124</v>
      </c>
      <c r="G267" s="435">
        <f>G268</f>
        <v>20</v>
      </c>
      <c r="H267" s="435">
        <f>H268</f>
        <v>20</v>
      </c>
      <c r="I267" s="310"/>
      <c r="J267" s="302"/>
    </row>
    <row r="268" spans="1:10" ht="31.5" x14ac:dyDescent="0.25">
      <c r="A268" s="391" t="s">
        <v>125</v>
      </c>
      <c r="B268" s="454">
        <v>903</v>
      </c>
      <c r="C268" s="394" t="s">
        <v>116</v>
      </c>
      <c r="D268" s="394" t="s">
        <v>132</v>
      </c>
      <c r="E268" s="394" t="s">
        <v>611</v>
      </c>
      <c r="F268" s="394" t="s">
        <v>126</v>
      </c>
      <c r="G268" s="435">
        <v>20</v>
      </c>
      <c r="H268" s="435">
        <v>20</v>
      </c>
      <c r="I268" s="310"/>
      <c r="J268" s="302"/>
    </row>
    <row r="269" spans="1:10" ht="36.75" hidden="1" customHeight="1" x14ac:dyDescent="0.25">
      <c r="A269" s="393" t="s">
        <v>349</v>
      </c>
      <c r="B269" s="454">
        <v>903</v>
      </c>
      <c r="C269" s="394" t="s">
        <v>116</v>
      </c>
      <c r="D269" s="394" t="s">
        <v>132</v>
      </c>
      <c r="E269" s="394" t="s">
        <v>612</v>
      </c>
      <c r="F269" s="394"/>
      <c r="G269" s="435">
        <f>G270</f>
        <v>0</v>
      </c>
      <c r="H269" s="435">
        <f>H270</f>
        <v>0</v>
      </c>
      <c r="I269" s="310"/>
      <c r="J269" s="302"/>
    </row>
    <row r="270" spans="1:10" ht="31.15" hidden="1" customHeight="1" x14ac:dyDescent="0.25">
      <c r="A270" s="391" t="s">
        <v>123</v>
      </c>
      <c r="B270" s="454">
        <v>903</v>
      </c>
      <c r="C270" s="394" t="s">
        <v>116</v>
      </c>
      <c r="D270" s="394" t="s">
        <v>132</v>
      </c>
      <c r="E270" s="394" t="s">
        <v>612</v>
      </c>
      <c r="F270" s="394" t="s">
        <v>124</v>
      </c>
      <c r="G270" s="435">
        <f>G271</f>
        <v>0</v>
      </c>
      <c r="H270" s="435">
        <f>H271</f>
        <v>0</v>
      </c>
      <c r="I270" s="310"/>
      <c r="J270" s="302"/>
    </row>
    <row r="271" spans="1:10" ht="31.15" hidden="1" customHeight="1" x14ac:dyDescent="0.25">
      <c r="A271" s="391" t="s">
        <v>125</v>
      </c>
      <c r="B271" s="454">
        <v>903</v>
      </c>
      <c r="C271" s="394" t="s">
        <v>116</v>
      </c>
      <c r="D271" s="394" t="s">
        <v>132</v>
      </c>
      <c r="E271" s="394" t="s">
        <v>612</v>
      </c>
      <c r="F271" s="394" t="s">
        <v>126</v>
      </c>
      <c r="G271" s="435">
        <v>0</v>
      </c>
      <c r="H271" s="435">
        <v>0</v>
      </c>
      <c r="I271" s="310"/>
      <c r="J271" s="302"/>
    </row>
    <row r="272" spans="1:10" ht="15.6" hidden="1" customHeight="1" x14ac:dyDescent="0.25">
      <c r="A272" s="391" t="s">
        <v>555</v>
      </c>
      <c r="B272" s="454">
        <v>903</v>
      </c>
      <c r="C272" s="394" t="s">
        <v>116</v>
      </c>
      <c r="D272" s="394" t="s">
        <v>132</v>
      </c>
      <c r="E272" s="394" t="s">
        <v>613</v>
      </c>
      <c r="F272" s="394"/>
      <c r="G272" s="435">
        <f>G273</f>
        <v>0</v>
      </c>
      <c r="H272" s="435">
        <f>H273</f>
        <v>0</v>
      </c>
      <c r="I272" s="310"/>
      <c r="J272" s="302"/>
    </row>
    <row r="273" spans="1:10" ht="31.15" hidden="1" customHeight="1" x14ac:dyDescent="0.25">
      <c r="A273" s="391" t="s">
        <v>123</v>
      </c>
      <c r="B273" s="454">
        <v>903</v>
      </c>
      <c r="C273" s="394" t="s">
        <v>116</v>
      </c>
      <c r="D273" s="394" t="s">
        <v>132</v>
      </c>
      <c r="E273" s="394" t="s">
        <v>613</v>
      </c>
      <c r="F273" s="394" t="s">
        <v>124</v>
      </c>
      <c r="G273" s="435">
        <f>G274</f>
        <v>0</v>
      </c>
      <c r="H273" s="435">
        <f>H274</f>
        <v>0</v>
      </c>
      <c r="I273" s="310"/>
      <c r="J273" s="302"/>
    </row>
    <row r="274" spans="1:10" ht="31.15" hidden="1" customHeight="1" x14ac:dyDescent="0.25">
      <c r="A274" s="391" t="s">
        <v>125</v>
      </c>
      <c r="B274" s="454">
        <v>903</v>
      </c>
      <c r="C274" s="394" t="s">
        <v>116</v>
      </c>
      <c r="D274" s="394" t="s">
        <v>132</v>
      </c>
      <c r="E274" s="394" t="s">
        <v>613</v>
      </c>
      <c r="F274" s="394" t="s">
        <v>126</v>
      </c>
      <c r="G274" s="435">
        <v>0</v>
      </c>
      <c r="H274" s="435">
        <v>0</v>
      </c>
      <c r="I274" s="310"/>
      <c r="J274" s="302"/>
    </row>
    <row r="275" spans="1:10" ht="40.700000000000003" hidden="1" customHeight="1" x14ac:dyDescent="0.25">
      <c r="A275" s="393" t="s">
        <v>350</v>
      </c>
      <c r="B275" s="454">
        <v>903</v>
      </c>
      <c r="C275" s="394" t="s">
        <v>116</v>
      </c>
      <c r="D275" s="394" t="s">
        <v>132</v>
      </c>
      <c r="E275" s="394" t="s">
        <v>614</v>
      </c>
      <c r="F275" s="394"/>
      <c r="G275" s="435">
        <f>G276</f>
        <v>0</v>
      </c>
      <c r="H275" s="435">
        <f>H276</f>
        <v>0</v>
      </c>
      <c r="I275" s="310"/>
      <c r="J275" s="302"/>
    </row>
    <row r="276" spans="1:10" ht="31.15" hidden="1" customHeight="1" x14ac:dyDescent="0.25">
      <c r="A276" s="391" t="s">
        <v>123</v>
      </c>
      <c r="B276" s="454">
        <v>903</v>
      </c>
      <c r="C276" s="394" t="s">
        <v>116</v>
      </c>
      <c r="D276" s="394" t="s">
        <v>132</v>
      </c>
      <c r="E276" s="394" t="s">
        <v>614</v>
      </c>
      <c r="F276" s="394" t="s">
        <v>124</v>
      </c>
      <c r="G276" s="435">
        <f>G277</f>
        <v>0</v>
      </c>
      <c r="H276" s="435">
        <f>H277</f>
        <v>0</v>
      </c>
      <c r="I276" s="310"/>
      <c r="J276" s="302"/>
    </row>
    <row r="277" spans="1:10" ht="31.15" hidden="1" customHeight="1" x14ac:dyDescent="0.25">
      <c r="A277" s="391" t="s">
        <v>125</v>
      </c>
      <c r="B277" s="454">
        <v>903</v>
      </c>
      <c r="C277" s="394" t="s">
        <v>116</v>
      </c>
      <c r="D277" s="394" t="s">
        <v>132</v>
      </c>
      <c r="E277" s="394" t="s">
        <v>614</v>
      </c>
      <c r="F277" s="394" t="s">
        <v>126</v>
      </c>
      <c r="G277" s="435">
        <v>0</v>
      </c>
      <c r="H277" s="435">
        <v>0</v>
      </c>
      <c r="I277" s="310"/>
      <c r="J277" s="302"/>
    </row>
    <row r="278" spans="1:10" ht="47.25" x14ac:dyDescent="0.25">
      <c r="A278" s="462" t="s">
        <v>854</v>
      </c>
      <c r="B278" s="453">
        <v>903</v>
      </c>
      <c r="C278" s="406" t="s">
        <v>116</v>
      </c>
      <c r="D278" s="406" t="s">
        <v>132</v>
      </c>
      <c r="E278" s="406" t="s">
        <v>339</v>
      </c>
      <c r="F278" s="406"/>
      <c r="G278" s="438">
        <f>G280</f>
        <v>6</v>
      </c>
      <c r="H278" s="438">
        <f>H280</f>
        <v>6</v>
      </c>
      <c r="I278" s="310"/>
      <c r="J278" s="302"/>
    </row>
    <row r="279" spans="1:10" ht="44.45" customHeight="1" x14ac:dyDescent="0.25">
      <c r="A279" s="464" t="s">
        <v>420</v>
      </c>
      <c r="B279" s="453">
        <v>903</v>
      </c>
      <c r="C279" s="406" t="s">
        <v>116</v>
      </c>
      <c r="D279" s="406" t="s">
        <v>132</v>
      </c>
      <c r="E279" s="406" t="s">
        <v>426</v>
      </c>
      <c r="F279" s="406"/>
      <c r="G279" s="438">
        <f t="shared" ref="G279:H281" si="19">G280</f>
        <v>6</v>
      </c>
      <c r="H279" s="438">
        <f t="shared" si="19"/>
        <v>6</v>
      </c>
      <c r="I279" s="310"/>
      <c r="J279" s="302"/>
    </row>
    <row r="280" spans="1:10" ht="31.5" x14ac:dyDescent="0.25">
      <c r="A280" s="465" t="s">
        <v>353</v>
      </c>
      <c r="B280" s="454">
        <v>903</v>
      </c>
      <c r="C280" s="394" t="s">
        <v>116</v>
      </c>
      <c r="D280" s="394" t="s">
        <v>132</v>
      </c>
      <c r="E280" s="394" t="s">
        <v>421</v>
      </c>
      <c r="F280" s="394"/>
      <c r="G280" s="435">
        <f t="shared" si="19"/>
        <v>6</v>
      </c>
      <c r="H280" s="435">
        <f t="shared" si="19"/>
        <v>6</v>
      </c>
      <c r="I280" s="310"/>
      <c r="J280" s="302"/>
    </row>
    <row r="281" spans="1:10" ht="31.5" x14ac:dyDescent="0.25">
      <c r="A281" s="391" t="s">
        <v>123</v>
      </c>
      <c r="B281" s="454">
        <v>903</v>
      </c>
      <c r="C281" s="394" t="s">
        <v>116</v>
      </c>
      <c r="D281" s="394" t="s">
        <v>132</v>
      </c>
      <c r="E281" s="394" t="s">
        <v>421</v>
      </c>
      <c r="F281" s="394" t="s">
        <v>124</v>
      </c>
      <c r="G281" s="435">
        <f t="shared" si="19"/>
        <v>6</v>
      </c>
      <c r="H281" s="435">
        <f t="shared" si="19"/>
        <v>6</v>
      </c>
      <c r="I281" s="310"/>
      <c r="J281" s="302"/>
    </row>
    <row r="282" spans="1:10" ht="31.5" x14ac:dyDescent="0.25">
      <c r="A282" s="391" t="s">
        <v>125</v>
      </c>
      <c r="B282" s="454">
        <v>903</v>
      </c>
      <c r="C282" s="394" t="s">
        <v>116</v>
      </c>
      <c r="D282" s="394" t="s">
        <v>132</v>
      </c>
      <c r="E282" s="394" t="s">
        <v>421</v>
      </c>
      <c r="F282" s="394" t="s">
        <v>126</v>
      </c>
      <c r="G282" s="435">
        <v>6</v>
      </c>
      <c r="H282" s="435">
        <v>6</v>
      </c>
      <c r="I282" s="310"/>
      <c r="J282" s="302"/>
    </row>
    <row r="283" spans="1:10" ht="21.2" customHeight="1" x14ac:dyDescent="0.25">
      <c r="A283" s="477" t="s">
        <v>166</v>
      </c>
      <c r="B283" s="453">
        <v>903</v>
      </c>
      <c r="C283" s="406" t="s">
        <v>139</v>
      </c>
      <c r="D283" s="394"/>
      <c r="E283" s="394"/>
      <c r="F283" s="466"/>
      <c r="G283" s="438">
        <f t="shared" ref="G283:H285" si="20">G284</f>
        <v>215.06</v>
      </c>
      <c r="H283" s="438">
        <f t="shared" si="20"/>
        <v>215.06</v>
      </c>
      <c r="I283" s="310"/>
      <c r="J283" s="302"/>
    </row>
    <row r="284" spans="1:10" ht="21.2" customHeight="1" x14ac:dyDescent="0.25">
      <c r="A284" s="409" t="s">
        <v>170</v>
      </c>
      <c r="B284" s="453">
        <v>903</v>
      </c>
      <c r="C284" s="406" t="s">
        <v>139</v>
      </c>
      <c r="D284" s="406" t="s">
        <v>171</v>
      </c>
      <c r="E284" s="394"/>
      <c r="F284" s="466"/>
      <c r="G284" s="438">
        <f t="shared" si="20"/>
        <v>215.06</v>
      </c>
      <c r="H284" s="438">
        <f t="shared" si="20"/>
        <v>215.06</v>
      </c>
      <c r="I284" s="310"/>
      <c r="J284" s="302"/>
    </row>
    <row r="285" spans="1:10" ht="54" customHeight="1" x14ac:dyDescent="0.25">
      <c r="A285" s="409" t="s">
        <v>851</v>
      </c>
      <c r="B285" s="453">
        <v>903</v>
      </c>
      <c r="C285" s="406" t="s">
        <v>139</v>
      </c>
      <c r="D285" s="406" t="s">
        <v>171</v>
      </c>
      <c r="E285" s="406" t="s">
        <v>213</v>
      </c>
      <c r="F285" s="463"/>
      <c r="G285" s="438">
        <f t="shared" si="20"/>
        <v>215.06</v>
      </c>
      <c r="H285" s="438">
        <f t="shared" si="20"/>
        <v>215.06</v>
      </c>
      <c r="I285" s="310"/>
      <c r="J285" s="302"/>
    </row>
    <row r="286" spans="1:10" ht="53.45" customHeight="1" x14ac:dyDescent="0.25">
      <c r="A286" s="409" t="s">
        <v>224</v>
      </c>
      <c r="B286" s="453">
        <v>903</v>
      </c>
      <c r="C286" s="406" t="s">
        <v>139</v>
      </c>
      <c r="D286" s="406" t="s">
        <v>171</v>
      </c>
      <c r="E286" s="406" t="s">
        <v>221</v>
      </c>
      <c r="F286" s="406"/>
      <c r="G286" s="438">
        <f>G287+G291+G295+G299</f>
        <v>215.06</v>
      </c>
      <c r="H286" s="438">
        <f>H287+H291+H295+H299</f>
        <v>215.06</v>
      </c>
      <c r="I286" s="310"/>
      <c r="J286" s="302"/>
    </row>
    <row r="287" spans="1:10" ht="33" hidden="1" customHeight="1" x14ac:dyDescent="0.25">
      <c r="A287" s="478" t="s">
        <v>602</v>
      </c>
      <c r="B287" s="453">
        <v>903</v>
      </c>
      <c r="C287" s="406" t="s">
        <v>139</v>
      </c>
      <c r="D287" s="406" t="s">
        <v>171</v>
      </c>
      <c r="E287" s="406" t="s">
        <v>476</v>
      </c>
      <c r="F287" s="406"/>
      <c r="G287" s="438">
        <f t="shared" ref="G287:H289" si="21">G288</f>
        <v>0</v>
      </c>
      <c r="H287" s="438">
        <f t="shared" si="21"/>
        <v>0</v>
      </c>
      <c r="I287" s="310"/>
      <c r="J287" s="302"/>
    </row>
    <row r="288" spans="1:10" ht="47.25" hidden="1" customHeight="1" x14ac:dyDescent="0.25">
      <c r="A288" s="391" t="s">
        <v>645</v>
      </c>
      <c r="B288" s="454">
        <v>903</v>
      </c>
      <c r="C288" s="394" t="s">
        <v>139</v>
      </c>
      <c r="D288" s="394" t="s">
        <v>171</v>
      </c>
      <c r="E288" s="394" t="s">
        <v>825</v>
      </c>
      <c r="F288" s="394"/>
      <c r="G288" s="435">
        <f t="shared" si="21"/>
        <v>0</v>
      </c>
      <c r="H288" s="435">
        <f t="shared" si="21"/>
        <v>0</v>
      </c>
      <c r="I288" s="310"/>
      <c r="J288" s="302"/>
    </row>
    <row r="289" spans="1:10" ht="21.2" hidden="1" customHeight="1" x14ac:dyDescent="0.25">
      <c r="A289" s="391" t="s">
        <v>177</v>
      </c>
      <c r="B289" s="454">
        <v>903</v>
      </c>
      <c r="C289" s="394" t="s">
        <v>139</v>
      </c>
      <c r="D289" s="394" t="s">
        <v>171</v>
      </c>
      <c r="E289" s="394" t="s">
        <v>825</v>
      </c>
      <c r="F289" s="394" t="s">
        <v>178</v>
      </c>
      <c r="G289" s="435">
        <f t="shared" si="21"/>
        <v>0</v>
      </c>
      <c r="H289" s="435">
        <f t="shared" si="21"/>
        <v>0</v>
      </c>
      <c r="I289" s="310"/>
      <c r="J289" s="302"/>
    </row>
    <row r="290" spans="1:10" ht="29.25" hidden="1" customHeight="1" x14ac:dyDescent="0.25">
      <c r="A290" s="391" t="s">
        <v>179</v>
      </c>
      <c r="B290" s="454">
        <v>903</v>
      </c>
      <c r="C290" s="394" t="s">
        <v>139</v>
      </c>
      <c r="D290" s="394" t="s">
        <v>171</v>
      </c>
      <c r="E290" s="394" t="s">
        <v>825</v>
      </c>
      <c r="F290" s="394" t="s">
        <v>180</v>
      </c>
      <c r="G290" s="435">
        <v>0</v>
      </c>
      <c r="H290" s="435">
        <v>0</v>
      </c>
      <c r="I290" s="310"/>
      <c r="J290" s="302"/>
    </row>
    <row r="291" spans="1:10" ht="33" customHeight="1" x14ac:dyDescent="0.25">
      <c r="A291" s="409" t="s">
        <v>601</v>
      </c>
      <c r="B291" s="453">
        <v>903</v>
      </c>
      <c r="C291" s="406" t="s">
        <v>139</v>
      </c>
      <c r="D291" s="406" t="s">
        <v>171</v>
      </c>
      <c r="E291" s="406" t="s">
        <v>737</v>
      </c>
      <c r="F291" s="406"/>
      <c r="G291" s="438">
        <f t="shared" ref="G291:H293" si="22">G292</f>
        <v>215.06</v>
      </c>
      <c r="H291" s="438">
        <f t="shared" si="22"/>
        <v>215.06</v>
      </c>
      <c r="I291" s="310"/>
      <c r="J291" s="302"/>
    </row>
    <row r="292" spans="1:10" ht="94.5" x14ac:dyDescent="0.25">
      <c r="A292" s="391" t="s">
        <v>226</v>
      </c>
      <c r="B292" s="454">
        <v>903</v>
      </c>
      <c r="C292" s="394" t="s">
        <v>139</v>
      </c>
      <c r="D292" s="394" t="s">
        <v>171</v>
      </c>
      <c r="E292" s="394" t="s">
        <v>738</v>
      </c>
      <c r="F292" s="394"/>
      <c r="G292" s="435">
        <f t="shared" si="22"/>
        <v>215.06</v>
      </c>
      <c r="H292" s="435">
        <f t="shared" si="22"/>
        <v>215.06</v>
      </c>
      <c r="I292" s="310"/>
      <c r="J292" s="302"/>
    </row>
    <row r="293" spans="1:10" ht="31.5" x14ac:dyDescent="0.25">
      <c r="A293" s="391" t="s">
        <v>191</v>
      </c>
      <c r="B293" s="454">
        <v>903</v>
      </c>
      <c r="C293" s="394" t="s">
        <v>139</v>
      </c>
      <c r="D293" s="394" t="s">
        <v>171</v>
      </c>
      <c r="E293" s="394" t="s">
        <v>738</v>
      </c>
      <c r="F293" s="394" t="s">
        <v>192</v>
      </c>
      <c r="G293" s="435">
        <f t="shared" si="22"/>
        <v>215.06</v>
      </c>
      <c r="H293" s="435">
        <f t="shared" si="22"/>
        <v>215.06</v>
      </c>
      <c r="I293" s="310"/>
      <c r="J293" s="302"/>
    </row>
    <row r="294" spans="1:10" ht="63" x14ac:dyDescent="0.25">
      <c r="A294" s="391" t="s">
        <v>641</v>
      </c>
      <c r="B294" s="454">
        <v>903</v>
      </c>
      <c r="C294" s="394" t="s">
        <v>139</v>
      </c>
      <c r="D294" s="394" t="s">
        <v>171</v>
      </c>
      <c r="E294" s="394" t="s">
        <v>738</v>
      </c>
      <c r="F294" s="394" t="s">
        <v>225</v>
      </c>
      <c r="G294" s="586">
        <f>200+15.06</f>
        <v>215.06</v>
      </c>
      <c r="H294" s="586">
        <f>200+15.06</f>
        <v>215.06</v>
      </c>
      <c r="I294" s="310" t="s">
        <v>1231</v>
      </c>
      <c r="J294" s="302"/>
    </row>
    <row r="295" spans="1:10" ht="21.2" hidden="1" customHeight="1" x14ac:dyDescent="0.25">
      <c r="A295" s="409" t="s">
        <v>556</v>
      </c>
      <c r="B295" s="453">
        <v>903</v>
      </c>
      <c r="C295" s="406" t="s">
        <v>139</v>
      </c>
      <c r="D295" s="406" t="s">
        <v>171</v>
      </c>
      <c r="E295" s="406" t="s">
        <v>822</v>
      </c>
      <c r="F295" s="406"/>
      <c r="G295" s="438">
        <f t="shared" ref="G295:H297" si="23">G296</f>
        <v>0</v>
      </c>
      <c r="H295" s="438">
        <f t="shared" si="23"/>
        <v>0</v>
      </c>
      <c r="I295" s="310"/>
      <c r="J295" s="302"/>
    </row>
    <row r="296" spans="1:10" ht="41.25" hidden="1" customHeight="1" x14ac:dyDescent="0.25">
      <c r="A296" s="391" t="s">
        <v>228</v>
      </c>
      <c r="B296" s="454">
        <v>903</v>
      </c>
      <c r="C296" s="394" t="s">
        <v>139</v>
      </c>
      <c r="D296" s="394" t="s">
        <v>171</v>
      </c>
      <c r="E296" s="394" t="s">
        <v>823</v>
      </c>
      <c r="F296" s="394"/>
      <c r="G296" s="435">
        <f t="shared" si="23"/>
        <v>0</v>
      </c>
      <c r="H296" s="435">
        <f t="shared" si="23"/>
        <v>0</v>
      </c>
      <c r="I296" s="310"/>
      <c r="J296" s="302"/>
    </row>
    <row r="297" spans="1:10" ht="29.25" hidden="1" customHeight="1" x14ac:dyDescent="0.25">
      <c r="A297" s="391" t="s">
        <v>123</v>
      </c>
      <c r="B297" s="454">
        <v>903</v>
      </c>
      <c r="C297" s="394" t="s">
        <v>139</v>
      </c>
      <c r="D297" s="394" t="s">
        <v>171</v>
      </c>
      <c r="E297" s="394" t="s">
        <v>823</v>
      </c>
      <c r="F297" s="394" t="s">
        <v>124</v>
      </c>
      <c r="G297" s="435">
        <f t="shared" si="23"/>
        <v>0</v>
      </c>
      <c r="H297" s="435">
        <f t="shared" si="23"/>
        <v>0</v>
      </c>
      <c r="I297" s="310"/>
      <c r="J297" s="302"/>
    </row>
    <row r="298" spans="1:10" ht="29.25" hidden="1" customHeight="1" x14ac:dyDescent="0.25">
      <c r="A298" s="391" t="s">
        <v>125</v>
      </c>
      <c r="B298" s="454">
        <v>903</v>
      </c>
      <c r="C298" s="394" t="s">
        <v>139</v>
      </c>
      <c r="D298" s="394" t="s">
        <v>171</v>
      </c>
      <c r="E298" s="394" t="s">
        <v>823</v>
      </c>
      <c r="F298" s="394" t="s">
        <v>126</v>
      </c>
      <c r="G298" s="435">
        <v>0</v>
      </c>
      <c r="H298" s="435">
        <v>0</v>
      </c>
      <c r="I298" s="310"/>
      <c r="J298" s="302"/>
    </row>
    <row r="299" spans="1:10" ht="33.75" hidden="1" customHeight="1" x14ac:dyDescent="0.25">
      <c r="A299" s="467" t="s">
        <v>654</v>
      </c>
      <c r="B299" s="453">
        <v>903</v>
      </c>
      <c r="C299" s="406" t="s">
        <v>139</v>
      </c>
      <c r="D299" s="406" t="s">
        <v>171</v>
      </c>
      <c r="E299" s="406" t="s">
        <v>739</v>
      </c>
      <c r="F299" s="406"/>
      <c r="G299" s="438">
        <f t="shared" ref="G299:H301" si="24">G300</f>
        <v>0</v>
      </c>
      <c r="H299" s="438">
        <f t="shared" si="24"/>
        <v>0</v>
      </c>
      <c r="I299" s="310"/>
      <c r="J299" s="302"/>
    </row>
    <row r="300" spans="1:10" ht="29.25" hidden="1" customHeight="1" x14ac:dyDescent="0.25">
      <c r="A300" s="479" t="s">
        <v>697</v>
      </c>
      <c r="B300" s="454">
        <v>903</v>
      </c>
      <c r="C300" s="394" t="s">
        <v>139</v>
      </c>
      <c r="D300" s="394" t="s">
        <v>171</v>
      </c>
      <c r="E300" s="394" t="s">
        <v>740</v>
      </c>
      <c r="F300" s="394"/>
      <c r="G300" s="435">
        <f t="shared" si="24"/>
        <v>0</v>
      </c>
      <c r="H300" s="435">
        <f t="shared" si="24"/>
        <v>0</v>
      </c>
      <c r="I300" s="310"/>
      <c r="J300" s="302"/>
    </row>
    <row r="301" spans="1:10" ht="29.25" hidden="1" customHeight="1" x14ac:dyDescent="0.25">
      <c r="A301" s="391" t="s">
        <v>123</v>
      </c>
      <c r="B301" s="454">
        <v>903</v>
      </c>
      <c r="C301" s="394" t="s">
        <v>139</v>
      </c>
      <c r="D301" s="394" t="s">
        <v>171</v>
      </c>
      <c r="E301" s="394" t="s">
        <v>740</v>
      </c>
      <c r="F301" s="394" t="s">
        <v>124</v>
      </c>
      <c r="G301" s="435">
        <f t="shared" si="24"/>
        <v>0</v>
      </c>
      <c r="H301" s="435">
        <f t="shared" si="24"/>
        <v>0</v>
      </c>
      <c r="I301" s="310"/>
      <c r="J301" s="302"/>
    </row>
    <row r="302" spans="1:10" ht="29.25" hidden="1" customHeight="1" x14ac:dyDescent="0.25">
      <c r="A302" s="391" t="s">
        <v>125</v>
      </c>
      <c r="B302" s="454">
        <v>903</v>
      </c>
      <c r="C302" s="394" t="s">
        <v>139</v>
      </c>
      <c r="D302" s="394" t="s">
        <v>171</v>
      </c>
      <c r="E302" s="394" t="s">
        <v>740</v>
      </c>
      <c r="F302" s="394" t="s">
        <v>126</v>
      </c>
      <c r="G302" s="435">
        <v>0</v>
      </c>
      <c r="H302" s="435">
        <v>0</v>
      </c>
      <c r="I302" s="310"/>
      <c r="J302" s="302"/>
    </row>
    <row r="303" spans="1:10" ht="15.75" x14ac:dyDescent="0.25">
      <c r="A303" s="409" t="s">
        <v>186</v>
      </c>
      <c r="B303" s="453">
        <v>903</v>
      </c>
      <c r="C303" s="406" t="s">
        <v>187</v>
      </c>
      <c r="D303" s="394"/>
      <c r="E303" s="394"/>
      <c r="F303" s="394"/>
      <c r="G303" s="438">
        <f>G304+G347+G367</f>
        <v>21757.1</v>
      </c>
      <c r="H303" s="438">
        <f>H304+H347+H367</f>
        <v>21757.1</v>
      </c>
      <c r="I303" s="310"/>
      <c r="J303" s="302"/>
    </row>
    <row r="304" spans="1:10" ht="15.75" x14ac:dyDescent="0.25">
      <c r="A304" s="409" t="s">
        <v>188</v>
      </c>
      <c r="B304" s="453">
        <v>903</v>
      </c>
      <c r="C304" s="406" t="s">
        <v>187</v>
      </c>
      <c r="D304" s="406" t="s">
        <v>159</v>
      </c>
      <c r="E304" s="406"/>
      <c r="F304" s="406"/>
      <c r="G304" s="438">
        <f>G305+G342+G337</f>
        <v>20997</v>
      </c>
      <c r="H304" s="438">
        <f>H305+H342+H337</f>
        <v>20997</v>
      </c>
      <c r="I304" s="310"/>
      <c r="J304" s="302"/>
    </row>
    <row r="305" spans="1:10" ht="31.5" x14ac:dyDescent="0.25">
      <c r="A305" s="409" t="s">
        <v>855</v>
      </c>
      <c r="B305" s="453">
        <v>903</v>
      </c>
      <c r="C305" s="406" t="s">
        <v>187</v>
      </c>
      <c r="D305" s="406" t="s">
        <v>159</v>
      </c>
      <c r="E305" s="406" t="s">
        <v>189</v>
      </c>
      <c r="F305" s="406"/>
      <c r="G305" s="438">
        <f>G306+G317+G326+G330</f>
        <v>20500.099999999999</v>
      </c>
      <c r="H305" s="438">
        <f>H306+H317+H326+H330</f>
        <v>20500.099999999999</v>
      </c>
      <c r="I305" s="310"/>
      <c r="J305" s="302"/>
    </row>
    <row r="306" spans="1:10" ht="31.5" x14ac:dyDescent="0.25">
      <c r="A306" s="409" t="s">
        <v>815</v>
      </c>
      <c r="B306" s="453">
        <v>903</v>
      </c>
      <c r="C306" s="406" t="s">
        <v>187</v>
      </c>
      <c r="D306" s="406" t="s">
        <v>159</v>
      </c>
      <c r="E306" s="406" t="s">
        <v>741</v>
      </c>
      <c r="F306" s="406"/>
      <c r="G306" s="442">
        <f>G307+G314</f>
        <v>19489.8</v>
      </c>
      <c r="H306" s="442">
        <f>H307+H314</f>
        <v>19489.8</v>
      </c>
      <c r="I306" s="310"/>
      <c r="J306" s="302"/>
    </row>
    <row r="307" spans="1:10" ht="15.75" x14ac:dyDescent="0.25">
      <c r="A307" s="391" t="s">
        <v>376</v>
      </c>
      <c r="B307" s="454">
        <v>903</v>
      </c>
      <c r="C307" s="394" t="s">
        <v>187</v>
      </c>
      <c r="D307" s="394" t="s">
        <v>159</v>
      </c>
      <c r="E307" s="394" t="s">
        <v>742</v>
      </c>
      <c r="F307" s="394"/>
      <c r="G307" s="436">
        <f>G308+G310+G312</f>
        <v>19489.8</v>
      </c>
      <c r="H307" s="436">
        <f>H308+H310+H312</f>
        <v>19489.8</v>
      </c>
      <c r="I307" s="310"/>
      <c r="J307" s="302"/>
    </row>
    <row r="308" spans="1:10" ht="63" x14ac:dyDescent="0.25">
      <c r="A308" s="391" t="s">
        <v>119</v>
      </c>
      <c r="B308" s="454">
        <v>903</v>
      </c>
      <c r="C308" s="394" t="s">
        <v>187</v>
      </c>
      <c r="D308" s="394" t="s">
        <v>159</v>
      </c>
      <c r="E308" s="394" t="s">
        <v>742</v>
      </c>
      <c r="F308" s="394" t="s">
        <v>120</v>
      </c>
      <c r="G308" s="436">
        <f>G309</f>
        <v>17566.099999999999</v>
      </c>
      <c r="H308" s="436">
        <f>H309</f>
        <v>17566.099999999999</v>
      </c>
      <c r="I308" s="310"/>
      <c r="J308" s="302"/>
    </row>
    <row r="309" spans="1:10" ht="15.75" x14ac:dyDescent="0.25">
      <c r="A309" s="480" t="s">
        <v>212</v>
      </c>
      <c r="B309" s="454">
        <v>903</v>
      </c>
      <c r="C309" s="394" t="s">
        <v>187</v>
      </c>
      <c r="D309" s="394" t="s">
        <v>159</v>
      </c>
      <c r="E309" s="394" t="s">
        <v>742</v>
      </c>
      <c r="F309" s="394" t="s">
        <v>156</v>
      </c>
      <c r="G309" s="436">
        <v>17566.099999999999</v>
      </c>
      <c r="H309" s="436">
        <f>G309</f>
        <v>17566.099999999999</v>
      </c>
      <c r="I309" s="310"/>
      <c r="J309" s="302"/>
    </row>
    <row r="310" spans="1:10" ht="31.5" x14ac:dyDescent="0.25">
      <c r="A310" s="391" t="s">
        <v>123</v>
      </c>
      <c r="B310" s="454">
        <v>903</v>
      </c>
      <c r="C310" s="394" t="s">
        <v>187</v>
      </c>
      <c r="D310" s="394" t="s">
        <v>159</v>
      </c>
      <c r="E310" s="394" t="s">
        <v>742</v>
      </c>
      <c r="F310" s="394" t="s">
        <v>124</v>
      </c>
      <c r="G310" s="436">
        <f>G311</f>
        <v>1850.7</v>
      </c>
      <c r="H310" s="436">
        <f>H311</f>
        <v>1850.7</v>
      </c>
      <c r="I310" s="310"/>
      <c r="J310" s="302"/>
    </row>
    <row r="311" spans="1:10" ht="31.5" x14ac:dyDescent="0.25">
      <c r="A311" s="391" t="s">
        <v>125</v>
      </c>
      <c r="B311" s="454">
        <v>903</v>
      </c>
      <c r="C311" s="394" t="s">
        <v>187</v>
      </c>
      <c r="D311" s="394" t="s">
        <v>159</v>
      </c>
      <c r="E311" s="394" t="s">
        <v>742</v>
      </c>
      <c r="F311" s="394" t="s">
        <v>126</v>
      </c>
      <c r="G311" s="436">
        <v>1850.7</v>
      </c>
      <c r="H311" s="436">
        <v>1850.7</v>
      </c>
      <c r="I311" s="310"/>
      <c r="J311" s="302"/>
    </row>
    <row r="312" spans="1:10" ht="15.75" x14ac:dyDescent="0.25">
      <c r="A312" s="391" t="s">
        <v>127</v>
      </c>
      <c r="B312" s="454">
        <v>903</v>
      </c>
      <c r="C312" s="394" t="s">
        <v>187</v>
      </c>
      <c r="D312" s="394" t="s">
        <v>159</v>
      </c>
      <c r="E312" s="394" t="s">
        <v>742</v>
      </c>
      <c r="F312" s="394" t="s">
        <v>134</v>
      </c>
      <c r="G312" s="436">
        <f>G313</f>
        <v>73</v>
      </c>
      <c r="H312" s="436">
        <f>H313</f>
        <v>73</v>
      </c>
      <c r="I312" s="310"/>
      <c r="J312" s="302"/>
    </row>
    <row r="313" spans="1:10" ht="15.75" x14ac:dyDescent="0.25">
      <c r="A313" s="391" t="s">
        <v>338</v>
      </c>
      <c r="B313" s="454">
        <v>903</v>
      </c>
      <c r="C313" s="394" t="s">
        <v>187</v>
      </c>
      <c r="D313" s="394" t="s">
        <v>159</v>
      </c>
      <c r="E313" s="394" t="s">
        <v>742</v>
      </c>
      <c r="F313" s="394" t="s">
        <v>130</v>
      </c>
      <c r="G313" s="436">
        <v>73</v>
      </c>
      <c r="H313" s="436">
        <v>73</v>
      </c>
      <c r="I313" s="310"/>
      <c r="J313" s="302"/>
    </row>
    <row r="314" spans="1:10" ht="22.7" hidden="1" customHeight="1" x14ac:dyDescent="0.25">
      <c r="A314" s="393" t="s">
        <v>974</v>
      </c>
      <c r="B314" s="454">
        <v>903</v>
      </c>
      <c r="C314" s="394" t="s">
        <v>187</v>
      </c>
      <c r="D314" s="394" t="s">
        <v>159</v>
      </c>
      <c r="E314" s="394" t="s">
        <v>965</v>
      </c>
      <c r="F314" s="394"/>
      <c r="G314" s="435">
        <f>G315</f>
        <v>0</v>
      </c>
      <c r="H314" s="435">
        <f>H315</f>
        <v>0</v>
      </c>
      <c r="I314" s="310"/>
      <c r="J314" s="302"/>
    </row>
    <row r="315" spans="1:10" ht="63" hidden="1" x14ac:dyDescent="0.25">
      <c r="A315" s="391" t="s">
        <v>119</v>
      </c>
      <c r="B315" s="454">
        <v>903</v>
      </c>
      <c r="C315" s="394" t="s">
        <v>187</v>
      </c>
      <c r="D315" s="394" t="s">
        <v>159</v>
      </c>
      <c r="E315" s="394" t="s">
        <v>965</v>
      </c>
      <c r="F315" s="394" t="s">
        <v>120</v>
      </c>
      <c r="G315" s="435">
        <f>G316</f>
        <v>0</v>
      </c>
      <c r="H315" s="435">
        <f>H316</f>
        <v>0</v>
      </c>
      <c r="I315" s="310"/>
      <c r="J315" s="302"/>
    </row>
    <row r="316" spans="1:10" ht="15.75" hidden="1" x14ac:dyDescent="0.25">
      <c r="A316" s="391" t="s">
        <v>155</v>
      </c>
      <c r="B316" s="454">
        <v>903</v>
      </c>
      <c r="C316" s="394" t="s">
        <v>187</v>
      </c>
      <c r="D316" s="394" t="s">
        <v>159</v>
      </c>
      <c r="E316" s="394" t="s">
        <v>965</v>
      </c>
      <c r="F316" s="394" t="s">
        <v>156</v>
      </c>
      <c r="G316" s="435"/>
      <c r="H316" s="435"/>
      <c r="I316" s="310"/>
      <c r="J316" s="302"/>
    </row>
    <row r="317" spans="1:10" ht="29.25" customHeight="1" x14ac:dyDescent="0.25">
      <c r="A317" s="455" t="s">
        <v>818</v>
      </c>
      <c r="B317" s="453">
        <v>903</v>
      </c>
      <c r="C317" s="406" t="s">
        <v>187</v>
      </c>
      <c r="D317" s="406" t="s">
        <v>159</v>
      </c>
      <c r="E317" s="406" t="s">
        <v>743</v>
      </c>
      <c r="F317" s="406"/>
      <c r="G317" s="442">
        <f>G318+G321</f>
        <v>292</v>
      </c>
      <c r="H317" s="442">
        <f>H318+H321</f>
        <v>292</v>
      </c>
      <c r="I317" s="310"/>
      <c r="J317" s="302"/>
    </row>
    <row r="318" spans="1:10" ht="15.75" x14ac:dyDescent="0.25">
      <c r="A318" s="481" t="s">
        <v>375</v>
      </c>
      <c r="B318" s="454">
        <v>903</v>
      </c>
      <c r="C318" s="394" t="s">
        <v>187</v>
      </c>
      <c r="D318" s="394" t="s">
        <v>159</v>
      </c>
      <c r="E318" s="394" t="s">
        <v>744</v>
      </c>
      <c r="F318" s="394"/>
      <c r="G318" s="436">
        <f>G319</f>
        <v>42</v>
      </c>
      <c r="H318" s="436">
        <f>H319</f>
        <v>42</v>
      </c>
      <c r="I318" s="310"/>
      <c r="J318" s="302"/>
    </row>
    <row r="319" spans="1:10" ht="15.75" x14ac:dyDescent="0.25">
      <c r="A319" s="391" t="s">
        <v>177</v>
      </c>
      <c r="B319" s="454">
        <v>903</v>
      </c>
      <c r="C319" s="394" t="s">
        <v>187</v>
      </c>
      <c r="D319" s="394" t="s">
        <v>159</v>
      </c>
      <c r="E319" s="394" t="s">
        <v>744</v>
      </c>
      <c r="F319" s="394" t="s">
        <v>178</v>
      </c>
      <c r="G319" s="436">
        <f>G320</f>
        <v>42</v>
      </c>
      <c r="H319" s="436">
        <f>H320</f>
        <v>42</v>
      </c>
      <c r="I319" s="310"/>
      <c r="J319" s="302"/>
    </row>
    <row r="320" spans="1:10" ht="15.75" x14ac:dyDescent="0.25">
      <c r="A320" s="391" t="s">
        <v>396</v>
      </c>
      <c r="B320" s="454">
        <v>903</v>
      </c>
      <c r="C320" s="394" t="s">
        <v>187</v>
      </c>
      <c r="D320" s="394" t="s">
        <v>159</v>
      </c>
      <c r="E320" s="394" t="s">
        <v>744</v>
      </c>
      <c r="F320" s="394" t="s">
        <v>395</v>
      </c>
      <c r="G320" s="436">
        <v>42</v>
      </c>
      <c r="H320" s="436">
        <v>42</v>
      </c>
      <c r="I320" s="310"/>
      <c r="J320" s="302"/>
    </row>
    <row r="321" spans="1:10" ht="36" customHeight="1" x14ac:dyDescent="0.25">
      <c r="A321" s="393" t="s">
        <v>392</v>
      </c>
      <c r="B321" s="454">
        <v>903</v>
      </c>
      <c r="C321" s="394" t="s">
        <v>187</v>
      </c>
      <c r="D321" s="394" t="s">
        <v>159</v>
      </c>
      <c r="E321" s="394" t="s">
        <v>745</v>
      </c>
      <c r="F321" s="394"/>
      <c r="G321" s="436">
        <f>G324+G322</f>
        <v>250</v>
      </c>
      <c r="H321" s="436">
        <f>H324+H322</f>
        <v>250</v>
      </c>
      <c r="I321" s="310"/>
      <c r="J321" s="302"/>
    </row>
    <row r="322" spans="1:10" ht="63" x14ac:dyDescent="0.25">
      <c r="A322" s="391" t="s">
        <v>119</v>
      </c>
      <c r="B322" s="454">
        <v>903</v>
      </c>
      <c r="C322" s="394" t="s">
        <v>187</v>
      </c>
      <c r="D322" s="394" t="s">
        <v>159</v>
      </c>
      <c r="E322" s="394" t="s">
        <v>745</v>
      </c>
      <c r="F322" s="394" t="s">
        <v>120</v>
      </c>
      <c r="G322" s="436">
        <f>G323</f>
        <v>250</v>
      </c>
      <c r="H322" s="436">
        <f>H323</f>
        <v>250</v>
      </c>
      <c r="I322" s="310"/>
      <c r="J322" s="302"/>
    </row>
    <row r="323" spans="1:10" ht="24.75" customHeight="1" x14ac:dyDescent="0.25">
      <c r="A323" s="480" t="s">
        <v>212</v>
      </c>
      <c r="B323" s="454">
        <v>903</v>
      </c>
      <c r="C323" s="394" t="s">
        <v>187</v>
      </c>
      <c r="D323" s="394" t="s">
        <v>159</v>
      </c>
      <c r="E323" s="394" t="s">
        <v>745</v>
      </c>
      <c r="F323" s="394" t="s">
        <v>156</v>
      </c>
      <c r="G323" s="436">
        <v>250</v>
      </c>
      <c r="H323" s="436">
        <v>250</v>
      </c>
      <c r="I323" s="310"/>
      <c r="J323" s="302"/>
    </row>
    <row r="324" spans="1:10" ht="30.75" hidden="1" customHeight="1" x14ac:dyDescent="0.25">
      <c r="A324" s="391" t="s">
        <v>123</v>
      </c>
      <c r="B324" s="454">
        <v>903</v>
      </c>
      <c r="C324" s="394" t="s">
        <v>187</v>
      </c>
      <c r="D324" s="394" t="s">
        <v>159</v>
      </c>
      <c r="E324" s="394" t="s">
        <v>745</v>
      </c>
      <c r="F324" s="394" t="s">
        <v>124</v>
      </c>
      <c r="G324" s="436">
        <f>G325</f>
        <v>0</v>
      </c>
      <c r="H324" s="436">
        <f>H325</f>
        <v>0</v>
      </c>
      <c r="I324" s="310"/>
      <c r="J324" s="302"/>
    </row>
    <row r="325" spans="1:10" ht="39.200000000000003" hidden="1" customHeight="1" x14ac:dyDescent="0.25">
      <c r="A325" s="391" t="s">
        <v>125</v>
      </c>
      <c r="B325" s="454">
        <v>903</v>
      </c>
      <c r="C325" s="394" t="s">
        <v>187</v>
      </c>
      <c r="D325" s="394" t="s">
        <v>159</v>
      </c>
      <c r="E325" s="394" t="s">
        <v>745</v>
      </c>
      <c r="F325" s="394" t="s">
        <v>126</v>
      </c>
      <c r="G325" s="436"/>
      <c r="H325" s="436"/>
      <c r="I325" s="310"/>
      <c r="J325" s="302"/>
    </row>
    <row r="326" spans="1:10" ht="39.200000000000003" customHeight="1" x14ac:dyDescent="0.25">
      <c r="A326" s="409" t="s">
        <v>512</v>
      </c>
      <c r="B326" s="453">
        <v>903</v>
      </c>
      <c r="C326" s="406" t="s">
        <v>187</v>
      </c>
      <c r="D326" s="406" t="s">
        <v>159</v>
      </c>
      <c r="E326" s="406" t="s">
        <v>746</v>
      </c>
      <c r="F326" s="406"/>
      <c r="G326" s="442">
        <f t="shared" ref="G326:H328" si="25">G327</f>
        <v>473</v>
      </c>
      <c r="H326" s="442">
        <f t="shared" si="25"/>
        <v>473</v>
      </c>
      <c r="I326" s="310"/>
      <c r="J326" s="302"/>
    </row>
    <row r="327" spans="1:10" ht="39.200000000000003" customHeight="1" x14ac:dyDescent="0.25">
      <c r="A327" s="391" t="s">
        <v>414</v>
      </c>
      <c r="B327" s="454">
        <v>903</v>
      </c>
      <c r="C327" s="394" t="s">
        <v>187</v>
      </c>
      <c r="D327" s="394" t="s">
        <v>159</v>
      </c>
      <c r="E327" s="394" t="s">
        <v>747</v>
      </c>
      <c r="F327" s="394"/>
      <c r="G327" s="435">
        <f t="shared" si="25"/>
        <v>473</v>
      </c>
      <c r="H327" s="435">
        <f t="shared" si="25"/>
        <v>473</v>
      </c>
      <c r="I327" s="310"/>
      <c r="J327" s="302"/>
    </row>
    <row r="328" spans="1:10" ht="70.5" customHeight="1" x14ac:dyDescent="0.25">
      <c r="A328" s="391" t="s">
        <v>119</v>
      </c>
      <c r="B328" s="454">
        <v>903</v>
      </c>
      <c r="C328" s="394" t="s">
        <v>187</v>
      </c>
      <c r="D328" s="394" t="s">
        <v>159</v>
      </c>
      <c r="E328" s="394" t="s">
        <v>747</v>
      </c>
      <c r="F328" s="394" t="s">
        <v>120</v>
      </c>
      <c r="G328" s="435">
        <f t="shared" si="25"/>
        <v>473</v>
      </c>
      <c r="H328" s="435">
        <f t="shared" si="25"/>
        <v>473</v>
      </c>
      <c r="I328" s="310"/>
      <c r="J328" s="302"/>
    </row>
    <row r="329" spans="1:10" ht="19.7" customHeight="1" x14ac:dyDescent="0.25">
      <c r="A329" s="391" t="s">
        <v>212</v>
      </c>
      <c r="B329" s="454">
        <v>903</v>
      </c>
      <c r="C329" s="394" t="s">
        <v>187</v>
      </c>
      <c r="D329" s="394" t="s">
        <v>159</v>
      </c>
      <c r="E329" s="394" t="s">
        <v>747</v>
      </c>
      <c r="F329" s="394" t="s">
        <v>156</v>
      </c>
      <c r="G329" s="435">
        <v>473</v>
      </c>
      <c r="H329" s="435">
        <v>473</v>
      </c>
      <c r="I329" s="310"/>
      <c r="J329" s="302"/>
    </row>
    <row r="330" spans="1:10" ht="39.200000000000003" customHeight="1" x14ac:dyDescent="0.25">
      <c r="A330" s="409" t="s">
        <v>469</v>
      </c>
      <c r="B330" s="453">
        <v>903</v>
      </c>
      <c r="C330" s="406" t="s">
        <v>187</v>
      </c>
      <c r="D330" s="406" t="s">
        <v>159</v>
      </c>
      <c r="E330" s="406" t="s">
        <v>748</v>
      </c>
      <c r="F330" s="406"/>
      <c r="G330" s="442">
        <f>G331+G334</f>
        <v>245.29999999999998</v>
      </c>
      <c r="H330" s="442">
        <f>H331+H334</f>
        <v>245.29999999999998</v>
      </c>
      <c r="I330" s="310"/>
      <c r="J330" s="302"/>
    </row>
    <row r="331" spans="1:10" ht="85.7" customHeight="1" x14ac:dyDescent="0.25">
      <c r="A331" s="393" t="s">
        <v>200</v>
      </c>
      <c r="B331" s="454">
        <v>903</v>
      </c>
      <c r="C331" s="394" t="s">
        <v>187</v>
      </c>
      <c r="D331" s="394" t="s">
        <v>159</v>
      </c>
      <c r="E331" s="394" t="s">
        <v>898</v>
      </c>
      <c r="F331" s="394"/>
      <c r="G331" s="435">
        <f>G332</f>
        <v>0</v>
      </c>
      <c r="H331" s="435">
        <f>H332</f>
        <v>0</v>
      </c>
      <c r="I331" s="310"/>
      <c r="J331" s="302"/>
    </row>
    <row r="332" spans="1:10" ht="61.15" customHeight="1" x14ac:dyDescent="0.25">
      <c r="A332" s="391" t="s">
        <v>119</v>
      </c>
      <c r="B332" s="454">
        <v>903</v>
      </c>
      <c r="C332" s="394" t="s">
        <v>187</v>
      </c>
      <c r="D332" s="394" t="s">
        <v>159</v>
      </c>
      <c r="E332" s="394" t="s">
        <v>898</v>
      </c>
      <c r="F332" s="394" t="s">
        <v>120</v>
      </c>
      <c r="G332" s="435">
        <f>G333</f>
        <v>0</v>
      </c>
      <c r="H332" s="435">
        <f>H333</f>
        <v>0</v>
      </c>
      <c r="I332" s="310"/>
      <c r="J332" s="302"/>
    </row>
    <row r="333" spans="1:10" ht="19.149999999999999" customHeight="1" x14ac:dyDescent="0.25">
      <c r="A333" s="480" t="s">
        <v>212</v>
      </c>
      <c r="B333" s="454">
        <v>903</v>
      </c>
      <c r="C333" s="394" t="s">
        <v>187</v>
      </c>
      <c r="D333" s="394" t="s">
        <v>159</v>
      </c>
      <c r="E333" s="394" t="s">
        <v>898</v>
      </c>
      <c r="F333" s="394" t="s">
        <v>156</v>
      </c>
      <c r="G333" s="586">
        <f>511-511</f>
        <v>0</v>
      </c>
      <c r="H333" s="586">
        <f>511-511</f>
        <v>0</v>
      </c>
      <c r="I333" s="310" t="s">
        <v>1268</v>
      </c>
      <c r="J333" s="302"/>
    </row>
    <row r="334" spans="1:10" ht="31.5" x14ac:dyDescent="0.25">
      <c r="A334" s="391" t="s">
        <v>1165</v>
      </c>
      <c r="B334" s="454">
        <v>903</v>
      </c>
      <c r="C334" s="394" t="s">
        <v>187</v>
      </c>
      <c r="D334" s="394" t="s">
        <v>159</v>
      </c>
      <c r="E334" s="394" t="s">
        <v>1167</v>
      </c>
      <c r="F334" s="394"/>
      <c r="G334" s="435">
        <f>G335</f>
        <v>245.29999999999998</v>
      </c>
      <c r="H334" s="435">
        <f>H335</f>
        <v>245.29999999999998</v>
      </c>
      <c r="I334" s="310"/>
      <c r="J334" s="302"/>
    </row>
    <row r="335" spans="1:10" ht="69.75" customHeight="1" x14ac:dyDescent="0.25">
      <c r="A335" s="391" t="s">
        <v>119</v>
      </c>
      <c r="B335" s="454">
        <v>903</v>
      </c>
      <c r="C335" s="394" t="s">
        <v>187</v>
      </c>
      <c r="D335" s="394" t="s">
        <v>159</v>
      </c>
      <c r="E335" s="394" t="s">
        <v>1167</v>
      </c>
      <c r="F335" s="394" t="s">
        <v>120</v>
      </c>
      <c r="G335" s="435">
        <f>G336</f>
        <v>245.29999999999998</v>
      </c>
      <c r="H335" s="435">
        <f>H336</f>
        <v>245.29999999999998</v>
      </c>
      <c r="I335" s="310"/>
      <c r="J335" s="302"/>
    </row>
    <row r="336" spans="1:10" ht="21.2" customHeight="1" x14ac:dyDescent="0.25">
      <c r="A336" s="480" t="s">
        <v>212</v>
      </c>
      <c r="B336" s="454">
        <v>903</v>
      </c>
      <c r="C336" s="394" t="s">
        <v>187</v>
      </c>
      <c r="D336" s="394" t="s">
        <v>159</v>
      </c>
      <c r="E336" s="394" t="s">
        <v>1167</v>
      </c>
      <c r="F336" s="394" t="s">
        <v>156</v>
      </c>
      <c r="G336" s="586">
        <f>404.4-159.1</f>
        <v>245.29999999999998</v>
      </c>
      <c r="H336" s="586">
        <f>404.4-159.1</f>
        <v>245.29999999999998</v>
      </c>
      <c r="I336" s="310" t="s">
        <v>1265</v>
      </c>
      <c r="J336" s="302"/>
    </row>
    <row r="337" spans="1:10" ht="50.25" customHeight="1" x14ac:dyDescent="0.25">
      <c r="A337" s="405" t="s">
        <v>860</v>
      </c>
      <c r="B337" s="453">
        <v>903</v>
      </c>
      <c r="C337" s="406" t="s">
        <v>187</v>
      </c>
      <c r="D337" s="406" t="s">
        <v>159</v>
      </c>
      <c r="E337" s="406" t="s">
        <v>206</v>
      </c>
      <c r="F337" s="406"/>
      <c r="G337" s="438">
        <f>G339</f>
        <v>6</v>
      </c>
      <c r="H337" s="438">
        <f>H339</f>
        <v>6</v>
      </c>
      <c r="I337" s="310"/>
      <c r="J337" s="302"/>
    </row>
    <row r="338" spans="1:10" ht="49.7" customHeight="1" x14ac:dyDescent="0.25">
      <c r="A338" s="405" t="s">
        <v>586</v>
      </c>
      <c r="B338" s="453">
        <v>903</v>
      </c>
      <c r="C338" s="406" t="s">
        <v>187</v>
      </c>
      <c r="D338" s="406" t="s">
        <v>159</v>
      </c>
      <c r="E338" s="406" t="s">
        <v>502</v>
      </c>
      <c r="F338" s="406"/>
      <c r="G338" s="438">
        <f>G341</f>
        <v>6</v>
      </c>
      <c r="H338" s="438">
        <f>H341</f>
        <v>6</v>
      </c>
      <c r="I338" s="310"/>
      <c r="J338" s="302"/>
    </row>
    <row r="339" spans="1:10" ht="48.2" customHeight="1" x14ac:dyDescent="0.25">
      <c r="A339" s="393" t="s">
        <v>632</v>
      </c>
      <c r="B339" s="454">
        <v>903</v>
      </c>
      <c r="C339" s="394" t="s">
        <v>187</v>
      </c>
      <c r="D339" s="394" t="s">
        <v>159</v>
      </c>
      <c r="E339" s="394" t="s">
        <v>587</v>
      </c>
      <c r="F339" s="394"/>
      <c r="G339" s="435">
        <f>G340</f>
        <v>6</v>
      </c>
      <c r="H339" s="435">
        <f>H340</f>
        <v>6</v>
      </c>
      <c r="I339" s="310"/>
      <c r="J339" s="302"/>
    </row>
    <row r="340" spans="1:10" ht="31.9" customHeight="1" x14ac:dyDescent="0.25">
      <c r="A340" s="391" t="s">
        <v>123</v>
      </c>
      <c r="B340" s="454">
        <v>903</v>
      </c>
      <c r="C340" s="394" t="s">
        <v>187</v>
      </c>
      <c r="D340" s="394" t="s">
        <v>159</v>
      </c>
      <c r="E340" s="394" t="s">
        <v>587</v>
      </c>
      <c r="F340" s="394" t="s">
        <v>124</v>
      </c>
      <c r="G340" s="435">
        <f>G341</f>
        <v>6</v>
      </c>
      <c r="H340" s="435">
        <f>H341</f>
        <v>6</v>
      </c>
      <c r="I340" s="310"/>
      <c r="J340" s="302"/>
    </row>
    <row r="341" spans="1:10" ht="34.700000000000003" customHeight="1" x14ac:dyDescent="0.25">
      <c r="A341" s="391" t="s">
        <v>125</v>
      </c>
      <c r="B341" s="454">
        <v>903</v>
      </c>
      <c r="C341" s="394" t="s">
        <v>187</v>
      </c>
      <c r="D341" s="394" t="s">
        <v>159</v>
      </c>
      <c r="E341" s="394" t="s">
        <v>587</v>
      </c>
      <c r="F341" s="394" t="s">
        <v>126</v>
      </c>
      <c r="G341" s="435">
        <v>6</v>
      </c>
      <c r="H341" s="435">
        <v>6</v>
      </c>
      <c r="I341" s="310"/>
      <c r="J341" s="302"/>
    </row>
    <row r="342" spans="1:10" ht="51" customHeight="1" x14ac:dyDescent="0.25">
      <c r="A342" s="462" t="s">
        <v>856</v>
      </c>
      <c r="B342" s="453">
        <v>903</v>
      </c>
      <c r="C342" s="406" t="s">
        <v>187</v>
      </c>
      <c r="D342" s="406" t="s">
        <v>159</v>
      </c>
      <c r="E342" s="406" t="s">
        <v>339</v>
      </c>
      <c r="F342" s="406"/>
      <c r="G342" s="438">
        <f>G344</f>
        <v>490.9</v>
      </c>
      <c r="H342" s="438">
        <f>H344</f>
        <v>490.9</v>
      </c>
      <c r="I342" s="310"/>
      <c r="J342" s="302"/>
    </row>
    <row r="343" spans="1:10" ht="48.75" customHeight="1" x14ac:dyDescent="0.25">
      <c r="A343" s="462" t="s">
        <v>461</v>
      </c>
      <c r="B343" s="453">
        <v>903</v>
      </c>
      <c r="C343" s="406" t="s">
        <v>187</v>
      </c>
      <c r="D343" s="406" t="s">
        <v>159</v>
      </c>
      <c r="E343" s="406" t="s">
        <v>459</v>
      </c>
      <c r="F343" s="406"/>
      <c r="G343" s="438">
        <f t="shared" ref="G343:H345" si="26">G344</f>
        <v>490.9</v>
      </c>
      <c r="H343" s="438">
        <f t="shared" si="26"/>
        <v>490.9</v>
      </c>
      <c r="I343" s="310"/>
      <c r="J343" s="302"/>
    </row>
    <row r="344" spans="1:10" ht="32.25" customHeight="1" x14ac:dyDescent="0.25">
      <c r="A344" s="465" t="s">
        <v>565</v>
      </c>
      <c r="B344" s="394" t="s">
        <v>305</v>
      </c>
      <c r="C344" s="394" t="s">
        <v>187</v>
      </c>
      <c r="D344" s="394" t="s">
        <v>159</v>
      </c>
      <c r="E344" s="394" t="s">
        <v>460</v>
      </c>
      <c r="F344" s="466"/>
      <c r="G344" s="435">
        <f t="shared" si="26"/>
        <v>490.9</v>
      </c>
      <c r="H344" s="435">
        <f t="shared" si="26"/>
        <v>490.9</v>
      </c>
      <c r="I344" s="310"/>
      <c r="J344" s="302"/>
    </row>
    <row r="345" spans="1:10" ht="33" customHeight="1" x14ac:dyDescent="0.25">
      <c r="A345" s="391" t="s">
        <v>123</v>
      </c>
      <c r="B345" s="454">
        <v>903</v>
      </c>
      <c r="C345" s="394" t="s">
        <v>187</v>
      </c>
      <c r="D345" s="394" t="s">
        <v>159</v>
      </c>
      <c r="E345" s="394" t="s">
        <v>460</v>
      </c>
      <c r="F345" s="466" t="s">
        <v>124</v>
      </c>
      <c r="G345" s="435">
        <f t="shared" si="26"/>
        <v>490.9</v>
      </c>
      <c r="H345" s="435">
        <f t="shared" si="26"/>
        <v>490.9</v>
      </c>
      <c r="I345" s="310"/>
      <c r="J345" s="302"/>
    </row>
    <row r="346" spans="1:10" ht="34.5" customHeight="1" x14ac:dyDescent="0.25">
      <c r="A346" s="391" t="s">
        <v>125</v>
      </c>
      <c r="B346" s="454">
        <v>903</v>
      </c>
      <c r="C346" s="394" t="s">
        <v>187</v>
      </c>
      <c r="D346" s="394" t="s">
        <v>159</v>
      </c>
      <c r="E346" s="394" t="s">
        <v>460</v>
      </c>
      <c r="F346" s="466" t="s">
        <v>126</v>
      </c>
      <c r="G346" s="435">
        <v>490.9</v>
      </c>
      <c r="H346" s="435">
        <v>490.9</v>
      </c>
      <c r="I346" s="310"/>
      <c r="J346" s="310"/>
    </row>
    <row r="347" spans="1:10" ht="19.5" customHeight="1" x14ac:dyDescent="0.25">
      <c r="A347" s="409" t="s">
        <v>246</v>
      </c>
      <c r="B347" s="453">
        <v>903</v>
      </c>
      <c r="C347" s="406" t="s">
        <v>187</v>
      </c>
      <c r="D347" s="406" t="s">
        <v>187</v>
      </c>
      <c r="E347" s="394"/>
      <c r="F347" s="394"/>
      <c r="G347" s="438">
        <f>G348</f>
        <v>760.1</v>
      </c>
      <c r="H347" s="438">
        <f>H348</f>
        <v>760.1</v>
      </c>
      <c r="I347" s="310"/>
      <c r="J347" s="302"/>
    </row>
    <row r="348" spans="1:10" ht="50.25" customHeight="1" x14ac:dyDescent="0.25">
      <c r="A348" s="409" t="s">
        <v>851</v>
      </c>
      <c r="B348" s="453">
        <v>903</v>
      </c>
      <c r="C348" s="406" t="s">
        <v>187</v>
      </c>
      <c r="D348" s="406" t="s">
        <v>187</v>
      </c>
      <c r="E348" s="406" t="s">
        <v>213</v>
      </c>
      <c r="F348" s="406"/>
      <c r="G348" s="438">
        <f>G349</f>
        <v>760.1</v>
      </c>
      <c r="H348" s="438">
        <f>H349</f>
        <v>760.1</v>
      </c>
      <c r="I348" s="310"/>
      <c r="J348" s="302"/>
    </row>
    <row r="349" spans="1:10" ht="32.25" customHeight="1" x14ac:dyDescent="0.25">
      <c r="A349" s="409" t="s">
        <v>214</v>
      </c>
      <c r="B349" s="453">
        <v>903</v>
      </c>
      <c r="C349" s="406" t="s">
        <v>187</v>
      </c>
      <c r="D349" s="406" t="s">
        <v>187</v>
      </c>
      <c r="E349" s="406" t="s">
        <v>215</v>
      </c>
      <c r="F349" s="406"/>
      <c r="G349" s="438">
        <f>G350+G357+G363</f>
        <v>760.1</v>
      </c>
      <c r="H349" s="438">
        <f>H350+H357+H363</f>
        <v>760.1</v>
      </c>
      <c r="I349" s="310"/>
      <c r="J349" s="302"/>
    </row>
    <row r="350" spans="1:10" ht="48.75" customHeight="1" x14ac:dyDescent="0.25">
      <c r="A350" s="464" t="s">
        <v>589</v>
      </c>
      <c r="B350" s="453">
        <v>903</v>
      </c>
      <c r="C350" s="406" t="s">
        <v>187</v>
      </c>
      <c r="D350" s="406" t="s">
        <v>187</v>
      </c>
      <c r="E350" s="406" t="s">
        <v>463</v>
      </c>
      <c r="F350" s="406"/>
      <c r="G350" s="438">
        <f>G351+G354</f>
        <v>280</v>
      </c>
      <c r="H350" s="438">
        <f>H351+H354</f>
        <v>280</v>
      </c>
      <c r="I350" s="310"/>
      <c r="J350" s="302"/>
    </row>
    <row r="351" spans="1:10" ht="23.25" customHeight="1" x14ac:dyDescent="0.25">
      <c r="A351" s="465" t="s">
        <v>595</v>
      </c>
      <c r="B351" s="454">
        <v>903</v>
      </c>
      <c r="C351" s="394" t="s">
        <v>187</v>
      </c>
      <c r="D351" s="394" t="s">
        <v>187</v>
      </c>
      <c r="E351" s="394" t="s">
        <v>464</v>
      </c>
      <c r="F351" s="394"/>
      <c r="G351" s="435">
        <f>G352</f>
        <v>280</v>
      </c>
      <c r="H351" s="435">
        <f>H352</f>
        <v>280</v>
      </c>
      <c r="I351" s="310"/>
      <c r="J351" s="302"/>
    </row>
    <row r="352" spans="1:10" ht="66.599999999999994" customHeight="1" x14ac:dyDescent="0.25">
      <c r="A352" s="391" t="s">
        <v>119</v>
      </c>
      <c r="B352" s="454">
        <v>903</v>
      </c>
      <c r="C352" s="394" t="s">
        <v>187</v>
      </c>
      <c r="D352" s="394" t="s">
        <v>187</v>
      </c>
      <c r="E352" s="394" t="s">
        <v>464</v>
      </c>
      <c r="F352" s="394" t="s">
        <v>120</v>
      </c>
      <c r="G352" s="435">
        <f>G353</f>
        <v>280</v>
      </c>
      <c r="H352" s="435">
        <f>H353</f>
        <v>280</v>
      </c>
      <c r="I352" s="310"/>
      <c r="J352" s="302"/>
    </row>
    <row r="353" spans="1:10" ht="18" customHeight="1" x14ac:dyDescent="0.25">
      <c r="A353" s="391" t="s">
        <v>212</v>
      </c>
      <c r="B353" s="454">
        <v>903</v>
      </c>
      <c r="C353" s="394" t="s">
        <v>187</v>
      </c>
      <c r="D353" s="394" t="s">
        <v>187</v>
      </c>
      <c r="E353" s="394" t="s">
        <v>464</v>
      </c>
      <c r="F353" s="394" t="s">
        <v>156</v>
      </c>
      <c r="G353" s="435">
        <v>280</v>
      </c>
      <c r="H353" s="435">
        <v>280</v>
      </c>
      <c r="I353" s="310"/>
      <c r="J353" s="302"/>
    </row>
    <row r="354" spans="1:10" ht="19.5" hidden="1" customHeight="1" x14ac:dyDescent="0.25">
      <c r="A354" s="391" t="s">
        <v>590</v>
      </c>
      <c r="B354" s="454">
        <v>903</v>
      </c>
      <c r="C354" s="394" t="s">
        <v>187</v>
      </c>
      <c r="D354" s="394" t="s">
        <v>187</v>
      </c>
      <c r="E354" s="394" t="s">
        <v>605</v>
      </c>
      <c r="F354" s="394"/>
      <c r="G354" s="435">
        <f>G355</f>
        <v>0</v>
      </c>
      <c r="H354" s="435">
        <f>H355</f>
        <v>0</v>
      </c>
      <c r="I354" s="310"/>
      <c r="J354" s="302"/>
    </row>
    <row r="355" spans="1:10" ht="32.25" hidden="1" customHeight="1" x14ac:dyDescent="0.25">
      <c r="A355" s="391" t="s">
        <v>123</v>
      </c>
      <c r="B355" s="454">
        <v>903</v>
      </c>
      <c r="C355" s="394" t="s">
        <v>187</v>
      </c>
      <c r="D355" s="394" t="s">
        <v>187</v>
      </c>
      <c r="E355" s="394" t="s">
        <v>605</v>
      </c>
      <c r="F355" s="394" t="s">
        <v>124</v>
      </c>
      <c r="G355" s="435">
        <f>G356</f>
        <v>0</v>
      </c>
      <c r="H355" s="435">
        <f>H356</f>
        <v>0</v>
      </c>
      <c r="I355" s="310"/>
      <c r="J355" s="302"/>
    </row>
    <row r="356" spans="1:10" ht="37.5" hidden="1" customHeight="1" x14ac:dyDescent="0.25">
      <c r="A356" s="391" t="s">
        <v>125</v>
      </c>
      <c r="B356" s="454">
        <v>903</v>
      </c>
      <c r="C356" s="394" t="s">
        <v>187</v>
      </c>
      <c r="D356" s="394" t="s">
        <v>187</v>
      </c>
      <c r="E356" s="394" t="s">
        <v>605</v>
      </c>
      <c r="F356" s="394" t="s">
        <v>126</v>
      </c>
      <c r="G356" s="435">
        <v>0</v>
      </c>
      <c r="H356" s="435">
        <v>0</v>
      </c>
      <c r="I356" s="310"/>
      <c r="J356" s="302"/>
    </row>
    <row r="357" spans="1:10" ht="64.5" customHeight="1" x14ac:dyDescent="0.25">
      <c r="A357" s="409" t="s">
        <v>591</v>
      </c>
      <c r="B357" s="453">
        <v>903</v>
      </c>
      <c r="C357" s="406" t="s">
        <v>187</v>
      </c>
      <c r="D357" s="406" t="s">
        <v>187</v>
      </c>
      <c r="E357" s="406" t="s">
        <v>465</v>
      </c>
      <c r="F357" s="406"/>
      <c r="G357" s="438">
        <f>G358</f>
        <v>455.1</v>
      </c>
      <c r="H357" s="438">
        <f>H358</f>
        <v>455.1</v>
      </c>
      <c r="I357" s="310"/>
      <c r="J357" s="302"/>
    </row>
    <row r="358" spans="1:10" ht="15.75" customHeight="1" x14ac:dyDescent="0.25">
      <c r="A358" s="391" t="s">
        <v>592</v>
      </c>
      <c r="B358" s="454">
        <v>903</v>
      </c>
      <c r="C358" s="394" t="s">
        <v>187</v>
      </c>
      <c r="D358" s="394" t="s">
        <v>187</v>
      </c>
      <c r="E358" s="394" t="s">
        <v>470</v>
      </c>
      <c r="F358" s="394"/>
      <c r="G358" s="435">
        <f>G361+G360</f>
        <v>455.1</v>
      </c>
      <c r="H358" s="435">
        <f>H361+H360</f>
        <v>455.1</v>
      </c>
      <c r="I358" s="310"/>
      <c r="J358" s="302"/>
    </row>
    <row r="359" spans="1:10" ht="63" customHeight="1" x14ac:dyDescent="0.25">
      <c r="A359" s="391" t="s">
        <v>119</v>
      </c>
      <c r="B359" s="454">
        <v>903</v>
      </c>
      <c r="C359" s="394" t="s">
        <v>187</v>
      </c>
      <c r="D359" s="394" t="s">
        <v>187</v>
      </c>
      <c r="E359" s="394" t="s">
        <v>470</v>
      </c>
      <c r="F359" s="394" t="s">
        <v>120</v>
      </c>
      <c r="G359" s="435">
        <f>G360</f>
        <v>40.1</v>
      </c>
      <c r="H359" s="435">
        <f>H360</f>
        <v>40.1</v>
      </c>
      <c r="I359" s="310"/>
      <c r="J359" s="302"/>
    </row>
    <row r="360" spans="1:10" ht="20.25" customHeight="1" x14ac:dyDescent="0.25">
      <c r="A360" s="391" t="s">
        <v>212</v>
      </c>
      <c r="B360" s="454">
        <v>903</v>
      </c>
      <c r="C360" s="394" t="s">
        <v>187</v>
      </c>
      <c r="D360" s="394" t="s">
        <v>187</v>
      </c>
      <c r="E360" s="394" t="s">
        <v>470</v>
      </c>
      <c r="F360" s="394" t="s">
        <v>156</v>
      </c>
      <c r="G360" s="435">
        <v>40.1</v>
      </c>
      <c r="H360" s="435">
        <v>40.1</v>
      </c>
      <c r="I360" s="310"/>
      <c r="J360" s="302"/>
    </row>
    <row r="361" spans="1:10" ht="36.75" customHeight="1" x14ac:dyDescent="0.25">
      <c r="A361" s="391" t="s">
        <v>123</v>
      </c>
      <c r="B361" s="454">
        <v>903</v>
      </c>
      <c r="C361" s="394" t="s">
        <v>187</v>
      </c>
      <c r="D361" s="394" t="s">
        <v>187</v>
      </c>
      <c r="E361" s="394" t="s">
        <v>470</v>
      </c>
      <c r="F361" s="394" t="s">
        <v>124</v>
      </c>
      <c r="G361" s="435">
        <f>G362</f>
        <v>415</v>
      </c>
      <c r="H361" s="435">
        <f>H362</f>
        <v>415</v>
      </c>
      <c r="I361" s="310"/>
      <c r="J361" s="302"/>
    </row>
    <row r="362" spans="1:10" ht="39.200000000000003" customHeight="1" x14ac:dyDescent="0.25">
      <c r="A362" s="391" t="s">
        <v>125</v>
      </c>
      <c r="B362" s="454">
        <v>903</v>
      </c>
      <c r="C362" s="394" t="s">
        <v>187</v>
      </c>
      <c r="D362" s="394" t="s">
        <v>187</v>
      </c>
      <c r="E362" s="394" t="s">
        <v>470</v>
      </c>
      <c r="F362" s="394" t="s">
        <v>126</v>
      </c>
      <c r="G362" s="435">
        <f>415-135.5+135.5</f>
        <v>415</v>
      </c>
      <c r="H362" s="435">
        <f>415-135.5+135.5</f>
        <v>415</v>
      </c>
      <c r="I362" s="310"/>
      <c r="J362" s="302"/>
    </row>
    <row r="363" spans="1:10" ht="35.450000000000003" customHeight="1" x14ac:dyDescent="0.25">
      <c r="A363" s="409" t="s">
        <v>597</v>
      </c>
      <c r="B363" s="453">
        <v>903</v>
      </c>
      <c r="C363" s="406" t="s">
        <v>187</v>
      </c>
      <c r="D363" s="406" t="s">
        <v>187</v>
      </c>
      <c r="E363" s="406" t="s">
        <v>593</v>
      </c>
      <c r="F363" s="406"/>
      <c r="G363" s="438">
        <f t="shared" ref="G363:H365" si="27">G364</f>
        <v>25</v>
      </c>
      <c r="H363" s="438">
        <f t="shared" si="27"/>
        <v>25</v>
      </c>
      <c r="I363" s="310"/>
      <c r="J363" s="302"/>
    </row>
    <row r="364" spans="1:10" ht="39.75" customHeight="1" x14ac:dyDescent="0.25">
      <c r="A364" s="479" t="s">
        <v>594</v>
      </c>
      <c r="B364" s="454">
        <v>903</v>
      </c>
      <c r="C364" s="394" t="s">
        <v>187</v>
      </c>
      <c r="D364" s="394" t="s">
        <v>187</v>
      </c>
      <c r="E364" s="394" t="s">
        <v>606</v>
      </c>
      <c r="F364" s="394"/>
      <c r="G364" s="435">
        <f t="shared" si="27"/>
        <v>25</v>
      </c>
      <c r="H364" s="435">
        <f t="shared" si="27"/>
        <v>25</v>
      </c>
      <c r="I364" s="310"/>
      <c r="J364" s="302"/>
    </row>
    <row r="365" spans="1:10" ht="17.45" customHeight="1" x14ac:dyDescent="0.25">
      <c r="A365" s="391" t="s">
        <v>177</v>
      </c>
      <c r="B365" s="454">
        <v>903</v>
      </c>
      <c r="C365" s="394" t="s">
        <v>187</v>
      </c>
      <c r="D365" s="394" t="s">
        <v>187</v>
      </c>
      <c r="E365" s="394" t="s">
        <v>606</v>
      </c>
      <c r="F365" s="394" t="s">
        <v>178</v>
      </c>
      <c r="G365" s="435">
        <f t="shared" si="27"/>
        <v>25</v>
      </c>
      <c r="H365" s="435">
        <f t="shared" si="27"/>
        <v>25</v>
      </c>
      <c r="I365" s="310"/>
      <c r="J365" s="302"/>
    </row>
    <row r="366" spans="1:10" ht="35.450000000000003" customHeight="1" x14ac:dyDescent="0.25">
      <c r="A366" s="391" t="s">
        <v>734</v>
      </c>
      <c r="B366" s="454">
        <v>903</v>
      </c>
      <c r="C366" s="394" t="s">
        <v>187</v>
      </c>
      <c r="D366" s="394" t="s">
        <v>187</v>
      </c>
      <c r="E366" s="394" t="s">
        <v>606</v>
      </c>
      <c r="F366" s="394" t="s">
        <v>733</v>
      </c>
      <c r="G366" s="435">
        <v>25</v>
      </c>
      <c r="H366" s="435">
        <v>25</v>
      </c>
      <c r="I366" s="310"/>
      <c r="J366" s="302"/>
    </row>
    <row r="367" spans="1:10" ht="21.75" hidden="1" customHeight="1" x14ac:dyDescent="0.25">
      <c r="A367" s="409" t="s">
        <v>201</v>
      </c>
      <c r="B367" s="453">
        <v>903</v>
      </c>
      <c r="C367" s="406" t="s">
        <v>187</v>
      </c>
      <c r="D367" s="406" t="s">
        <v>161</v>
      </c>
      <c r="E367" s="406"/>
      <c r="F367" s="406"/>
      <c r="G367" s="438">
        <f t="shared" ref="G367:H370" si="28">G368</f>
        <v>0</v>
      </c>
      <c r="H367" s="438">
        <f t="shared" si="28"/>
        <v>0</v>
      </c>
      <c r="I367" s="310"/>
      <c r="J367" s="302"/>
    </row>
    <row r="368" spans="1:10" ht="35.450000000000003" hidden="1" customHeight="1" x14ac:dyDescent="0.25">
      <c r="A368" s="405" t="s">
        <v>444</v>
      </c>
      <c r="B368" s="453">
        <v>903</v>
      </c>
      <c r="C368" s="406" t="s">
        <v>187</v>
      </c>
      <c r="D368" s="406" t="s">
        <v>161</v>
      </c>
      <c r="E368" s="406" t="s">
        <v>439</v>
      </c>
      <c r="F368" s="406"/>
      <c r="G368" s="438">
        <f t="shared" si="28"/>
        <v>0</v>
      </c>
      <c r="H368" s="438">
        <f t="shared" si="28"/>
        <v>0</v>
      </c>
      <c r="I368" s="310"/>
      <c r="J368" s="302"/>
    </row>
    <row r="369" spans="1:12" ht="54.4" hidden="1" customHeight="1" x14ac:dyDescent="0.25">
      <c r="A369" s="393" t="s">
        <v>1067</v>
      </c>
      <c r="B369" s="454">
        <v>903</v>
      </c>
      <c r="C369" s="394" t="s">
        <v>187</v>
      </c>
      <c r="D369" s="394" t="s">
        <v>161</v>
      </c>
      <c r="E369" s="394" t="s">
        <v>1066</v>
      </c>
      <c r="F369" s="394"/>
      <c r="G369" s="435">
        <f t="shared" si="28"/>
        <v>0</v>
      </c>
      <c r="H369" s="435">
        <f t="shared" si="28"/>
        <v>0</v>
      </c>
      <c r="I369" s="310"/>
      <c r="J369" s="302"/>
    </row>
    <row r="370" spans="1:12" ht="35.450000000000003" hidden="1" customHeight="1" x14ac:dyDescent="0.25">
      <c r="A370" s="391" t="s">
        <v>123</v>
      </c>
      <c r="B370" s="454">
        <v>903</v>
      </c>
      <c r="C370" s="394" t="s">
        <v>187</v>
      </c>
      <c r="D370" s="394" t="s">
        <v>161</v>
      </c>
      <c r="E370" s="394" t="s">
        <v>1066</v>
      </c>
      <c r="F370" s="394" t="s">
        <v>124</v>
      </c>
      <c r="G370" s="435">
        <f t="shared" si="28"/>
        <v>0</v>
      </c>
      <c r="H370" s="435">
        <f t="shared" si="28"/>
        <v>0</v>
      </c>
      <c r="I370" s="310"/>
      <c r="J370" s="302"/>
    </row>
    <row r="371" spans="1:12" ht="35.450000000000003" hidden="1" customHeight="1" x14ac:dyDescent="0.25">
      <c r="A371" s="391" t="s">
        <v>125</v>
      </c>
      <c r="B371" s="454">
        <v>903</v>
      </c>
      <c r="C371" s="394" t="s">
        <v>187</v>
      </c>
      <c r="D371" s="394" t="s">
        <v>161</v>
      </c>
      <c r="E371" s="394" t="s">
        <v>1066</v>
      </c>
      <c r="F371" s="394" t="s">
        <v>126</v>
      </c>
      <c r="G371" s="435"/>
      <c r="H371" s="435"/>
      <c r="I371" s="310"/>
      <c r="J371" s="302"/>
    </row>
    <row r="372" spans="1:12" ht="15.75" x14ac:dyDescent="0.25">
      <c r="A372" s="409" t="s">
        <v>202</v>
      </c>
      <c r="B372" s="453">
        <v>903</v>
      </c>
      <c r="C372" s="406" t="s">
        <v>203</v>
      </c>
      <c r="D372" s="406"/>
      <c r="E372" s="406"/>
      <c r="F372" s="406"/>
      <c r="G372" s="438">
        <f>G373+G455</f>
        <v>82217.399999999994</v>
      </c>
      <c r="H372" s="438">
        <f>H373+H455</f>
        <v>82221.299999999988</v>
      </c>
      <c r="I372" s="310"/>
      <c r="J372" s="302"/>
    </row>
    <row r="373" spans="1:12" ht="15.75" x14ac:dyDescent="0.25">
      <c r="A373" s="409" t="s">
        <v>204</v>
      </c>
      <c r="B373" s="453">
        <v>903</v>
      </c>
      <c r="C373" s="406" t="s">
        <v>203</v>
      </c>
      <c r="D373" s="406" t="s">
        <v>116</v>
      </c>
      <c r="E373" s="406"/>
      <c r="F373" s="406"/>
      <c r="G373" s="438">
        <f>G374+G447+G439</f>
        <v>60054.7</v>
      </c>
      <c r="H373" s="438">
        <f>H374+H447+H439</f>
        <v>60054.7</v>
      </c>
      <c r="I373" s="310"/>
      <c r="J373" s="302"/>
    </row>
    <row r="374" spans="1:12" ht="35.450000000000003" customHeight="1" x14ac:dyDescent="0.25">
      <c r="A374" s="409" t="s">
        <v>855</v>
      </c>
      <c r="B374" s="453">
        <v>903</v>
      </c>
      <c r="C374" s="406" t="s">
        <v>203</v>
      </c>
      <c r="D374" s="406" t="s">
        <v>116</v>
      </c>
      <c r="E374" s="406" t="s">
        <v>189</v>
      </c>
      <c r="F374" s="406"/>
      <c r="G374" s="438">
        <f>G375+G389+G398+G405+G414+G418+G429</f>
        <v>59166</v>
      </c>
      <c r="H374" s="438">
        <f>H375+H389+H398+H405+H414+H418+H429</f>
        <v>59166</v>
      </c>
      <c r="I374" s="310"/>
      <c r="J374" s="302"/>
    </row>
    <row r="375" spans="1:12" ht="30.2" customHeight="1" x14ac:dyDescent="0.25">
      <c r="A375" s="409" t="s">
        <v>815</v>
      </c>
      <c r="B375" s="453">
        <v>903</v>
      </c>
      <c r="C375" s="406" t="s">
        <v>203</v>
      </c>
      <c r="D375" s="406" t="s">
        <v>116</v>
      </c>
      <c r="E375" s="406" t="s">
        <v>741</v>
      </c>
      <c r="F375" s="406"/>
      <c r="G375" s="438">
        <f>G379+G386+G376</f>
        <v>55444.5</v>
      </c>
      <c r="H375" s="438">
        <f>H379+H386+H376</f>
        <v>55444.5</v>
      </c>
      <c r="I375" s="310"/>
      <c r="J375" s="302"/>
    </row>
    <row r="376" spans="1:12" ht="30.2" customHeight="1" x14ac:dyDescent="0.25">
      <c r="A376" s="391" t="s">
        <v>205</v>
      </c>
      <c r="B376" s="454">
        <v>903</v>
      </c>
      <c r="C376" s="394" t="s">
        <v>203</v>
      </c>
      <c r="D376" s="394" t="s">
        <v>116</v>
      </c>
      <c r="E376" s="394" t="s">
        <v>1218</v>
      </c>
      <c r="F376" s="394"/>
      <c r="G376" s="435">
        <f>G377</f>
        <v>30184.6</v>
      </c>
      <c r="H376" s="435">
        <f>H377</f>
        <v>30184.6</v>
      </c>
      <c r="I376" s="310"/>
      <c r="J376" s="302"/>
    </row>
    <row r="377" spans="1:12" ht="30.2" customHeight="1" x14ac:dyDescent="0.25">
      <c r="A377" s="391" t="s">
        <v>191</v>
      </c>
      <c r="B377" s="454">
        <v>903</v>
      </c>
      <c r="C377" s="394" t="s">
        <v>203</v>
      </c>
      <c r="D377" s="394" t="s">
        <v>116</v>
      </c>
      <c r="E377" s="394" t="s">
        <v>1218</v>
      </c>
      <c r="F377" s="394" t="s">
        <v>192</v>
      </c>
      <c r="G377" s="435">
        <f>G378</f>
        <v>30184.6</v>
      </c>
      <c r="H377" s="435">
        <f>H378</f>
        <v>30184.6</v>
      </c>
      <c r="I377" s="310"/>
      <c r="J377" s="302"/>
    </row>
    <row r="378" spans="1:12" ht="30.2" customHeight="1" x14ac:dyDescent="0.25">
      <c r="A378" s="391" t="s">
        <v>193</v>
      </c>
      <c r="B378" s="454">
        <v>903</v>
      </c>
      <c r="C378" s="394" t="s">
        <v>203</v>
      </c>
      <c r="D378" s="394" t="s">
        <v>116</v>
      </c>
      <c r="E378" s="394" t="s">
        <v>1218</v>
      </c>
      <c r="F378" s="394" t="s">
        <v>194</v>
      </c>
      <c r="G378" s="435">
        <f>23896+6251.6+37</f>
        <v>30184.6</v>
      </c>
      <c r="H378" s="435">
        <v>30184.6</v>
      </c>
      <c r="I378" s="310"/>
      <c r="J378" s="302"/>
    </row>
    <row r="379" spans="1:12" ht="17.45" customHeight="1" x14ac:dyDescent="0.25">
      <c r="A379" s="391" t="s">
        <v>376</v>
      </c>
      <c r="B379" s="454">
        <v>903</v>
      </c>
      <c r="C379" s="394" t="s">
        <v>203</v>
      </c>
      <c r="D379" s="394" t="s">
        <v>116</v>
      </c>
      <c r="E379" s="394" t="s">
        <v>742</v>
      </c>
      <c r="F379" s="394"/>
      <c r="G379" s="435">
        <f>G380+G382+G384</f>
        <v>25259.9</v>
      </c>
      <c r="H379" s="435">
        <f>H380+H382+H384</f>
        <v>25259.9</v>
      </c>
      <c r="I379" s="310"/>
      <c r="J379" s="302"/>
    </row>
    <row r="380" spans="1:12" ht="46.5" customHeight="1" x14ac:dyDescent="0.25">
      <c r="A380" s="391" t="s">
        <v>119</v>
      </c>
      <c r="B380" s="454">
        <v>903</v>
      </c>
      <c r="C380" s="394" t="s">
        <v>203</v>
      </c>
      <c r="D380" s="394" t="s">
        <v>116</v>
      </c>
      <c r="E380" s="394" t="s">
        <v>742</v>
      </c>
      <c r="F380" s="394" t="s">
        <v>120</v>
      </c>
      <c r="G380" s="435">
        <f>G381</f>
        <v>21278</v>
      </c>
      <c r="H380" s="435">
        <f>H381</f>
        <v>21278</v>
      </c>
      <c r="I380" s="310"/>
      <c r="J380" s="302"/>
    </row>
    <row r="381" spans="1:12" ht="21.75" customHeight="1" x14ac:dyDescent="0.25">
      <c r="A381" s="391" t="s">
        <v>155</v>
      </c>
      <c r="B381" s="454">
        <v>903</v>
      </c>
      <c r="C381" s="394" t="s">
        <v>203</v>
      </c>
      <c r="D381" s="394" t="s">
        <v>116</v>
      </c>
      <c r="E381" s="394" t="s">
        <v>742</v>
      </c>
      <c r="F381" s="394" t="s">
        <v>156</v>
      </c>
      <c r="G381" s="436">
        <f>23896+21278-23896</f>
        <v>21278</v>
      </c>
      <c r="H381" s="436">
        <f>G381</f>
        <v>21278</v>
      </c>
      <c r="I381" s="310"/>
      <c r="J381" s="310"/>
    </row>
    <row r="382" spans="1:12" ht="36.75" customHeight="1" x14ac:dyDescent="0.25">
      <c r="A382" s="391" t="s">
        <v>123</v>
      </c>
      <c r="B382" s="454">
        <v>903</v>
      </c>
      <c r="C382" s="394" t="s">
        <v>203</v>
      </c>
      <c r="D382" s="394" t="s">
        <v>116</v>
      </c>
      <c r="E382" s="394" t="s">
        <v>742</v>
      </c>
      <c r="F382" s="394" t="s">
        <v>124</v>
      </c>
      <c r="G382" s="435">
        <f>G383</f>
        <v>3955.8999999999996</v>
      </c>
      <c r="H382" s="435">
        <f>H383</f>
        <v>3955.8999999999996</v>
      </c>
      <c r="I382" s="310"/>
      <c r="J382" s="302"/>
    </row>
    <row r="383" spans="1:12" ht="33" customHeight="1" x14ac:dyDescent="0.25">
      <c r="A383" s="391" t="s">
        <v>125</v>
      </c>
      <c r="B383" s="454">
        <v>903</v>
      </c>
      <c r="C383" s="394" t="s">
        <v>203</v>
      </c>
      <c r="D383" s="394" t="s">
        <v>116</v>
      </c>
      <c r="E383" s="394" t="s">
        <v>742</v>
      </c>
      <c r="F383" s="394" t="s">
        <v>126</v>
      </c>
      <c r="G383" s="436">
        <f>6251.6+3955.9-6251.6</f>
        <v>3955.8999999999996</v>
      </c>
      <c r="H383" s="436">
        <f>6251.6+3955.9-6251.6</f>
        <v>3955.8999999999996</v>
      </c>
      <c r="I383" s="310"/>
      <c r="J383" s="302"/>
      <c r="K383" s="270"/>
      <c r="L383" s="320"/>
    </row>
    <row r="384" spans="1:12" ht="18" customHeight="1" x14ac:dyDescent="0.25">
      <c r="A384" s="391" t="s">
        <v>127</v>
      </c>
      <c r="B384" s="454">
        <v>903</v>
      </c>
      <c r="C384" s="394" t="s">
        <v>203</v>
      </c>
      <c r="D384" s="394" t="s">
        <v>116</v>
      </c>
      <c r="E384" s="394" t="s">
        <v>742</v>
      </c>
      <c r="F384" s="394" t="s">
        <v>134</v>
      </c>
      <c r="G384" s="435">
        <f>G385</f>
        <v>26</v>
      </c>
      <c r="H384" s="435">
        <f>H385</f>
        <v>26</v>
      </c>
      <c r="I384" s="310"/>
      <c r="J384" s="302"/>
    </row>
    <row r="385" spans="1:10" ht="16.5" customHeight="1" x14ac:dyDescent="0.25">
      <c r="A385" s="391" t="s">
        <v>280</v>
      </c>
      <c r="B385" s="454">
        <v>903</v>
      </c>
      <c r="C385" s="394" t="s">
        <v>203</v>
      </c>
      <c r="D385" s="394" t="s">
        <v>116</v>
      </c>
      <c r="E385" s="394" t="s">
        <v>742</v>
      </c>
      <c r="F385" s="394" t="s">
        <v>130</v>
      </c>
      <c r="G385" s="435">
        <f>37+26-37</f>
        <v>26</v>
      </c>
      <c r="H385" s="435">
        <f>37+26-37</f>
        <v>26</v>
      </c>
      <c r="I385" s="310"/>
      <c r="J385" s="310"/>
    </row>
    <row r="386" spans="1:10" ht="21.75" hidden="1" customHeight="1" x14ac:dyDescent="0.25">
      <c r="A386" s="393" t="s">
        <v>974</v>
      </c>
      <c r="B386" s="454">
        <v>903</v>
      </c>
      <c r="C386" s="394" t="s">
        <v>203</v>
      </c>
      <c r="D386" s="394" t="s">
        <v>116</v>
      </c>
      <c r="E386" s="394" t="s">
        <v>965</v>
      </c>
      <c r="F386" s="394"/>
      <c r="G386" s="435">
        <f>G387</f>
        <v>0</v>
      </c>
      <c r="H386" s="435">
        <f>H387</f>
        <v>0</v>
      </c>
      <c r="I386" s="310"/>
      <c r="J386" s="302"/>
    </row>
    <row r="387" spans="1:10" ht="60.4" hidden="1" customHeight="1" x14ac:dyDescent="0.25">
      <c r="A387" s="391" t="s">
        <v>119</v>
      </c>
      <c r="B387" s="454">
        <v>903</v>
      </c>
      <c r="C387" s="394" t="s">
        <v>203</v>
      </c>
      <c r="D387" s="394" t="s">
        <v>116</v>
      </c>
      <c r="E387" s="394" t="s">
        <v>965</v>
      </c>
      <c r="F387" s="394" t="s">
        <v>120</v>
      </c>
      <c r="G387" s="435">
        <f>G388</f>
        <v>0</v>
      </c>
      <c r="H387" s="435">
        <f>H388</f>
        <v>0</v>
      </c>
      <c r="I387" s="310"/>
      <c r="J387" s="302"/>
    </row>
    <row r="388" spans="1:10" ht="17.100000000000001" hidden="1" customHeight="1" x14ac:dyDescent="0.25">
      <c r="A388" s="391" t="s">
        <v>155</v>
      </c>
      <c r="B388" s="454">
        <v>903</v>
      </c>
      <c r="C388" s="394" t="s">
        <v>203</v>
      </c>
      <c r="D388" s="394" t="s">
        <v>116</v>
      </c>
      <c r="E388" s="394" t="s">
        <v>965</v>
      </c>
      <c r="F388" s="394" t="s">
        <v>156</v>
      </c>
      <c r="G388" s="435"/>
      <c r="H388" s="435"/>
      <c r="I388" s="310"/>
      <c r="J388" s="302"/>
    </row>
    <row r="389" spans="1:10" ht="35.450000000000003" customHeight="1" x14ac:dyDescent="0.25">
      <c r="A389" s="477" t="s">
        <v>817</v>
      </c>
      <c r="B389" s="453">
        <v>903</v>
      </c>
      <c r="C389" s="406" t="s">
        <v>203</v>
      </c>
      <c r="D389" s="406" t="s">
        <v>116</v>
      </c>
      <c r="E389" s="406" t="s">
        <v>743</v>
      </c>
      <c r="F389" s="406"/>
      <c r="G389" s="438">
        <f>G390+G395</f>
        <v>280</v>
      </c>
      <c r="H389" s="438">
        <f>H390+H395</f>
        <v>280</v>
      </c>
      <c r="I389" s="310"/>
      <c r="J389" s="302"/>
    </row>
    <row r="390" spans="1:10" ht="35.450000000000003" hidden="1" customHeight="1" x14ac:dyDescent="0.25">
      <c r="A390" s="393" t="s">
        <v>392</v>
      </c>
      <c r="B390" s="454">
        <v>903</v>
      </c>
      <c r="C390" s="394" t="s">
        <v>203</v>
      </c>
      <c r="D390" s="394" t="s">
        <v>116</v>
      </c>
      <c r="E390" s="394" t="s">
        <v>745</v>
      </c>
      <c r="F390" s="394"/>
      <c r="G390" s="436">
        <f>G393+G391</f>
        <v>0</v>
      </c>
      <c r="H390" s="436">
        <f>H393+H391</f>
        <v>0</v>
      </c>
      <c r="I390" s="310"/>
      <c r="J390" s="302"/>
    </row>
    <row r="391" spans="1:10" ht="66.2" hidden="1" customHeight="1" x14ac:dyDescent="0.25">
      <c r="A391" s="391" t="s">
        <v>119</v>
      </c>
      <c r="B391" s="454">
        <v>903</v>
      </c>
      <c r="C391" s="394" t="s">
        <v>203</v>
      </c>
      <c r="D391" s="394" t="s">
        <v>116</v>
      </c>
      <c r="E391" s="394" t="s">
        <v>745</v>
      </c>
      <c r="F391" s="394" t="s">
        <v>120</v>
      </c>
      <c r="G391" s="436">
        <f>G392</f>
        <v>0</v>
      </c>
      <c r="H391" s="436">
        <f>H392</f>
        <v>0</v>
      </c>
      <c r="I391" s="310"/>
      <c r="J391" s="302"/>
    </row>
    <row r="392" spans="1:10" ht="20.25" hidden="1" customHeight="1" x14ac:dyDescent="0.25">
      <c r="A392" s="391" t="s">
        <v>155</v>
      </c>
      <c r="B392" s="454">
        <v>903</v>
      </c>
      <c r="C392" s="394" t="s">
        <v>203</v>
      </c>
      <c r="D392" s="394" t="s">
        <v>116</v>
      </c>
      <c r="E392" s="394" t="s">
        <v>745</v>
      </c>
      <c r="F392" s="394" t="s">
        <v>156</v>
      </c>
      <c r="G392" s="436">
        <f>280-280</f>
        <v>0</v>
      </c>
      <c r="H392" s="436">
        <f>280-280</f>
        <v>0</v>
      </c>
      <c r="I392" s="310"/>
      <c r="J392" s="302"/>
    </row>
    <row r="393" spans="1:10" ht="33.75" hidden="1" customHeight="1" x14ac:dyDescent="0.25">
      <c r="A393" s="391" t="s">
        <v>123</v>
      </c>
      <c r="B393" s="454">
        <v>903</v>
      </c>
      <c r="C393" s="394" t="s">
        <v>203</v>
      </c>
      <c r="D393" s="394" t="s">
        <v>116</v>
      </c>
      <c r="E393" s="394" t="s">
        <v>745</v>
      </c>
      <c r="F393" s="394" t="s">
        <v>124</v>
      </c>
      <c r="G393" s="436">
        <f>G394</f>
        <v>0</v>
      </c>
      <c r="H393" s="436">
        <f>H394</f>
        <v>0</v>
      </c>
      <c r="I393" s="310"/>
      <c r="J393" s="302"/>
    </row>
    <row r="394" spans="1:10" ht="36.75" hidden="1" customHeight="1" x14ac:dyDescent="0.25">
      <c r="A394" s="391" t="s">
        <v>125</v>
      </c>
      <c r="B394" s="454">
        <v>903</v>
      </c>
      <c r="C394" s="394" t="s">
        <v>203</v>
      </c>
      <c r="D394" s="394" t="s">
        <v>116</v>
      </c>
      <c r="E394" s="394" t="s">
        <v>745</v>
      </c>
      <c r="F394" s="394" t="s">
        <v>126</v>
      </c>
      <c r="G394" s="436"/>
      <c r="H394" s="436"/>
      <c r="I394" s="310"/>
      <c r="J394" s="302"/>
    </row>
    <row r="395" spans="1:10" ht="31.5" x14ac:dyDescent="0.25">
      <c r="A395" s="391" t="s">
        <v>1219</v>
      </c>
      <c r="B395" s="454">
        <v>903</v>
      </c>
      <c r="C395" s="394" t="s">
        <v>203</v>
      </c>
      <c r="D395" s="394" t="s">
        <v>116</v>
      </c>
      <c r="E395" s="394" t="s">
        <v>1220</v>
      </c>
      <c r="F395" s="394"/>
      <c r="G395" s="436">
        <f>G396</f>
        <v>280</v>
      </c>
      <c r="H395" s="436">
        <f>H396</f>
        <v>280</v>
      </c>
      <c r="I395" s="310"/>
      <c r="J395" s="302"/>
    </row>
    <row r="396" spans="1:10" ht="31.5" x14ac:dyDescent="0.25">
      <c r="A396" s="391" t="s">
        <v>191</v>
      </c>
      <c r="B396" s="454">
        <v>903</v>
      </c>
      <c r="C396" s="394" t="s">
        <v>203</v>
      </c>
      <c r="D396" s="394" t="s">
        <v>116</v>
      </c>
      <c r="E396" s="394" t="s">
        <v>1220</v>
      </c>
      <c r="F396" s="394" t="s">
        <v>192</v>
      </c>
      <c r="G396" s="436">
        <f>G397</f>
        <v>280</v>
      </c>
      <c r="H396" s="436">
        <f>H397</f>
        <v>280</v>
      </c>
      <c r="I396" s="310"/>
      <c r="J396" s="302"/>
    </row>
    <row r="397" spans="1:10" ht="15.75" x14ac:dyDescent="0.25">
      <c r="A397" s="391" t="s">
        <v>193</v>
      </c>
      <c r="B397" s="454">
        <v>903</v>
      </c>
      <c r="C397" s="394" t="s">
        <v>203</v>
      </c>
      <c r="D397" s="394" t="s">
        <v>116</v>
      </c>
      <c r="E397" s="394" t="s">
        <v>1220</v>
      </c>
      <c r="F397" s="394" t="s">
        <v>194</v>
      </c>
      <c r="G397" s="436">
        <v>280</v>
      </c>
      <c r="H397" s="436">
        <v>280</v>
      </c>
      <c r="I397" s="310"/>
      <c r="J397" s="302"/>
    </row>
    <row r="398" spans="1:10" ht="36.75" customHeight="1" x14ac:dyDescent="0.25">
      <c r="A398" s="409" t="s">
        <v>512</v>
      </c>
      <c r="B398" s="453">
        <v>903</v>
      </c>
      <c r="C398" s="406" t="s">
        <v>203</v>
      </c>
      <c r="D398" s="406" t="s">
        <v>116</v>
      </c>
      <c r="E398" s="406" t="s">
        <v>746</v>
      </c>
      <c r="F398" s="406"/>
      <c r="G398" s="442">
        <f>G399+G402</f>
        <v>903</v>
      </c>
      <c r="H398" s="442">
        <f>H399+H402</f>
        <v>903</v>
      </c>
      <c r="I398" s="310"/>
      <c r="J398" s="302"/>
    </row>
    <row r="399" spans="1:10" ht="36.75" customHeight="1" x14ac:dyDescent="0.25">
      <c r="A399" s="391" t="s">
        <v>414</v>
      </c>
      <c r="B399" s="454">
        <v>903</v>
      </c>
      <c r="C399" s="394" t="s">
        <v>203</v>
      </c>
      <c r="D399" s="394" t="s">
        <v>116</v>
      </c>
      <c r="E399" s="394" t="s">
        <v>747</v>
      </c>
      <c r="F399" s="394"/>
      <c r="G399" s="435">
        <f t="shared" ref="G399:H400" si="29">G400</f>
        <v>473</v>
      </c>
      <c r="H399" s="435">
        <f t="shared" si="29"/>
        <v>473</v>
      </c>
      <c r="I399" s="310"/>
      <c r="J399" s="302"/>
    </row>
    <row r="400" spans="1:10" ht="62.45" customHeight="1" x14ac:dyDescent="0.25">
      <c r="A400" s="391" t="s">
        <v>119</v>
      </c>
      <c r="B400" s="454">
        <v>903</v>
      </c>
      <c r="C400" s="394" t="s">
        <v>203</v>
      </c>
      <c r="D400" s="394" t="s">
        <v>116</v>
      </c>
      <c r="E400" s="394" t="s">
        <v>747</v>
      </c>
      <c r="F400" s="394" t="s">
        <v>120</v>
      </c>
      <c r="G400" s="435">
        <f t="shared" si="29"/>
        <v>473</v>
      </c>
      <c r="H400" s="435">
        <f t="shared" si="29"/>
        <v>473</v>
      </c>
      <c r="I400" s="310"/>
      <c r="J400" s="302"/>
    </row>
    <row r="401" spans="1:10" ht="36.75" customHeight="1" x14ac:dyDescent="0.25">
      <c r="A401" s="391" t="s">
        <v>121</v>
      </c>
      <c r="B401" s="454">
        <v>903</v>
      </c>
      <c r="C401" s="394" t="s">
        <v>203</v>
      </c>
      <c r="D401" s="394" t="s">
        <v>116</v>
      </c>
      <c r="E401" s="394" t="s">
        <v>747</v>
      </c>
      <c r="F401" s="394" t="s">
        <v>156</v>
      </c>
      <c r="G401" s="435">
        <f>903-430</f>
        <v>473</v>
      </c>
      <c r="H401" s="435">
        <f>903-430</f>
        <v>473</v>
      </c>
      <c r="I401" s="310"/>
      <c r="J401" s="310"/>
    </row>
    <row r="402" spans="1:10" ht="31.5" x14ac:dyDescent="0.25">
      <c r="A402" s="391" t="s">
        <v>342</v>
      </c>
      <c r="B402" s="454">
        <v>903</v>
      </c>
      <c r="C402" s="394" t="s">
        <v>203</v>
      </c>
      <c r="D402" s="394" t="s">
        <v>116</v>
      </c>
      <c r="E402" s="394" t="s">
        <v>1221</v>
      </c>
      <c r="F402" s="394"/>
      <c r="G402" s="435">
        <f>G403</f>
        <v>430</v>
      </c>
      <c r="H402" s="435">
        <f>H403</f>
        <v>430</v>
      </c>
      <c r="I402" s="310"/>
      <c r="J402" s="310"/>
    </row>
    <row r="403" spans="1:10" ht="31.5" x14ac:dyDescent="0.25">
      <c r="A403" s="391" t="s">
        <v>191</v>
      </c>
      <c r="B403" s="454">
        <v>903</v>
      </c>
      <c r="C403" s="394" t="s">
        <v>203</v>
      </c>
      <c r="D403" s="394" t="s">
        <v>116</v>
      </c>
      <c r="E403" s="394" t="s">
        <v>1221</v>
      </c>
      <c r="F403" s="394" t="s">
        <v>192</v>
      </c>
      <c r="G403" s="435">
        <f>G404</f>
        <v>430</v>
      </c>
      <c r="H403" s="435">
        <f>H404</f>
        <v>430</v>
      </c>
      <c r="I403" s="310"/>
      <c r="J403" s="310"/>
    </row>
    <row r="404" spans="1:10" ht="15.75" x14ac:dyDescent="0.25">
      <c r="A404" s="391" t="s">
        <v>193</v>
      </c>
      <c r="B404" s="454">
        <v>903</v>
      </c>
      <c r="C404" s="394" t="s">
        <v>203</v>
      </c>
      <c r="D404" s="394" t="s">
        <v>116</v>
      </c>
      <c r="E404" s="394" t="s">
        <v>1221</v>
      </c>
      <c r="F404" s="394" t="s">
        <v>194</v>
      </c>
      <c r="G404" s="435">
        <v>430</v>
      </c>
      <c r="H404" s="435">
        <v>430</v>
      </c>
      <c r="I404" s="310"/>
      <c r="J404" s="310"/>
    </row>
    <row r="405" spans="1:10" ht="36.75" customHeight="1" x14ac:dyDescent="0.25">
      <c r="A405" s="482" t="s">
        <v>469</v>
      </c>
      <c r="B405" s="453">
        <v>903</v>
      </c>
      <c r="C405" s="406" t="s">
        <v>203</v>
      </c>
      <c r="D405" s="406" t="s">
        <v>116</v>
      </c>
      <c r="E405" s="406" t="s">
        <v>748</v>
      </c>
      <c r="F405" s="406"/>
      <c r="G405" s="438">
        <f>G406+G411</f>
        <v>2485</v>
      </c>
      <c r="H405" s="438">
        <f>H406+H411</f>
        <v>2485</v>
      </c>
      <c r="I405" s="310"/>
      <c r="J405" s="302"/>
    </row>
    <row r="406" spans="1:10" ht="87" customHeight="1" x14ac:dyDescent="0.25">
      <c r="A406" s="393" t="s">
        <v>200</v>
      </c>
      <c r="B406" s="454">
        <v>903</v>
      </c>
      <c r="C406" s="394" t="s">
        <v>203</v>
      </c>
      <c r="D406" s="394" t="s">
        <v>116</v>
      </c>
      <c r="E406" s="394" t="s">
        <v>898</v>
      </c>
      <c r="F406" s="394"/>
      <c r="G406" s="435">
        <f>G407+G409</f>
        <v>2100.5</v>
      </c>
      <c r="H406" s="435">
        <f>H407+H409</f>
        <v>2100.5</v>
      </c>
      <c r="I406" s="310"/>
      <c r="J406" s="302"/>
    </row>
    <row r="407" spans="1:10" ht="66.599999999999994" customHeight="1" x14ac:dyDescent="0.25">
      <c r="A407" s="391" t="s">
        <v>119</v>
      </c>
      <c r="B407" s="454">
        <v>903</v>
      </c>
      <c r="C407" s="394" t="s">
        <v>203</v>
      </c>
      <c r="D407" s="394" t="s">
        <v>116</v>
      </c>
      <c r="E407" s="394" t="s">
        <v>898</v>
      </c>
      <c r="F407" s="394" t="s">
        <v>120</v>
      </c>
      <c r="G407" s="435">
        <f>G408</f>
        <v>1204.3</v>
      </c>
      <c r="H407" s="435">
        <f>H408</f>
        <v>1204.3</v>
      </c>
      <c r="I407" s="310"/>
      <c r="J407" s="302"/>
    </row>
    <row r="408" spans="1:10" ht="21.75" customHeight="1" x14ac:dyDescent="0.25">
      <c r="A408" s="391" t="s">
        <v>155</v>
      </c>
      <c r="B408" s="454">
        <v>903</v>
      </c>
      <c r="C408" s="394" t="s">
        <v>203</v>
      </c>
      <c r="D408" s="394" t="s">
        <v>116</v>
      </c>
      <c r="E408" s="394" t="s">
        <v>898</v>
      </c>
      <c r="F408" s="394" t="s">
        <v>156</v>
      </c>
      <c r="G408" s="586">
        <f>2100.5-895.9-0.3</f>
        <v>1204.3</v>
      </c>
      <c r="H408" s="586">
        <f>2100.5-895.9-0.3</f>
        <v>1204.3</v>
      </c>
      <c r="I408" s="310" t="s">
        <v>1275</v>
      </c>
      <c r="J408" s="302"/>
    </row>
    <row r="409" spans="1:10" ht="26.45" customHeight="1" x14ac:dyDescent="0.25">
      <c r="A409" s="391" t="s">
        <v>191</v>
      </c>
      <c r="B409" s="454">
        <v>903</v>
      </c>
      <c r="C409" s="394" t="s">
        <v>203</v>
      </c>
      <c r="D409" s="394" t="s">
        <v>116</v>
      </c>
      <c r="E409" s="394" t="s">
        <v>898</v>
      </c>
      <c r="F409" s="394" t="s">
        <v>192</v>
      </c>
      <c r="G409" s="435">
        <f>G410</f>
        <v>896.19999999999993</v>
      </c>
      <c r="H409" s="435">
        <f>H410</f>
        <v>896.19999999999993</v>
      </c>
      <c r="I409" s="310"/>
      <c r="J409" s="302"/>
    </row>
    <row r="410" spans="1:10" ht="21.75" customHeight="1" x14ac:dyDescent="0.25">
      <c r="A410" s="391" t="s">
        <v>193</v>
      </c>
      <c r="B410" s="454">
        <v>903</v>
      </c>
      <c r="C410" s="394" t="s">
        <v>203</v>
      </c>
      <c r="D410" s="394" t="s">
        <v>116</v>
      </c>
      <c r="E410" s="394" t="s">
        <v>898</v>
      </c>
      <c r="F410" s="394" t="s">
        <v>194</v>
      </c>
      <c r="G410" s="586">
        <f>895.9+0.3</f>
        <v>896.19999999999993</v>
      </c>
      <c r="H410" s="586">
        <f>895.9+0.3</f>
        <v>896.19999999999993</v>
      </c>
      <c r="I410" s="310" t="s">
        <v>1276</v>
      </c>
      <c r="J410" s="302"/>
    </row>
    <row r="411" spans="1:10" ht="69" customHeight="1" x14ac:dyDescent="0.25">
      <c r="A411" s="391" t="s">
        <v>207</v>
      </c>
      <c r="B411" s="454">
        <v>903</v>
      </c>
      <c r="C411" s="394" t="s">
        <v>203</v>
      </c>
      <c r="D411" s="394" t="s">
        <v>116</v>
      </c>
      <c r="E411" s="394" t="s">
        <v>809</v>
      </c>
      <c r="F411" s="394"/>
      <c r="G411" s="435">
        <f>G412</f>
        <v>384.5</v>
      </c>
      <c r="H411" s="435">
        <f>H412</f>
        <v>384.5</v>
      </c>
      <c r="I411" s="310"/>
      <c r="J411" s="302"/>
    </row>
    <row r="412" spans="1:10" ht="72" customHeight="1" x14ac:dyDescent="0.25">
      <c r="A412" s="391" t="s">
        <v>119</v>
      </c>
      <c r="B412" s="454">
        <v>903</v>
      </c>
      <c r="C412" s="394" t="s">
        <v>203</v>
      </c>
      <c r="D412" s="394" t="s">
        <v>116</v>
      </c>
      <c r="E412" s="394" t="s">
        <v>809</v>
      </c>
      <c r="F412" s="394" t="s">
        <v>120</v>
      </c>
      <c r="G412" s="435">
        <f>G413</f>
        <v>384.5</v>
      </c>
      <c r="H412" s="435">
        <f>H413</f>
        <v>384.5</v>
      </c>
      <c r="I412" s="310"/>
      <c r="J412" s="302"/>
    </row>
    <row r="413" spans="1:10" ht="19.5" customHeight="1" x14ac:dyDescent="0.25">
      <c r="A413" s="391" t="s">
        <v>155</v>
      </c>
      <c r="B413" s="454">
        <v>903</v>
      </c>
      <c r="C413" s="394" t="s">
        <v>203</v>
      </c>
      <c r="D413" s="394" t="s">
        <v>116</v>
      </c>
      <c r="E413" s="394" t="s">
        <v>809</v>
      </c>
      <c r="F413" s="394" t="s">
        <v>156</v>
      </c>
      <c r="G413" s="435">
        <v>384.5</v>
      </c>
      <c r="H413" s="435">
        <v>384.5</v>
      </c>
      <c r="I413" s="310"/>
      <c r="J413" s="302"/>
    </row>
    <row r="414" spans="1:10" ht="33" customHeight="1" x14ac:dyDescent="0.25">
      <c r="A414" s="409" t="s">
        <v>471</v>
      </c>
      <c r="B414" s="453">
        <v>903</v>
      </c>
      <c r="C414" s="406" t="s">
        <v>203</v>
      </c>
      <c r="D414" s="406" t="s">
        <v>116</v>
      </c>
      <c r="E414" s="406" t="s">
        <v>751</v>
      </c>
      <c r="F414" s="406"/>
      <c r="G414" s="438">
        <f t="shared" ref="G414:H416" si="30">G415</f>
        <v>50</v>
      </c>
      <c r="H414" s="438">
        <f t="shared" si="30"/>
        <v>50</v>
      </c>
      <c r="I414" s="310"/>
      <c r="J414" s="302"/>
    </row>
    <row r="415" spans="1:10" ht="32.25" customHeight="1" x14ac:dyDescent="0.25">
      <c r="A415" s="391" t="s">
        <v>397</v>
      </c>
      <c r="B415" s="454">
        <v>903</v>
      </c>
      <c r="C415" s="394" t="s">
        <v>203</v>
      </c>
      <c r="D415" s="394" t="s">
        <v>116</v>
      </c>
      <c r="E415" s="394" t="s">
        <v>752</v>
      </c>
      <c r="F415" s="394"/>
      <c r="G415" s="435">
        <f t="shared" si="30"/>
        <v>50</v>
      </c>
      <c r="H415" s="435">
        <f t="shared" si="30"/>
        <v>50</v>
      </c>
      <c r="I415" s="310"/>
      <c r="J415" s="302"/>
    </row>
    <row r="416" spans="1:10" ht="33.75" customHeight="1" x14ac:dyDescent="0.25">
      <c r="A416" s="391" t="s">
        <v>123</v>
      </c>
      <c r="B416" s="454">
        <v>903</v>
      </c>
      <c r="C416" s="394" t="s">
        <v>203</v>
      </c>
      <c r="D416" s="394" t="s">
        <v>116</v>
      </c>
      <c r="E416" s="394" t="s">
        <v>752</v>
      </c>
      <c r="F416" s="394" t="s">
        <v>124</v>
      </c>
      <c r="G416" s="435">
        <f t="shared" si="30"/>
        <v>50</v>
      </c>
      <c r="H416" s="435">
        <f t="shared" si="30"/>
        <v>50</v>
      </c>
      <c r="I416" s="310"/>
      <c r="J416" s="302"/>
    </row>
    <row r="417" spans="1:10" ht="31.7" customHeight="1" x14ac:dyDescent="0.25">
      <c r="A417" s="391" t="s">
        <v>125</v>
      </c>
      <c r="B417" s="454">
        <v>903</v>
      </c>
      <c r="C417" s="394" t="s">
        <v>203</v>
      </c>
      <c r="D417" s="394" t="s">
        <v>116</v>
      </c>
      <c r="E417" s="394" t="s">
        <v>752</v>
      </c>
      <c r="F417" s="394" t="s">
        <v>126</v>
      </c>
      <c r="G417" s="435">
        <v>50</v>
      </c>
      <c r="H417" s="435">
        <v>50</v>
      </c>
      <c r="I417" s="310"/>
      <c r="J417" s="302"/>
    </row>
    <row r="418" spans="1:10" ht="21.2" customHeight="1" x14ac:dyDescent="0.25">
      <c r="A418" s="409" t="s">
        <v>571</v>
      </c>
      <c r="B418" s="453">
        <v>903</v>
      </c>
      <c r="C418" s="406" t="s">
        <v>203</v>
      </c>
      <c r="D418" s="406" t="s">
        <v>116</v>
      </c>
      <c r="E418" s="406" t="s">
        <v>753</v>
      </c>
      <c r="F418" s="406"/>
      <c r="G418" s="438">
        <f>G419+G422</f>
        <v>3.5</v>
      </c>
      <c r="H418" s="438">
        <f>H419+H422</f>
        <v>3.5</v>
      </c>
      <c r="I418" s="310"/>
      <c r="J418" s="302"/>
    </row>
    <row r="419" spans="1:10" ht="31.5" x14ac:dyDescent="0.25">
      <c r="A419" s="391" t="s">
        <v>966</v>
      </c>
      <c r="B419" s="454">
        <v>903</v>
      </c>
      <c r="C419" s="394" t="s">
        <v>203</v>
      </c>
      <c r="D419" s="394" t="s">
        <v>116</v>
      </c>
      <c r="E419" s="394" t="s">
        <v>754</v>
      </c>
      <c r="F419" s="394"/>
      <c r="G419" s="435">
        <f t="shared" ref="G419:H420" si="31">G420</f>
        <v>3.5</v>
      </c>
      <c r="H419" s="435">
        <f t="shared" si="31"/>
        <v>3.5</v>
      </c>
      <c r="I419" s="310"/>
      <c r="J419" s="302"/>
    </row>
    <row r="420" spans="1:10" ht="31.5" x14ac:dyDescent="0.25">
      <c r="A420" s="391" t="s">
        <v>123</v>
      </c>
      <c r="B420" s="454">
        <v>903</v>
      </c>
      <c r="C420" s="394" t="s">
        <v>203</v>
      </c>
      <c r="D420" s="394" t="s">
        <v>116</v>
      </c>
      <c r="E420" s="394" t="s">
        <v>754</v>
      </c>
      <c r="F420" s="394" t="s">
        <v>124</v>
      </c>
      <c r="G420" s="435">
        <f t="shared" si="31"/>
        <v>3.5</v>
      </c>
      <c r="H420" s="435">
        <f t="shared" si="31"/>
        <v>3.5</v>
      </c>
      <c r="I420" s="310"/>
      <c r="J420" s="302"/>
    </row>
    <row r="421" spans="1:10" ht="31.5" x14ac:dyDescent="0.25">
      <c r="A421" s="391" t="s">
        <v>125</v>
      </c>
      <c r="B421" s="454">
        <v>903</v>
      </c>
      <c r="C421" s="394" t="s">
        <v>203</v>
      </c>
      <c r="D421" s="394" t="s">
        <v>116</v>
      </c>
      <c r="E421" s="394" t="s">
        <v>754</v>
      </c>
      <c r="F421" s="394" t="s">
        <v>126</v>
      </c>
      <c r="G421" s="435">
        <v>3.5</v>
      </c>
      <c r="H421" s="435">
        <v>3.5</v>
      </c>
      <c r="I421" s="310"/>
      <c r="J421" s="302"/>
    </row>
    <row r="422" spans="1:10" ht="21.6" hidden="1" customHeight="1" x14ac:dyDescent="0.25">
      <c r="A422" s="391" t="s">
        <v>1155</v>
      </c>
      <c r="B422" s="454">
        <v>903</v>
      </c>
      <c r="C422" s="394" t="s">
        <v>203</v>
      </c>
      <c r="D422" s="394" t="s">
        <v>116</v>
      </c>
      <c r="E422" s="394" t="s">
        <v>1156</v>
      </c>
      <c r="F422" s="394"/>
      <c r="G422" s="435">
        <f>G423</f>
        <v>0</v>
      </c>
      <c r="H422" s="435">
        <f>H423</f>
        <v>0</v>
      </c>
      <c r="I422" s="310"/>
      <c r="J422" s="302"/>
    </row>
    <row r="423" spans="1:10" ht="31.5" hidden="1" x14ac:dyDescent="0.25">
      <c r="A423" s="391" t="s">
        <v>123</v>
      </c>
      <c r="B423" s="454">
        <v>903</v>
      </c>
      <c r="C423" s="394" t="s">
        <v>203</v>
      </c>
      <c r="D423" s="394" t="s">
        <v>116</v>
      </c>
      <c r="E423" s="394" t="s">
        <v>1156</v>
      </c>
      <c r="F423" s="394" t="s">
        <v>124</v>
      </c>
      <c r="G423" s="435">
        <f>G424</f>
        <v>0</v>
      </c>
      <c r="H423" s="435">
        <f>H424</f>
        <v>0</v>
      </c>
      <c r="I423" s="310"/>
      <c r="J423" s="302"/>
    </row>
    <row r="424" spans="1:10" ht="31.5" hidden="1" x14ac:dyDescent="0.25">
      <c r="A424" s="391" t="s">
        <v>125</v>
      </c>
      <c r="B424" s="454">
        <v>903</v>
      </c>
      <c r="C424" s="394" t="s">
        <v>203</v>
      </c>
      <c r="D424" s="394" t="s">
        <v>116</v>
      </c>
      <c r="E424" s="394" t="s">
        <v>1156</v>
      </c>
      <c r="F424" s="394" t="s">
        <v>126</v>
      </c>
      <c r="G424" s="435"/>
      <c r="H424" s="435"/>
      <c r="I424" s="310"/>
      <c r="J424" s="302"/>
    </row>
    <row r="425" spans="1:10" ht="31.5" hidden="1" x14ac:dyDescent="0.25">
      <c r="A425" s="405" t="s">
        <v>1049</v>
      </c>
      <c r="B425" s="453">
        <v>903</v>
      </c>
      <c r="C425" s="406" t="s">
        <v>203</v>
      </c>
      <c r="D425" s="406" t="s">
        <v>116</v>
      </c>
      <c r="E425" s="406" t="s">
        <v>1051</v>
      </c>
      <c r="F425" s="406"/>
      <c r="G425" s="438">
        <f t="shared" ref="G425:H427" si="32">G426</f>
        <v>0</v>
      </c>
      <c r="H425" s="438">
        <f t="shared" si="32"/>
        <v>0</v>
      </c>
      <c r="I425" s="310"/>
      <c r="J425" s="302"/>
    </row>
    <row r="426" spans="1:10" ht="47.25" hidden="1" x14ac:dyDescent="0.25">
      <c r="A426" s="393" t="s">
        <v>1050</v>
      </c>
      <c r="B426" s="454">
        <v>903</v>
      </c>
      <c r="C426" s="394" t="s">
        <v>203</v>
      </c>
      <c r="D426" s="394" t="s">
        <v>116</v>
      </c>
      <c r="E426" s="394" t="s">
        <v>1052</v>
      </c>
      <c r="F426" s="394"/>
      <c r="G426" s="435">
        <f t="shared" si="32"/>
        <v>0</v>
      </c>
      <c r="H426" s="435">
        <f t="shared" si="32"/>
        <v>0</v>
      </c>
      <c r="I426" s="310"/>
      <c r="J426" s="302"/>
    </row>
    <row r="427" spans="1:10" ht="31.5" hidden="1" x14ac:dyDescent="0.25">
      <c r="A427" s="391" t="s">
        <v>123</v>
      </c>
      <c r="B427" s="454">
        <v>903</v>
      </c>
      <c r="C427" s="394" t="s">
        <v>203</v>
      </c>
      <c r="D427" s="394" t="s">
        <v>116</v>
      </c>
      <c r="E427" s="394" t="s">
        <v>1052</v>
      </c>
      <c r="F427" s="394" t="s">
        <v>124</v>
      </c>
      <c r="G427" s="435">
        <f t="shared" si="32"/>
        <v>0</v>
      </c>
      <c r="H427" s="435">
        <f t="shared" si="32"/>
        <v>0</v>
      </c>
      <c r="I427" s="310"/>
      <c r="J427" s="302"/>
    </row>
    <row r="428" spans="1:10" ht="31.5" hidden="1" x14ac:dyDescent="0.25">
      <c r="A428" s="391" t="s">
        <v>125</v>
      </c>
      <c r="B428" s="454">
        <v>903</v>
      </c>
      <c r="C428" s="394" t="s">
        <v>203</v>
      </c>
      <c r="D428" s="394" t="s">
        <v>116</v>
      </c>
      <c r="E428" s="394" t="s">
        <v>1052</v>
      </c>
      <c r="F428" s="394" t="s">
        <v>126</v>
      </c>
      <c r="G428" s="435">
        <f>1500-1500</f>
        <v>0</v>
      </c>
      <c r="H428" s="435">
        <f>1500-1500</f>
        <v>0</v>
      </c>
      <c r="I428" s="310"/>
      <c r="J428" s="302"/>
    </row>
    <row r="429" spans="1:10" ht="31.5" hidden="1" x14ac:dyDescent="0.25">
      <c r="A429" s="464" t="s">
        <v>723</v>
      </c>
      <c r="B429" s="453">
        <v>903</v>
      </c>
      <c r="C429" s="406" t="s">
        <v>203</v>
      </c>
      <c r="D429" s="406" t="s">
        <v>116</v>
      </c>
      <c r="E429" s="406" t="s">
        <v>749</v>
      </c>
      <c r="F429" s="406"/>
      <c r="G429" s="438">
        <f>G436+G433+G430</f>
        <v>0</v>
      </c>
      <c r="H429" s="438">
        <f>H436+H433+H430</f>
        <v>0</v>
      </c>
      <c r="I429" s="310"/>
      <c r="J429" s="302"/>
    </row>
    <row r="430" spans="1:10" ht="31.5" hidden="1" x14ac:dyDescent="0.25">
      <c r="A430" s="483" t="s">
        <v>1113</v>
      </c>
      <c r="B430" s="454">
        <v>903</v>
      </c>
      <c r="C430" s="394" t="s">
        <v>203</v>
      </c>
      <c r="D430" s="394" t="s">
        <v>116</v>
      </c>
      <c r="E430" s="394" t="s">
        <v>1112</v>
      </c>
      <c r="F430" s="394"/>
      <c r="G430" s="435">
        <f>G431</f>
        <v>0</v>
      </c>
      <c r="H430" s="435">
        <f>H431</f>
        <v>0</v>
      </c>
      <c r="I430" s="310"/>
      <c r="J430" s="302"/>
    </row>
    <row r="431" spans="1:10" ht="31.5" hidden="1" x14ac:dyDescent="0.25">
      <c r="A431" s="391" t="s">
        <v>123</v>
      </c>
      <c r="B431" s="454">
        <v>903</v>
      </c>
      <c r="C431" s="394" t="s">
        <v>203</v>
      </c>
      <c r="D431" s="394" t="s">
        <v>116</v>
      </c>
      <c r="E431" s="394" t="s">
        <v>1112</v>
      </c>
      <c r="F431" s="394" t="s">
        <v>124</v>
      </c>
      <c r="G431" s="435">
        <f>G432</f>
        <v>0</v>
      </c>
      <c r="H431" s="435">
        <f>H432</f>
        <v>0</v>
      </c>
      <c r="I431" s="310"/>
      <c r="J431" s="302"/>
    </row>
    <row r="432" spans="1:10" ht="31.5" hidden="1" x14ac:dyDescent="0.25">
      <c r="A432" s="391" t="s">
        <v>125</v>
      </c>
      <c r="B432" s="454">
        <v>903</v>
      </c>
      <c r="C432" s="394" t="s">
        <v>203</v>
      </c>
      <c r="D432" s="394" t="s">
        <v>116</v>
      </c>
      <c r="E432" s="394" t="s">
        <v>1112</v>
      </c>
      <c r="F432" s="394" t="s">
        <v>126</v>
      </c>
      <c r="G432" s="438"/>
      <c r="H432" s="438"/>
      <c r="I432" s="310"/>
      <c r="J432" s="302"/>
    </row>
    <row r="433" spans="1:10" ht="15.75" hidden="1" x14ac:dyDescent="0.25">
      <c r="A433" s="484" t="s">
        <v>1152</v>
      </c>
      <c r="B433" s="454">
        <v>903</v>
      </c>
      <c r="C433" s="394" t="s">
        <v>203</v>
      </c>
      <c r="D433" s="394" t="s">
        <v>116</v>
      </c>
      <c r="E433" s="394" t="s">
        <v>1153</v>
      </c>
      <c r="F433" s="406"/>
      <c r="G433" s="438">
        <f>G434</f>
        <v>0</v>
      </c>
      <c r="H433" s="438">
        <f>H434</f>
        <v>0</v>
      </c>
      <c r="I433" s="310"/>
      <c r="J433" s="302"/>
    </row>
    <row r="434" spans="1:10" ht="31.5" hidden="1" x14ac:dyDescent="0.25">
      <c r="A434" s="391" t="s">
        <v>123</v>
      </c>
      <c r="B434" s="454">
        <v>903</v>
      </c>
      <c r="C434" s="394" t="s">
        <v>203</v>
      </c>
      <c r="D434" s="394" t="s">
        <v>116</v>
      </c>
      <c r="E434" s="394" t="s">
        <v>1153</v>
      </c>
      <c r="F434" s="394" t="s">
        <v>124</v>
      </c>
      <c r="G434" s="435">
        <f>G435</f>
        <v>0</v>
      </c>
      <c r="H434" s="435">
        <f>H435</f>
        <v>0</v>
      </c>
      <c r="I434" s="310"/>
      <c r="J434" s="302"/>
    </row>
    <row r="435" spans="1:10" ht="31.5" hidden="1" x14ac:dyDescent="0.25">
      <c r="A435" s="391" t="s">
        <v>125</v>
      </c>
      <c r="B435" s="454">
        <v>903</v>
      </c>
      <c r="C435" s="394" t="s">
        <v>203</v>
      </c>
      <c r="D435" s="394" t="s">
        <v>116</v>
      </c>
      <c r="E435" s="394" t="s">
        <v>1153</v>
      </c>
      <c r="F435" s="394" t="s">
        <v>126</v>
      </c>
      <c r="G435" s="435"/>
      <c r="H435" s="435"/>
      <c r="I435" s="310"/>
      <c r="J435" s="302"/>
    </row>
    <row r="436" spans="1:10" ht="15.75" hidden="1" x14ac:dyDescent="0.25">
      <c r="A436" s="465" t="s">
        <v>725</v>
      </c>
      <c r="B436" s="454">
        <v>903</v>
      </c>
      <c r="C436" s="394" t="s">
        <v>203</v>
      </c>
      <c r="D436" s="394" t="s">
        <v>116</v>
      </c>
      <c r="E436" s="394" t="s">
        <v>750</v>
      </c>
      <c r="F436" s="394"/>
      <c r="G436" s="435">
        <f t="shared" ref="G436:H437" si="33">G437</f>
        <v>0</v>
      </c>
      <c r="H436" s="435">
        <f t="shared" si="33"/>
        <v>0</v>
      </c>
      <c r="I436" s="310"/>
      <c r="J436" s="302"/>
    </row>
    <row r="437" spans="1:10" ht="31.5" hidden="1" x14ac:dyDescent="0.25">
      <c r="A437" s="391" t="s">
        <v>123</v>
      </c>
      <c r="B437" s="454">
        <v>903</v>
      </c>
      <c r="C437" s="394" t="s">
        <v>203</v>
      </c>
      <c r="D437" s="394" t="s">
        <v>116</v>
      </c>
      <c r="E437" s="394" t="s">
        <v>750</v>
      </c>
      <c r="F437" s="394" t="s">
        <v>124</v>
      </c>
      <c r="G437" s="435">
        <f t="shared" si="33"/>
        <v>0</v>
      </c>
      <c r="H437" s="435">
        <f t="shared" si="33"/>
        <v>0</v>
      </c>
      <c r="I437" s="310"/>
      <c r="J437" s="302"/>
    </row>
    <row r="438" spans="1:10" ht="31.5" hidden="1" x14ac:dyDescent="0.25">
      <c r="A438" s="391" t="s">
        <v>125</v>
      </c>
      <c r="B438" s="454">
        <v>903</v>
      </c>
      <c r="C438" s="394" t="s">
        <v>203</v>
      </c>
      <c r="D438" s="394" t="s">
        <v>116</v>
      </c>
      <c r="E438" s="394" t="s">
        <v>750</v>
      </c>
      <c r="F438" s="394" t="s">
        <v>126</v>
      </c>
      <c r="G438" s="435"/>
      <c r="H438" s="435"/>
      <c r="I438" s="310"/>
      <c r="J438" s="302"/>
    </row>
    <row r="439" spans="1:10" ht="47.25" x14ac:dyDescent="0.25">
      <c r="A439" s="405" t="s">
        <v>924</v>
      </c>
      <c r="B439" s="453">
        <v>903</v>
      </c>
      <c r="C439" s="406" t="s">
        <v>203</v>
      </c>
      <c r="D439" s="406" t="s">
        <v>116</v>
      </c>
      <c r="E439" s="406" t="s">
        <v>206</v>
      </c>
      <c r="F439" s="406"/>
      <c r="G439" s="438">
        <f>G440</f>
        <v>10</v>
      </c>
      <c r="H439" s="438">
        <f>H440</f>
        <v>10</v>
      </c>
      <c r="I439" s="310"/>
      <c r="J439" s="302"/>
    </row>
    <row r="440" spans="1:10" ht="47.25" x14ac:dyDescent="0.25">
      <c r="A440" s="405" t="s">
        <v>586</v>
      </c>
      <c r="B440" s="453">
        <v>903</v>
      </c>
      <c r="C440" s="406" t="s">
        <v>203</v>
      </c>
      <c r="D440" s="406" t="s">
        <v>116</v>
      </c>
      <c r="E440" s="406" t="s">
        <v>502</v>
      </c>
      <c r="F440" s="406"/>
      <c r="G440" s="438">
        <f>G443+G444</f>
        <v>10</v>
      </c>
      <c r="H440" s="438">
        <f>H443+H444</f>
        <v>10</v>
      </c>
      <c r="I440" s="310"/>
      <c r="J440" s="302"/>
    </row>
    <row r="441" spans="1:10" ht="47.25" x14ac:dyDescent="0.25">
      <c r="A441" s="393" t="s">
        <v>632</v>
      </c>
      <c r="B441" s="454">
        <v>903</v>
      </c>
      <c r="C441" s="394" t="s">
        <v>203</v>
      </c>
      <c r="D441" s="394" t="s">
        <v>116</v>
      </c>
      <c r="E441" s="394" t="s">
        <v>587</v>
      </c>
      <c r="F441" s="394"/>
      <c r="G441" s="435">
        <f>G442</f>
        <v>4</v>
      </c>
      <c r="H441" s="435">
        <f>H442</f>
        <v>4</v>
      </c>
      <c r="I441" s="310"/>
      <c r="J441" s="302"/>
    </row>
    <row r="442" spans="1:10" ht="31.5" x14ac:dyDescent="0.25">
      <c r="A442" s="391" t="s">
        <v>123</v>
      </c>
      <c r="B442" s="454">
        <v>903</v>
      </c>
      <c r="C442" s="394" t="s">
        <v>203</v>
      </c>
      <c r="D442" s="394" t="s">
        <v>116</v>
      </c>
      <c r="E442" s="394" t="s">
        <v>587</v>
      </c>
      <c r="F442" s="394" t="s">
        <v>124</v>
      </c>
      <c r="G442" s="435">
        <f>G443</f>
        <v>4</v>
      </c>
      <c r="H442" s="435">
        <f>H443</f>
        <v>4</v>
      </c>
      <c r="I442" s="310"/>
      <c r="J442" s="302"/>
    </row>
    <row r="443" spans="1:10" ht="31.5" x14ac:dyDescent="0.25">
      <c r="A443" s="391" t="s">
        <v>125</v>
      </c>
      <c r="B443" s="454">
        <v>903</v>
      </c>
      <c r="C443" s="394" t="s">
        <v>203</v>
      </c>
      <c r="D443" s="394" t="s">
        <v>116</v>
      </c>
      <c r="E443" s="394" t="s">
        <v>587</v>
      </c>
      <c r="F443" s="394" t="s">
        <v>126</v>
      </c>
      <c r="G443" s="435">
        <f>10-6</f>
        <v>4</v>
      </c>
      <c r="H443" s="435">
        <f>10-6</f>
        <v>4</v>
      </c>
      <c r="I443" s="310"/>
      <c r="J443" s="302"/>
    </row>
    <row r="444" spans="1:10" ht="47.25" x14ac:dyDescent="0.25">
      <c r="A444" s="391" t="s">
        <v>569</v>
      </c>
      <c r="B444" s="454">
        <v>903</v>
      </c>
      <c r="C444" s="394" t="s">
        <v>203</v>
      </c>
      <c r="D444" s="394" t="s">
        <v>116</v>
      </c>
      <c r="E444" s="394" t="s">
        <v>503</v>
      </c>
      <c r="F444" s="394"/>
      <c r="G444" s="435">
        <f>G445</f>
        <v>6</v>
      </c>
      <c r="H444" s="435">
        <f>H445</f>
        <v>6</v>
      </c>
      <c r="I444" s="310"/>
      <c r="J444" s="302"/>
    </row>
    <row r="445" spans="1:10" ht="31.5" x14ac:dyDescent="0.25">
      <c r="A445" s="391" t="s">
        <v>191</v>
      </c>
      <c r="B445" s="454">
        <v>903</v>
      </c>
      <c r="C445" s="394" t="s">
        <v>203</v>
      </c>
      <c r="D445" s="394" t="s">
        <v>116</v>
      </c>
      <c r="E445" s="394" t="s">
        <v>503</v>
      </c>
      <c r="F445" s="394" t="s">
        <v>192</v>
      </c>
      <c r="G445" s="435">
        <f>G446</f>
        <v>6</v>
      </c>
      <c r="H445" s="435">
        <f>H446</f>
        <v>6</v>
      </c>
      <c r="I445" s="310"/>
      <c r="J445" s="302"/>
    </row>
    <row r="446" spans="1:10" ht="15.75" x14ac:dyDescent="0.25">
      <c r="A446" s="391" t="s">
        <v>193</v>
      </c>
      <c r="B446" s="454">
        <v>903</v>
      </c>
      <c r="C446" s="394" t="s">
        <v>203</v>
      </c>
      <c r="D446" s="394" t="s">
        <v>116</v>
      </c>
      <c r="E446" s="394" t="s">
        <v>503</v>
      </c>
      <c r="F446" s="394" t="s">
        <v>194</v>
      </c>
      <c r="G446" s="435">
        <v>6</v>
      </c>
      <c r="H446" s="435">
        <v>6</v>
      </c>
      <c r="I446" s="310"/>
      <c r="J446" s="302"/>
    </row>
    <row r="447" spans="1:10" ht="47.25" x14ac:dyDescent="0.25">
      <c r="A447" s="462" t="s">
        <v>845</v>
      </c>
      <c r="B447" s="453">
        <v>903</v>
      </c>
      <c r="C447" s="406" t="s">
        <v>203</v>
      </c>
      <c r="D447" s="406" t="s">
        <v>116</v>
      </c>
      <c r="E447" s="406" t="s">
        <v>339</v>
      </c>
      <c r="F447" s="463"/>
      <c r="G447" s="438">
        <f t="shared" ref="G447:H450" si="34">G448</f>
        <v>878.7</v>
      </c>
      <c r="H447" s="438">
        <f t="shared" si="34"/>
        <v>878.7</v>
      </c>
      <c r="I447" s="310"/>
      <c r="J447" s="302"/>
    </row>
    <row r="448" spans="1:10" ht="47.25" x14ac:dyDescent="0.25">
      <c r="A448" s="462" t="s">
        <v>461</v>
      </c>
      <c r="B448" s="453">
        <v>903</v>
      </c>
      <c r="C448" s="406" t="s">
        <v>203</v>
      </c>
      <c r="D448" s="406" t="s">
        <v>116</v>
      </c>
      <c r="E448" s="406" t="s">
        <v>459</v>
      </c>
      <c r="F448" s="463"/>
      <c r="G448" s="438">
        <f>G449+G453</f>
        <v>878.7</v>
      </c>
      <c r="H448" s="438">
        <f>H449+H452</f>
        <v>878.7</v>
      </c>
      <c r="I448" s="310"/>
      <c r="J448" s="302"/>
    </row>
    <row r="449" spans="1:10" ht="31.5" x14ac:dyDescent="0.25">
      <c r="A449" s="465" t="s">
        <v>583</v>
      </c>
      <c r="B449" s="454">
        <v>903</v>
      </c>
      <c r="C449" s="394" t="s">
        <v>203</v>
      </c>
      <c r="D449" s="394" t="s">
        <v>116</v>
      </c>
      <c r="E449" s="394" t="s">
        <v>460</v>
      </c>
      <c r="F449" s="466"/>
      <c r="G449" s="435">
        <f t="shared" si="34"/>
        <v>506.80000000000007</v>
      </c>
      <c r="H449" s="435">
        <f t="shared" si="34"/>
        <v>506.80000000000007</v>
      </c>
      <c r="I449" s="310"/>
      <c r="J449" s="302"/>
    </row>
    <row r="450" spans="1:10" ht="31.5" x14ac:dyDescent="0.25">
      <c r="A450" s="391" t="s">
        <v>123</v>
      </c>
      <c r="B450" s="454">
        <v>903</v>
      </c>
      <c r="C450" s="394" t="s">
        <v>203</v>
      </c>
      <c r="D450" s="394" t="s">
        <v>116</v>
      </c>
      <c r="E450" s="394" t="s">
        <v>460</v>
      </c>
      <c r="F450" s="466" t="s">
        <v>124</v>
      </c>
      <c r="G450" s="435">
        <f t="shared" si="34"/>
        <v>506.80000000000007</v>
      </c>
      <c r="H450" s="435">
        <f t="shared" si="34"/>
        <v>506.80000000000007</v>
      </c>
      <c r="I450" s="310"/>
      <c r="J450" s="302"/>
    </row>
    <row r="451" spans="1:10" ht="31.5" x14ac:dyDescent="0.25">
      <c r="A451" s="391" t="s">
        <v>125</v>
      </c>
      <c r="B451" s="454">
        <v>903</v>
      </c>
      <c r="C451" s="394" t="s">
        <v>203</v>
      </c>
      <c r="D451" s="394" t="s">
        <v>116</v>
      </c>
      <c r="E451" s="394" t="s">
        <v>460</v>
      </c>
      <c r="F451" s="466" t="s">
        <v>126</v>
      </c>
      <c r="G451" s="435">
        <f>878.7-371.9</f>
        <v>506.80000000000007</v>
      </c>
      <c r="H451" s="435">
        <f>878.7-371.9</f>
        <v>506.80000000000007</v>
      </c>
      <c r="I451" s="310"/>
      <c r="J451" s="302"/>
    </row>
    <row r="452" spans="1:10" ht="47.25" x14ac:dyDescent="0.25">
      <c r="A452" s="391" t="s">
        <v>357</v>
      </c>
      <c r="B452" s="454">
        <v>903</v>
      </c>
      <c r="C452" s="394" t="s">
        <v>203</v>
      </c>
      <c r="D452" s="394" t="s">
        <v>116</v>
      </c>
      <c r="E452" s="394" t="s">
        <v>504</v>
      </c>
      <c r="F452" s="466"/>
      <c r="G452" s="435">
        <f>G453</f>
        <v>371.9</v>
      </c>
      <c r="H452" s="435">
        <f>H453</f>
        <v>371.9</v>
      </c>
      <c r="I452" s="310"/>
      <c r="J452" s="302"/>
    </row>
    <row r="453" spans="1:10" ht="31.5" x14ac:dyDescent="0.25">
      <c r="A453" s="391" t="s">
        <v>191</v>
      </c>
      <c r="B453" s="454">
        <v>903</v>
      </c>
      <c r="C453" s="394" t="s">
        <v>203</v>
      </c>
      <c r="D453" s="394" t="s">
        <v>116</v>
      </c>
      <c r="E453" s="394" t="s">
        <v>504</v>
      </c>
      <c r="F453" s="466" t="s">
        <v>192</v>
      </c>
      <c r="G453" s="435">
        <f>G454</f>
        <v>371.9</v>
      </c>
      <c r="H453" s="435">
        <f>H454</f>
        <v>371.9</v>
      </c>
      <c r="I453" s="310"/>
      <c r="J453" s="302"/>
    </row>
    <row r="454" spans="1:10" ht="15.75" x14ac:dyDescent="0.25">
      <c r="A454" s="391" t="s">
        <v>193</v>
      </c>
      <c r="B454" s="454">
        <v>903</v>
      </c>
      <c r="C454" s="394" t="s">
        <v>203</v>
      </c>
      <c r="D454" s="394" t="s">
        <v>116</v>
      </c>
      <c r="E454" s="394" t="s">
        <v>504</v>
      </c>
      <c r="F454" s="466" t="s">
        <v>194</v>
      </c>
      <c r="G454" s="435">
        <v>371.9</v>
      </c>
      <c r="H454" s="435">
        <v>371.9</v>
      </c>
      <c r="I454" s="310"/>
      <c r="J454" s="302"/>
    </row>
    <row r="455" spans="1:10" ht="15.75" x14ac:dyDescent="0.25">
      <c r="A455" s="409" t="s">
        <v>208</v>
      </c>
      <c r="B455" s="453">
        <v>903</v>
      </c>
      <c r="C455" s="406" t="s">
        <v>203</v>
      </c>
      <c r="D455" s="406" t="s">
        <v>139</v>
      </c>
      <c r="E455" s="406"/>
      <c r="F455" s="406"/>
      <c r="G455" s="438">
        <f>G456+G469+G485+G491</f>
        <v>22162.699999999997</v>
      </c>
      <c r="H455" s="438">
        <f>H456+H469+H485+H491</f>
        <v>22166.6</v>
      </c>
      <c r="I455" s="310"/>
      <c r="J455" s="302"/>
    </row>
    <row r="456" spans="1:10" ht="31.5" x14ac:dyDescent="0.25">
      <c r="A456" s="409" t="s">
        <v>486</v>
      </c>
      <c r="B456" s="453">
        <v>903</v>
      </c>
      <c r="C456" s="406" t="s">
        <v>203</v>
      </c>
      <c r="D456" s="406" t="s">
        <v>139</v>
      </c>
      <c r="E456" s="406" t="s">
        <v>432</v>
      </c>
      <c r="F456" s="406"/>
      <c r="G456" s="438">
        <f>G457</f>
        <v>9105.7999999999993</v>
      </c>
      <c r="H456" s="438">
        <f>H457</f>
        <v>9105.7000000000007</v>
      </c>
      <c r="I456" s="310"/>
      <c r="J456" s="302"/>
    </row>
    <row r="457" spans="1:10" ht="15.75" x14ac:dyDescent="0.25">
      <c r="A457" s="409" t="s">
        <v>487</v>
      </c>
      <c r="B457" s="453">
        <v>903</v>
      </c>
      <c r="C457" s="406" t="s">
        <v>203</v>
      </c>
      <c r="D457" s="406" t="s">
        <v>139</v>
      </c>
      <c r="E457" s="406" t="s">
        <v>433</v>
      </c>
      <c r="F457" s="406"/>
      <c r="G457" s="438">
        <f>G458+G466+G463</f>
        <v>9105.7999999999993</v>
      </c>
      <c r="H457" s="438">
        <f>H458+H466+H463</f>
        <v>9105.7000000000007</v>
      </c>
      <c r="I457" s="310"/>
      <c r="J457" s="302"/>
    </row>
    <row r="458" spans="1:10" ht="31.5" x14ac:dyDescent="0.25">
      <c r="A458" s="391" t="s">
        <v>466</v>
      </c>
      <c r="B458" s="454">
        <v>903</v>
      </c>
      <c r="C458" s="394" t="s">
        <v>203</v>
      </c>
      <c r="D458" s="394" t="s">
        <v>139</v>
      </c>
      <c r="E458" s="394" t="s">
        <v>434</v>
      </c>
      <c r="F458" s="394"/>
      <c r="G458" s="435">
        <f>G459+G461</f>
        <v>7689.7</v>
      </c>
      <c r="H458" s="435">
        <f>H459+H461</f>
        <v>7689.6</v>
      </c>
      <c r="I458" s="310"/>
      <c r="J458" s="302"/>
    </row>
    <row r="459" spans="1:10" ht="63" x14ac:dyDescent="0.25">
      <c r="A459" s="391" t="s">
        <v>119</v>
      </c>
      <c r="B459" s="454">
        <v>903</v>
      </c>
      <c r="C459" s="394" t="s">
        <v>203</v>
      </c>
      <c r="D459" s="394" t="s">
        <v>139</v>
      </c>
      <c r="E459" s="394" t="s">
        <v>434</v>
      </c>
      <c r="F459" s="394" t="s">
        <v>120</v>
      </c>
      <c r="G459" s="435">
        <f>G460</f>
        <v>7689.7</v>
      </c>
      <c r="H459" s="435">
        <f>H460</f>
        <v>7689.6</v>
      </c>
      <c r="I459" s="310"/>
      <c r="J459" s="302"/>
    </row>
    <row r="460" spans="1:10" ht="31.5" x14ac:dyDescent="0.25">
      <c r="A460" s="391" t="s">
        <v>121</v>
      </c>
      <c r="B460" s="454">
        <v>903</v>
      </c>
      <c r="C460" s="394" t="s">
        <v>203</v>
      </c>
      <c r="D460" s="394" t="s">
        <v>139</v>
      </c>
      <c r="E460" s="394" t="s">
        <v>434</v>
      </c>
      <c r="F460" s="394" t="s">
        <v>122</v>
      </c>
      <c r="G460" s="436">
        <v>7689.7</v>
      </c>
      <c r="H460" s="436">
        <v>7689.6</v>
      </c>
      <c r="I460" s="310"/>
      <c r="J460" s="310"/>
    </row>
    <row r="461" spans="1:10" ht="31.5" hidden="1" x14ac:dyDescent="0.25">
      <c r="A461" s="391" t="s">
        <v>123</v>
      </c>
      <c r="B461" s="454">
        <v>903</v>
      </c>
      <c r="C461" s="394" t="s">
        <v>203</v>
      </c>
      <c r="D461" s="394" t="s">
        <v>139</v>
      </c>
      <c r="E461" s="394" t="s">
        <v>434</v>
      </c>
      <c r="F461" s="394" t="s">
        <v>124</v>
      </c>
      <c r="G461" s="435">
        <f>G462</f>
        <v>0</v>
      </c>
      <c r="H461" s="435">
        <f>H462</f>
        <v>0</v>
      </c>
      <c r="I461" s="310"/>
      <c r="J461" s="302"/>
    </row>
    <row r="462" spans="1:10" ht="31.5" hidden="1" x14ac:dyDescent="0.25">
      <c r="A462" s="391" t="s">
        <v>125</v>
      </c>
      <c r="B462" s="454">
        <v>903</v>
      </c>
      <c r="C462" s="394" t="s">
        <v>203</v>
      </c>
      <c r="D462" s="394" t="s">
        <v>139</v>
      </c>
      <c r="E462" s="394" t="s">
        <v>434</v>
      </c>
      <c r="F462" s="394" t="s">
        <v>126</v>
      </c>
      <c r="G462" s="435"/>
      <c r="H462" s="435"/>
      <c r="I462" s="310"/>
      <c r="J462" s="302"/>
    </row>
    <row r="463" spans="1:10" ht="31.5" x14ac:dyDescent="0.25">
      <c r="A463" s="391" t="s">
        <v>415</v>
      </c>
      <c r="B463" s="454">
        <v>903</v>
      </c>
      <c r="C463" s="394" t="s">
        <v>203</v>
      </c>
      <c r="D463" s="394" t="s">
        <v>139</v>
      </c>
      <c r="E463" s="394" t="s">
        <v>435</v>
      </c>
      <c r="F463" s="394"/>
      <c r="G463" s="435">
        <f>G464</f>
        <v>986.1</v>
      </c>
      <c r="H463" s="435">
        <f>H464</f>
        <v>986.1</v>
      </c>
      <c r="I463" s="310"/>
      <c r="J463" s="302"/>
    </row>
    <row r="464" spans="1:10" ht="63" x14ac:dyDescent="0.25">
      <c r="A464" s="391" t="s">
        <v>119</v>
      </c>
      <c r="B464" s="454">
        <v>903</v>
      </c>
      <c r="C464" s="394" t="s">
        <v>203</v>
      </c>
      <c r="D464" s="394" t="s">
        <v>139</v>
      </c>
      <c r="E464" s="394" t="s">
        <v>435</v>
      </c>
      <c r="F464" s="394" t="s">
        <v>120</v>
      </c>
      <c r="G464" s="435">
        <f>G465</f>
        <v>986.1</v>
      </c>
      <c r="H464" s="435">
        <f>H465</f>
        <v>986.1</v>
      </c>
      <c r="I464" s="310"/>
      <c r="J464" s="302"/>
    </row>
    <row r="465" spans="1:11" ht="31.5" x14ac:dyDescent="0.25">
      <c r="A465" s="391" t="s">
        <v>121</v>
      </c>
      <c r="B465" s="454">
        <v>903</v>
      </c>
      <c r="C465" s="394" t="s">
        <v>203</v>
      </c>
      <c r="D465" s="394" t="s">
        <v>139</v>
      </c>
      <c r="E465" s="394" t="s">
        <v>435</v>
      </c>
      <c r="F465" s="394" t="s">
        <v>122</v>
      </c>
      <c r="G465" s="435">
        <v>986.1</v>
      </c>
      <c r="H465" s="435">
        <f>G465</f>
        <v>986.1</v>
      </c>
      <c r="I465" s="310"/>
      <c r="J465" s="302"/>
    </row>
    <row r="466" spans="1:11" ht="31.5" x14ac:dyDescent="0.25">
      <c r="A466" s="391" t="s">
        <v>414</v>
      </c>
      <c r="B466" s="454">
        <v>903</v>
      </c>
      <c r="C466" s="394" t="s">
        <v>203</v>
      </c>
      <c r="D466" s="394" t="s">
        <v>139</v>
      </c>
      <c r="E466" s="394" t="s">
        <v>436</v>
      </c>
      <c r="F466" s="394"/>
      <c r="G466" s="435">
        <f>G467</f>
        <v>430</v>
      </c>
      <c r="H466" s="435">
        <f>H467</f>
        <v>430</v>
      </c>
      <c r="I466" s="310"/>
      <c r="J466" s="302"/>
    </row>
    <row r="467" spans="1:11" ht="63" x14ac:dyDescent="0.25">
      <c r="A467" s="391" t="s">
        <v>119</v>
      </c>
      <c r="B467" s="454">
        <v>903</v>
      </c>
      <c r="C467" s="394" t="s">
        <v>203</v>
      </c>
      <c r="D467" s="394" t="s">
        <v>139</v>
      </c>
      <c r="E467" s="394" t="s">
        <v>436</v>
      </c>
      <c r="F467" s="394" t="s">
        <v>120</v>
      </c>
      <c r="G467" s="435">
        <f>G468</f>
        <v>430</v>
      </c>
      <c r="H467" s="435">
        <f>H468</f>
        <v>430</v>
      </c>
      <c r="I467" s="310"/>
      <c r="J467" s="302"/>
    </row>
    <row r="468" spans="1:11" ht="31.5" x14ac:dyDescent="0.25">
      <c r="A468" s="391" t="s">
        <v>121</v>
      </c>
      <c r="B468" s="454">
        <v>903</v>
      </c>
      <c r="C468" s="394" t="s">
        <v>203</v>
      </c>
      <c r="D468" s="394" t="s">
        <v>139</v>
      </c>
      <c r="E468" s="394" t="s">
        <v>436</v>
      </c>
      <c r="F468" s="394" t="s">
        <v>122</v>
      </c>
      <c r="G468" s="435">
        <v>430</v>
      </c>
      <c r="H468" s="435">
        <v>430</v>
      </c>
      <c r="I468" s="310"/>
      <c r="J468" s="302"/>
    </row>
    <row r="469" spans="1:11" ht="15.75" x14ac:dyDescent="0.25">
      <c r="A469" s="409" t="s">
        <v>495</v>
      </c>
      <c r="B469" s="453">
        <v>903</v>
      </c>
      <c r="C469" s="406" t="s">
        <v>203</v>
      </c>
      <c r="D469" s="406" t="s">
        <v>139</v>
      </c>
      <c r="E469" s="406" t="s">
        <v>440</v>
      </c>
      <c r="F469" s="406"/>
      <c r="G469" s="438">
        <f>G474+G470</f>
        <v>12796.9</v>
      </c>
      <c r="H469" s="438">
        <f>H474+H470</f>
        <v>12796.9</v>
      </c>
      <c r="I469" s="310"/>
      <c r="J469" s="302"/>
    </row>
    <row r="470" spans="1:11" ht="31.5" hidden="1" x14ac:dyDescent="0.25">
      <c r="A470" s="405" t="s">
        <v>444</v>
      </c>
      <c r="B470" s="453">
        <v>903</v>
      </c>
      <c r="C470" s="406" t="s">
        <v>203</v>
      </c>
      <c r="D470" s="406" t="s">
        <v>139</v>
      </c>
      <c r="E470" s="406" t="s">
        <v>439</v>
      </c>
      <c r="F470" s="406"/>
      <c r="G470" s="438">
        <f t="shared" ref="G470:H472" si="35">G471</f>
        <v>0</v>
      </c>
      <c r="H470" s="438">
        <f t="shared" si="35"/>
        <v>0</v>
      </c>
      <c r="I470" s="310"/>
      <c r="J470" s="302"/>
    </row>
    <row r="471" spans="1:11" ht="50.25" hidden="1" customHeight="1" x14ac:dyDescent="0.25">
      <c r="A471" s="393" t="s">
        <v>1067</v>
      </c>
      <c r="B471" s="454">
        <v>903</v>
      </c>
      <c r="C471" s="394" t="s">
        <v>203</v>
      </c>
      <c r="D471" s="394" t="s">
        <v>139</v>
      </c>
      <c r="E471" s="394" t="s">
        <v>1066</v>
      </c>
      <c r="F471" s="394"/>
      <c r="G471" s="435">
        <f t="shared" si="35"/>
        <v>0</v>
      </c>
      <c r="H471" s="435">
        <f t="shared" si="35"/>
        <v>0</v>
      </c>
      <c r="I471" s="310"/>
      <c r="J471" s="302"/>
    </row>
    <row r="472" spans="1:11" ht="31.5" hidden="1" x14ac:dyDescent="0.25">
      <c r="A472" s="391" t="s">
        <v>123</v>
      </c>
      <c r="B472" s="454">
        <v>903</v>
      </c>
      <c r="C472" s="394" t="s">
        <v>203</v>
      </c>
      <c r="D472" s="394" t="s">
        <v>139</v>
      </c>
      <c r="E472" s="394" t="s">
        <v>1066</v>
      </c>
      <c r="F472" s="394" t="s">
        <v>124</v>
      </c>
      <c r="G472" s="435">
        <f t="shared" si="35"/>
        <v>0</v>
      </c>
      <c r="H472" s="435">
        <f t="shared" si="35"/>
        <v>0</v>
      </c>
      <c r="I472" s="310"/>
      <c r="J472" s="302"/>
    </row>
    <row r="473" spans="1:11" ht="31.5" hidden="1" x14ac:dyDescent="0.25">
      <c r="A473" s="391" t="s">
        <v>125</v>
      </c>
      <c r="B473" s="454">
        <v>903</v>
      </c>
      <c r="C473" s="394" t="s">
        <v>203</v>
      </c>
      <c r="D473" s="394" t="s">
        <v>139</v>
      </c>
      <c r="E473" s="394" t="s">
        <v>1066</v>
      </c>
      <c r="F473" s="394" t="s">
        <v>126</v>
      </c>
      <c r="G473" s="435"/>
      <c r="H473" s="435"/>
      <c r="I473" s="310"/>
      <c r="J473" s="302"/>
    </row>
    <row r="474" spans="1:11" ht="15.75" x14ac:dyDescent="0.25">
      <c r="A474" s="409" t="s">
        <v>1115</v>
      </c>
      <c r="B474" s="453">
        <v>903</v>
      </c>
      <c r="C474" s="406" t="s">
        <v>203</v>
      </c>
      <c r="D474" s="406" t="s">
        <v>139</v>
      </c>
      <c r="E474" s="406" t="s">
        <v>516</v>
      </c>
      <c r="F474" s="406"/>
      <c r="G474" s="438">
        <f>G475+G478</f>
        <v>12796.9</v>
      </c>
      <c r="H474" s="438">
        <f>H475+H478</f>
        <v>12796.9</v>
      </c>
      <c r="I474" s="310"/>
      <c r="J474" s="302"/>
    </row>
    <row r="475" spans="1:11" ht="31.5" x14ac:dyDescent="0.25">
      <c r="A475" s="391" t="s">
        <v>414</v>
      </c>
      <c r="B475" s="454">
        <v>903</v>
      </c>
      <c r="C475" s="394" t="s">
        <v>203</v>
      </c>
      <c r="D475" s="394" t="s">
        <v>139</v>
      </c>
      <c r="E475" s="394" t="s">
        <v>519</v>
      </c>
      <c r="F475" s="394"/>
      <c r="G475" s="435">
        <f>G476</f>
        <v>215</v>
      </c>
      <c r="H475" s="435">
        <f>H476</f>
        <v>215</v>
      </c>
      <c r="I475" s="310"/>
      <c r="J475" s="302"/>
    </row>
    <row r="476" spans="1:11" ht="63" x14ac:dyDescent="0.25">
      <c r="A476" s="391" t="s">
        <v>119</v>
      </c>
      <c r="B476" s="454">
        <v>903</v>
      </c>
      <c r="C476" s="394" t="s">
        <v>203</v>
      </c>
      <c r="D476" s="394" t="s">
        <v>139</v>
      </c>
      <c r="E476" s="394" t="s">
        <v>519</v>
      </c>
      <c r="F476" s="394" t="s">
        <v>120</v>
      </c>
      <c r="G476" s="435">
        <f>G477</f>
        <v>215</v>
      </c>
      <c r="H476" s="435">
        <f>H477</f>
        <v>215</v>
      </c>
      <c r="I476" s="310"/>
      <c r="J476" s="302"/>
    </row>
    <row r="477" spans="1:11" ht="15.75" x14ac:dyDescent="0.25">
      <c r="A477" s="391" t="s">
        <v>212</v>
      </c>
      <c r="B477" s="454">
        <v>903</v>
      </c>
      <c r="C477" s="394" t="s">
        <v>203</v>
      </c>
      <c r="D477" s="394" t="s">
        <v>139</v>
      </c>
      <c r="E477" s="394" t="s">
        <v>519</v>
      </c>
      <c r="F477" s="394" t="s">
        <v>156</v>
      </c>
      <c r="G477" s="435">
        <v>215</v>
      </c>
      <c r="H477" s="435">
        <v>215</v>
      </c>
      <c r="I477" s="310"/>
      <c r="J477" s="302"/>
    </row>
    <row r="478" spans="1:11" ht="15.75" x14ac:dyDescent="0.25">
      <c r="A478" s="391" t="s">
        <v>377</v>
      </c>
      <c r="B478" s="454">
        <v>903</v>
      </c>
      <c r="C478" s="394" t="s">
        <v>203</v>
      </c>
      <c r="D478" s="394" t="s">
        <v>139</v>
      </c>
      <c r="E478" s="394" t="s">
        <v>518</v>
      </c>
      <c r="F478" s="394"/>
      <c r="G478" s="435">
        <f>G479+G481+G483</f>
        <v>12581.9</v>
      </c>
      <c r="H478" s="435">
        <f>H479+H481+H483</f>
        <v>12581.9</v>
      </c>
      <c r="I478" s="310"/>
      <c r="J478" s="302"/>
    </row>
    <row r="479" spans="1:11" ht="63" x14ac:dyDescent="0.25">
      <c r="A479" s="391" t="s">
        <v>119</v>
      </c>
      <c r="B479" s="454">
        <v>903</v>
      </c>
      <c r="C479" s="394" t="s">
        <v>203</v>
      </c>
      <c r="D479" s="394" t="s">
        <v>139</v>
      </c>
      <c r="E479" s="394" t="s">
        <v>518</v>
      </c>
      <c r="F479" s="394" t="s">
        <v>120</v>
      </c>
      <c r="G479" s="435">
        <f>G480</f>
        <v>10677.8</v>
      </c>
      <c r="H479" s="435">
        <f>H480</f>
        <v>10677.8</v>
      </c>
      <c r="I479" s="310"/>
      <c r="J479" s="302"/>
    </row>
    <row r="480" spans="1:11" ht="21.2" customHeight="1" x14ac:dyDescent="0.25">
      <c r="A480" s="391" t="s">
        <v>212</v>
      </c>
      <c r="B480" s="454">
        <v>903</v>
      </c>
      <c r="C480" s="394" t="s">
        <v>203</v>
      </c>
      <c r="D480" s="394" t="s">
        <v>139</v>
      </c>
      <c r="E480" s="394" t="s">
        <v>518</v>
      </c>
      <c r="F480" s="394" t="s">
        <v>156</v>
      </c>
      <c r="G480" s="436">
        <v>10677.8</v>
      </c>
      <c r="H480" s="436">
        <f>G480</f>
        <v>10677.8</v>
      </c>
      <c r="I480" s="310"/>
      <c r="J480" s="310"/>
      <c r="K480" s="320"/>
    </row>
    <row r="481" spans="1:11" ht="31.5" x14ac:dyDescent="0.25">
      <c r="A481" s="391" t="s">
        <v>123</v>
      </c>
      <c r="B481" s="454">
        <v>903</v>
      </c>
      <c r="C481" s="394" t="s">
        <v>203</v>
      </c>
      <c r="D481" s="394" t="s">
        <v>139</v>
      </c>
      <c r="E481" s="394" t="s">
        <v>518</v>
      </c>
      <c r="F481" s="394" t="s">
        <v>124</v>
      </c>
      <c r="G481" s="435">
        <f>G482</f>
        <v>1890.1</v>
      </c>
      <c r="H481" s="435">
        <f>H482</f>
        <v>1890.1</v>
      </c>
      <c r="I481" s="310"/>
      <c r="J481" s="302"/>
    </row>
    <row r="482" spans="1:11" ht="31.5" x14ac:dyDescent="0.25">
      <c r="A482" s="391" t="s">
        <v>125</v>
      </c>
      <c r="B482" s="454">
        <v>903</v>
      </c>
      <c r="C482" s="394" t="s">
        <v>203</v>
      </c>
      <c r="D482" s="394" t="s">
        <v>139</v>
      </c>
      <c r="E482" s="394" t="s">
        <v>518</v>
      </c>
      <c r="F482" s="394" t="s">
        <v>126</v>
      </c>
      <c r="G482" s="436">
        <v>1890.1</v>
      </c>
      <c r="H482" s="436">
        <v>1890.1</v>
      </c>
      <c r="I482" s="310"/>
      <c r="J482" s="302"/>
      <c r="K482" s="320"/>
    </row>
    <row r="483" spans="1:11" ht="15.75" x14ac:dyDescent="0.25">
      <c r="A483" s="391" t="s">
        <v>127</v>
      </c>
      <c r="B483" s="454">
        <v>903</v>
      </c>
      <c r="C483" s="394" t="s">
        <v>203</v>
      </c>
      <c r="D483" s="394" t="s">
        <v>139</v>
      </c>
      <c r="E483" s="394" t="s">
        <v>518</v>
      </c>
      <c r="F483" s="394" t="s">
        <v>134</v>
      </c>
      <c r="G483" s="435">
        <f>G484</f>
        <v>14</v>
      </c>
      <c r="H483" s="435">
        <f>H484</f>
        <v>14</v>
      </c>
      <c r="I483" s="310"/>
      <c r="J483" s="302"/>
    </row>
    <row r="484" spans="1:11" ht="15.75" x14ac:dyDescent="0.25">
      <c r="A484" s="391" t="s">
        <v>280</v>
      </c>
      <c r="B484" s="454">
        <v>903</v>
      </c>
      <c r="C484" s="394" t="s">
        <v>203</v>
      </c>
      <c r="D484" s="394" t="s">
        <v>139</v>
      </c>
      <c r="E484" s="394" t="s">
        <v>518</v>
      </c>
      <c r="F484" s="394" t="s">
        <v>130</v>
      </c>
      <c r="G484" s="435">
        <v>14</v>
      </c>
      <c r="H484" s="435">
        <v>14</v>
      </c>
      <c r="I484" s="310"/>
      <c r="J484" s="302"/>
    </row>
    <row r="485" spans="1:11" ht="48.2" customHeight="1" x14ac:dyDescent="0.25">
      <c r="A485" s="409" t="s">
        <v>851</v>
      </c>
      <c r="B485" s="453">
        <v>903</v>
      </c>
      <c r="C485" s="406" t="s">
        <v>203</v>
      </c>
      <c r="D485" s="406" t="s">
        <v>139</v>
      </c>
      <c r="E485" s="406" t="s">
        <v>213</v>
      </c>
      <c r="F485" s="406"/>
      <c r="G485" s="438">
        <f t="shared" ref="G485:H489" si="36">G486</f>
        <v>260</v>
      </c>
      <c r="H485" s="438">
        <f t="shared" si="36"/>
        <v>260</v>
      </c>
      <c r="I485" s="310"/>
      <c r="J485" s="302"/>
    </row>
    <row r="486" spans="1:11" ht="31.5" x14ac:dyDescent="0.25">
      <c r="A486" s="409" t="s">
        <v>857</v>
      </c>
      <c r="B486" s="453">
        <v>903</v>
      </c>
      <c r="C486" s="406" t="s">
        <v>203</v>
      </c>
      <c r="D486" s="406" t="s">
        <v>139</v>
      </c>
      <c r="E486" s="406" t="s">
        <v>223</v>
      </c>
      <c r="F486" s="406"/>
      <c r="G486" s="438">
        <f t="shared" si="36"/>
        <v>260</v>
      </c>
      <c r="H486" s="438">
        <f t="shared" si="36"/>
        <v>260</v>
      </c>
      <c r="I486" s="310"/>
      <c r="J486" s="302"/>
    </row>
    <row r="487" spans="1:11" ht="31.5" x14ac:dyDescent="0.25">
      <c r="A487" s="409" t="s">
        <v>558</v>
      </c>
      <c r="B487" s="453">
        <v>903</v>
      </c>
      <c r="C487" s="406" t="s">
        <v>203</v>
      </c>
      <c r="D487" s="406" t="s">
        <v>139</v>
      </c>
      <c r="E487" s="406" t="s">
        <v>755</v>
      </c>
      <c r="F487" s="406"/>
      <c r="G487" s="438">
        <f t="shared" si="36"/>
        <v>260</v>
      </c>
      <c r="H487" s="438">
        <f t="shared" si="36"/>
        <v>260</v>
      </c>
      <c r="I487" s="310"/>
      <c r="J487" s="302"/>
    </row>
    <row r="488" spans="1:11" ht="15.75" x14ac:dyDescent="0.25">
      <c r="A488" s="391" t="s">
        <v>557</v>
      </c>
      <c r="B488" s="454">
        <v>903</v>
      </c>
      <c r="C488" s="394" t="s">
        <v>203</v>
      </c>
      <c r="D488" s="394" t="s">
        <v>139</v>
      </c>
      <c r="E488" s="394" t="s">
        <v>756</v>
      </c>
      <c r="F488" s="394"/>
      <c r="G488" s="435">
        <f t="shared" si="36"/>
        <v>260</v>
      </c>
      <c r="H488" s="435">
        <f t="shared" si="36"/>
        <v>260</v>
      </c>
      <c r="I488" s="310"/>
      <c r="J488" s="302"/>
    </row>
    <row r="489" spans="1:11" ht="31.5" x14ac:dyDescent="0.25">
      <c r="A489" s="391" t="s">
        <v>123</v>
      </c>
      <c r="B489" s="454">
        <v>903</v>
      </c>
      <c r="C489" s="394" t="s">
        <v>203</v>
      </c>
      <c r="D489" s="394" t="s">
        <v>139</v>
      </c>
      <c r="E489" s="394" t="s">
        <v>756</v>
      </c>
      <c r="F489" s="394" t="s">
        <v>124</v>
      </c>
      <c r="G489" s="435">
        <f t="shared" si="36"/>
        <v>260</v>
      </c>
      <c r="H489" s="435">
        <f t="shared" si="36"/>
        <v>260</v>
      </c>
      <c r="I489" s="310"/>
      <c r="J489" s="302"/>
    </row>
    <row r="490" spans="1:11" ht="31.5" x14ac:dyDescent="0.25">
      <c r="A490" s="391" t="s">
        <v>125</v>
      </c>
      <c r="B490" s="454">
        <v>903</v>
      </c>
      <c r="C490" s="394" t="s">
        <v>203</v>
      </c>
      <c r="D490" s="394" t="s">
        <v>139</v>
      </c>
      <c r="E490" s="394" t="s">
        <v>756</v>
      </c>
      <c r="F490" s="394" t="s">
        <v>126</v>
      </c>
      <c r="G490" s="435">
        <v>260</v>
      </c>
      <c r="H490" s="435">
        <v>260</v>
      </c>
      <c r="I490" s="310"/>
      <c r="J490" s="302"/>
    </row>
    <row r="491" spans="1:11" ht="47.25" hidden="1" x14ac:dyDescent="0.25">
      <c r="A491" s="405" t="s">
        <v>860</v>
      </c>
      <c r="B491" s="453">
        <v>903</v>
      </c>
      <c r="C491" s="406" t="s">
        <v>203</v>
      </c>
      <c r="D491" s="406" t="s">
        <v>139</v>
      </c>
      <c r="E491" s="406" t="s">
        <v>206</v>
      </c>
      <c r="F491" s="406"/>
      <c r="G491" s="438">
        <f>G493</f>
        <v>0</v>
      </c>
      <c r="H491" s="438">
        <f>H493</f>
        <v>4</v>
      </c>
      <c r="I491" s="310"/>
      <c r="J491" s="302"/>
    </row>
    <row r="492" spans="1:11" ht="47.25" hidden="1" x14ac:dyDescent="0.25">
      <c r="A492" s="405" t="s">
        <v>586</v>
      </c>
      <c r="B492" s="453">
        <v>903</v>
      </c>
      <c r="C492" s="406" t="s">
        <v>203</v>
      </c>
      <c r="D492" s="406" t="s">
        <v>139</v>
      </c>
      <c r="E492" s="406" t="s">
        <v>502</v>
      </c>
      <c r="F492" s="406"/>
      <c r="G492" s="438">
        <f>G495</f>
        <v>0</v>
      </c>
      <c r="H492" s="438">
        <f>H495</f>
        <v>4</v>
      </c>
      <c r="I492" s="310"/>
      <c r="J492" s="302"/>
    </row>
    <row r="493" spans="1:11" ht="47.25" hidden="1" x14ac:dyDescent="0.25">
      <c r="A493" s="393" t="s">
        <v>632</v>
      </c>
      <c r="B493" s="454">
        <v>903</v>
      </c>
      <c r="C493" s="394" t="s">
        <v>203</v>
      </c>
      <c r="D493" s="394" t="s">
        <v>139</v>
      </c>
      <c r="E493" s="394" t="s">
        <v>587</v>
      </c>
      <c r="F493" s="394"/>
      <c r="G493" s="435">
        <f>G494</f>
        <v>0</v>
      </c>
      <c r="H493" s="435">
        <f>H494</f>
        <v>4</v>
      </c>
      <c r="I493" s="310"/>
      <c r="J493" s="302"/>
    </row>
    <row r="494" spans="1:11" ht="31.5" hidden="1" x14ac:dyDescent="0.25">
      <c r="A494" s="391" t="s">
        <v>123</v>
      </c>
      <c r="B494" s="454">
        <v>903</v>
      </c>
      <c r="C494" s="394" t="s">
        <v>203</v>
      </c>
      <c r="D494" s="394" t="s">
        <v>139</v>
      </c>
      <c r="E494" s="394" t="s">
        <v>587</v>
      </c>
      <c r="F494" s="394" t="s">
        <v>124</v>
      </c>
      <c r="G494" s="435">
        <f>G495</f>
        <v>0</v>
      </c>
      <c r="H494" s="435">
        <f>H495</f>
        <v>4</v>
      </c>
      <c r="I494" s="310"/>
      <c r="J494" s="302"/>
    </row>
    <row r="495" spans="1:11" ht="31.5" hidden="1" x14ac:dyDescent="0.25">
      <c r="A495" s="391" t="s">
        <v>125</v>
      </c>
      <c r="B495" s="454">
        <v>903</v>
      </c>
      <c r="C495" s="394" t="s">
        <v>203</v>
      </c>
      <c r="D495" s="394" t="s">
        <v>139</v>
      </c>
      <c r="E495" s="394" t="s">
        <v>587</v>
      </c>
      <c r="F495" s="394" t="s">
        <v>126</v>
      </c>
      <c r="G495" s="435">
        <v>0</v>
      </c>
      <c r="H495" s="435">
        <v>4</v>
      </c>
      <c r="I495" s="310"/>
      <c r="J495" s="302"/>
    </row>
    <row r="496" spans="1:11" ht="15.75" x14ac:dyDescent="0.25">
      <c r="A496" s="409" t="s">
        <v>173</v>
      </c>
      <c r="B496" s="453">
        <v>903</v>
      </c>
      <c r="C496" s="406" t="s">
        <v>174</v>
      </c>
      <c r="D496" s="406"/>
      <c r="E496" s="406"/>
      <c r="F496" s="406"/>
      <c r="G496" s="438">
        <f>G497</f>
        <v>1560</v>
      </c>
      <c r="H496" s="438">
        <f>H497</f>
        <v>1524.35</v>
      </c>
      <c r="I496" s="310"/>
      <c r="J496" s="302"/>
    </row>
    <row r="497" spans="1:10" ht="15.75" x14ac:dyDescent="0.25">
      <c r="A497" s="409" t="s">
        <v>181</v>
      </c>
      <c r="B497" s="453">
        <v>903</v>
      </c>
      <c r="C497" s="406" t="s">
        <v>174</v>
      </c>
      <c r="D497" s="406" t="s">
        <v>159</v>
      </c>
      <c r="E497" s="406"/>
      <c r="F497" s="406"/>
      <c r="G497" s="438">
        <f>G498</f>
        <v>1560</v>
      </c>
      <c r="H497" s="438">
        <f>H498</f>
        <v>1524.35</v>
      </c>
      <c r="I497" s="310"/>
      <c r="J497" s="302"/>
    </row>
    <row r="498" spans="1:10" ht="34.9" customHeight="1" x14ac:dyDescent="0.25">
      <c r="A498" s="409" t="s">
        <v>851</v>
      </c>
      <c r="B498" s="453">
        <v>903</v>
      </c>
      <c r="C498" s="406" t="s">
        <v>174</v>
      </c>
      <c r="D498" s="406" t="s">
        <v>159</v>
      </c>
      <c r="E498" s="406" t="s">
        <v>213</v>
      </c>
      <c r="F498" s="406"/>
      <c r="G498" s="438">
        <f>G499+G504</f>
        <v>1560</v>
      </c>
      <c r="H498" s="438">
        <f>H499+H504</f>
        <v>1524.35</v>
      </c>
      <c r="I498" s="310"/>
      <c r="J498" s="302"/>
    </row>
    <row r="499" spans="1:10" ht="15.75" x14ac:dyDescent="0.25">
      <c r="A499" s="409" t="s">
        <v>218</v>
      </c>
      <c r="B499" s="453">
        <v>903</v>
      </c>
      <c r="C499" s="406" t="s">
        <v>174</v>
      </c>
      <c r="D499" s="406" t="s">
        <v>159</v>
      </c>
      <c r="E499" s="406" t="s">
        <v>219</v>
      </c>
      <c r="F499" s="406"/>
      <c r="G499" s="438">
        <f t="shared" ref="G499:H502" si="37">G500</f>
        <v>253</v>
      </c>
      <c r="H499" s="438">
        <f t="shared" si="37"/>
        <v>217.35</v>
      </c>
      <c r="I499" s="310"/>
      <c r="J499" s="302"/>
    </row>
    <row r="500" spans="1:10" ht="33.75" customHeight="1" x14ac:dyDescent="0.25">
      <c r="A500" s="409" t="s">
        <v>474</v>
      </c>
      <c r="B500" s="453">
        <v>903</v>
      </c>
      <c r="C500" s="406" t="s">
        <v>174</v>
      </c>
      <c r="D500" s="406" t="s">
        <v>159</v>
      </c>
      <c r="E500" s="406" t="s">
        <v>473</v>
      </c>
      <c r="F500" s="406"/>
      <c r="G500" s="438">
        <f t="shared" si="37"/>
        <v>253</v>
      </c>
      <c r="H500" s="438">
        <f t="shared" si="37"/>
        <v>217.35</v>
      </c>
      <c r="I500" s="310"/>
      <c r="J500" s="302"/>
    </row>
    <row r="501" spans="1:10" ht="31.5" x14ac:dyDescent="0.25">
      <c r="A501" s="391" t="s">
        <v>399</v>
      </c>
      <c r="B501" s="454">
        <v>903</v>
      </c>
      <c r="C501" s="394" t="s">
        <v>174</v>
      </c>
      <c r="D501" s="394" t="s">
        <v>159</v>
      </c>
      <c r="E501" s="394" t="s">
        <v>475</v>
      </c>
      <c r="F501" s="394"/>
      <c r="G501" s="435">
        <f t="shared" si="37"/>
        <v>253</v>
      </c>
      <c r="H501" s="435">
        <f t="shared" si="37"/>
        <v>217.35</v>
      </c>
      <c r="I501" s="310"/>
      <c r="J501" s="302"/>
    </row>
    <row r="502" spans="1:10" ht="15.75" x14ac:dyDescent="0.25">
      <c r="A502" s="391" t="s">
        <v>177</v>
      </c>
      <c r="B502" s="454">
        <v>903</v>
      </c>
      <c r="C502" s="394" t="s">
        <v>174</v>
      </c>
      <c r="D502" s="394" t="s">
        <v>159</v>
      </c>
      <c r="E502" s="394" t="s">
        <v>475</v>
      </c>
      <c r="F502" s="394" t="s">
        <v>178</v>
      </c>
      <c r="G502" s="435">
        <f t="shared" si="37"/>
        <v>253</v>
      </c>
      <c r="H502" s="435">
        <f t="shared" si="37"/>
        <v>217.35</v>
      </c>
      <c r="I502" s="310"/>
      <c r="J502" s="302"/>
    </row>
    <row r="503" spans="1:10" ht="31.5" x14ac:dyDescent="0.25">
      <c r="A503" s="391" t="s">
        <v>179</v>
      </c>
      <c r="B503" s="454">
        <v>903</v>
      </c>
      <c r="C503" s="394" t="s">
        <v>174</v>
      </c>
      <c r="D503" s="394" t="s">
        <v>159</v>
      </c>
      <c r="E503" s="394" t="s">
        <v>475</v>
      </c>
      <c r="F503" s="394" t="s">
        <v>180</v>
      </c>
      <c r="G503" s="586">
        <f>177.975+75.025</f>
        <v>253</v>
      </c>
      <c r="H503" s="586">
        <f>142.35+75</f>
        <v>217.35</v>
      </c>
      <c r="I503" s="310" t="s">
        <v>1237</v>
      </c>
      <c r="J503" s="302"/>
    </row>
    <row r="504" spans="1:10" ht="31.5" x14ac:dyDescent="0.25">
      <c r="A504" s="409" t="s">
        <v>857</v>
      </c>
      <c r="B504" s="453">
        <v>903</v>
      </c>
      <c r="C504" s="453">
        <v>10</v>
      </c>
      <c r="D504" s="406" t="s">
        <v>159</v>
      </c>
      <c r="E504" s="406" t="s">
        <v>223</v>
      </c>
      <c r="F504" s="406"/>
      <c r="G504" s="438">
        <f>G505+G511+G517</f>
        <v>1307</v>
      </c>
      <c r="H504" s="438">
        <f>H505+H511+H517</f>
        <v>1307</v>
      </c>
      <c r="I504" s="310"/>
      <c r="J504" s="302"/>
    </row>
    <row r="505" spans="1:10" ht="31.5" x14ac:dyDescent="0.25">
      <c r="A505" s="409" t="s">
        <v>598</v>
      </c>
      <c r="B505" s="453">
        <v>903</v>
      </c>
      <c r="C505" s="406" t="s">
        <v>174</v>
      </c>
      <c r="D505" s="406" t="s">
        <v>159</v>
      </c>
      <c r="E505" s="406" t="s">
        <v>482</v>
      </c>
      <c r="F505" s="406"/>
      <c r="G505" s="438">
        <f>G506</f>
        <v>630</v>
      </c>
      <c r="H505" s="438">
        <f>H506</f>
        <v>630</v>
      </c>
      <c r="I505" s="310"/>
      <c r="J505" s="302"/>
    </row>
    <row r="506" spans="1:10" ht="39.75" customHeight="1" x14ac:dyDescent="0.25">
      <c r="A506" s="465" t="s">
        <v>599</v>
      </c>
      <c r="B506" s="454">
        <v>903</v>
      </c>
      <c r="C506" s="394" t="s">
        <v>174</v>
      </c>
      <c r="D506" s="394" t="s">
        <v>159</v>
      </c>
      <c r="E506" s="394" t="s">
        <v>758</v>
      </c>
      <c r="F506" s="394"/>
      <c r="G506" s="435">
        <f>G509+G508</f>
        <v>630</v>
      </c>
      <c r="H506" s="435">
        <f>H509+H508</f>
        <v>630</v>
      </c>
      <c r="I506" s="310"/>
      <c r="J506" s="302"/>
    </row>
    <row r="507" spans="1:10" ht="31.5" hidden="1" x14ac:dyDescent="0.25">
      <c r="A507" s="391" t="s">
        <v>123</v>
      </c>
      <c r="B507" s="454">
        <v>903</v>
      </c>
      <c r="C507" s="394" t="s">
        <v>174</v>
      </c>
      <c r="D507" s="394" t="s">
        <v>159</v>
      </c>
      <c r="E507" s="394" t="s">
        <v>758</v>
      </c>
      <c r="F507" s="394" t="s">
        <v>124</v>
      </c>
      <c r="G507" s="435">
        <f>G508</f>
        <v>0</v>
      </c>
      <c r="H507" s="435">
        <f>H508</f>
        <v>0</v>
      </c>
      <c r="I507" s="310"/>
      <c r="J507" s="302"/>
    </row>
    <row r="508" spans="1:10" ht="31.5" hidden="1" x14ac:dyDescent="0.25">
      <c r="A508" s="391" t="s">
        <v>125</v>
      </c>
      <c r="B508" s="454">
        <v>903</v>
      </c>
      <c r="C508" s="394" t="s">
        <v>174</v>
      </c>
      <c r="D508" s="394" t="s">
        <v>159</v>
      </c>
      <c r="E508" s="394" t="s">
        <v>758</v>
      </c>
      <c r="F508" s="394" t="s">
        <v>126</v>
      </c>
      <c r="G508" s="435"/>
      <c r="H508" s="435"/>
      <c r="I508" s="310"/>
      <c r="J508" s="302"/>
    </row>
    <row r="509" spans="1:10" ht="15.75" x14ac:dyDescent="0.25">
      <c r="A509" s="391" t="s">
        <v>177</v>
      </c>
      <c r="B509" s="454">
        <v>903</v>
      </c>
      <c r="C509" s="394" t="s">
        <v>174</v>
      </c>
      <c r="D509" s="394" t="s">
        <v>159</v>
      </c>
      <c r="E509" s="394" t="s">
        <v>758</v>
      </c>
      <c r="F509" s="394" t="s">
        <v>178</v>
      </c>
      <c r="G509" s="435">
        <f>G510</f>
        <v>630</v>
      </c>
      <c r="H509" s="435">
        <f>H510</f>
        <v>630</v>
      </c>
      <c r="I509" s="310"/>
      <c r="J509" s="302"/>
    </row>
    <row r="510" spans="1:10" ht="15.75" x14ac:dyDescent="0.25">
      <c r="A510" s="391" t="s">
        <v>216</v>
      </c>
      <c r="B510" s="454">
        <v>903</v>
      </c>
      <c r="C510" s="394" t="s">
        <v>174</v>
      </c>
      <c r="D510" s="394" t="s">
        <v>159</v>
      </c>
      <c r="E510" s="394" t="s">
        <v>758</v>
      </c>
      <c r="F510" s="394" t="s">
        <v>217</v>
      </c>
      <c r="G510" s="435">
        <v>630</v>
      </c>
      <c r="H510" s="435">
        <v>630</v>
      </c>
      <c r="I510" s="310"/>
      <c r="J510" s="302"/>
    </row>
    <row r="511" spans="1:10" ht="31.5" x14ac:dyDescent="0.25">
      <c r="A511" s="409" t="s">
        <v>762</v>
      </c>
      <c r="B511" s="453">
        <v>903</v>
      </c>
      <c r="C511" s="453">
        <v>10</v>
      </c>
      <c r="D511" s="406" t="s">
        <v>159</v>
      </c>
      <c r="E511" s="406" t="s">
        <v>760</v>
      </c>
      <c r="F511" s="406"/>
      <c r="G511" s="438">
        <f>G512</f>
        <v>257</v>
      </c>
      <c r="H511" s="438">
        <f>H512</f>
        <v>257</v>
      </c>
      <c r="I511" s="310"/>
      <c r="J511" s="302"/>
    </row>
    <row r="512" spans="1:10" ht="15.75" x14ac:dyDescent="0.25">
      <c r="A512" s="391" t="s">
        <v>759</v>
      </c>
      <c r="B512" s="454">
        <v>903</v>
      </c>
      <c r="C512" s="394" t="s">
        <v>174</v>
      </c>
      <c r="D512" s="394" t="s">
        <v>159</v>
      </c>
      <c r="E512" s="394" t="s">
        <v>761</v>
      </c>
      <c r="F512" s="394"/>
      <c r="G512" s="435">
        <f>G514+G516</f>
        <v>257</v>
      </c>
      <c r="H512" s="435">
        <f>H514+H516</f>
        <v>257</v>
      </c>
      <c r="I512" s="310"/>
      <c r="J512" s="302"/>
    </row>
    <row r="513" spans="1:10" ht="31.5" hidden="1" x14ac:dyDescent="0.25">
      <c r="A513" s="391" t="s">
        <v>123</v>
      </c>
      <c r="B513" s="454">
        <v>903</v>
      </c>
      <c r="C513" s="394" t="s">
        <v>174</v>
      </c>
      <c r="D513" s="394" t="s">
        <v>159</v>
      </c>
      <c r="E513" s="394" t="s">
        <v>761</v>
      </c>
      <c r="F513" s="394" t="s">
        <v>124</v>
      </c>
      <c r="G513" s="435">
        <f>G514</f>
        <v>0</v>
      </c>
      <c r="H513" s="435">
        <f>H514</f>
        <v>0</v>
      </c>
      <c r="I513" s="310"/>
      <c r="J513" s="302"/>
    </row>
    <row r="514" spans="1:10" ht="31.5" hidden="1" x14ac:dyDescent="0.25">
      <c r="A514" s="391" t="s">
        <v>125</v>
      </c>
      <c r="B514" s="454">
        <v>903</v>
      </c>
      <c r="C514" s="394" t="s">
        <v>174</v>
      </c>
      <c r="D514" s="394" t="s">
        <v>159</v>
      </c>
      <c r="E514" s="394" t="s">
        <v>761</v>
      </c>
      <c r="F514" s="394" t="s">
        <v>126</v>
      </c>
      <c r="G514" s="435"/>
      <c r="H514" s="435"/>
      <c r="I514" s="310"/>
      <c r="J514" s="302"/>
    </row>
    <row r="515" spans="1:10" ht="15.75" x14ac:dyDescent="0.25">
      <c r="A515" s="391" t="s">
        <v>177</v>
      </c>
      <c r="B515" s="454">
        <v>903</v>
      </c>
      <c r="C515" s="394" t="s">
        <v>174</v>
      </c>
      <c r="D515" s="394" t="s">
        <v>159</v>
      </c>
      <c r="E515" s="394" t="s">
        <v>761</v>
      </c>
      <c r="F515" s="394" t="s">
        <v>178</v>
      </c>
      <c r="G515" s="435">
        <f>G516</f>
        <v>257</v>
      </c>
      <c r="H515" s="435">
        <f>H516</f>
        <v>257</v>
      </c>
      <c r="I515" s="310"/>
      <c r="J515" s="302"/>
    </row>
    <row r="516" spans="1:10" ht="15.75" x14ac:dyDescent="0.25">
      <c r="A516" s="391" t="s">
        <v>216</v>
      </c>
      <c r="B516" s="454">
        <v>903</v>
      </c>
      <c r="C516" s="394" t="s">
        <v>174</v>
      </c>
      <c r="D516" s="394" t="s">
        <v>159</v>
      </c>
      <c r="E516" s="394" t="s">
        <v>761</v>
      </c>
      <c r="F516" s="394" t="s">
        <v>217</v>
      </c>
      <c r="G516" s="435">
        <v>257</v>
      </c>
      <c r="H516" s="435">
        <v>257</v>
      </c>
      <c r="I516" s="310"/>
      <c r="J516" s="302"/>
    </row>
    <row r="517" spans="1:10" ht="31.5" x14ac:dyDescent="0.25">
      <c r="A517" s="409" t="s">
        <v>558</v>
      </c>
      <c r="B517" s="453">
        <v>903</v>
      </c>
      <c r="C517" s="453">
        <v>10</v>
      </c>
      <c r="D517" s="406" t="s">
        <v>159</v>
      </c>
      <c r="E517" s="406" t="s">
        <v>755</v>
      </c>
      <c r="F517" s="406"/>
      <c r="G517" s="438">
        <f t="shared" ref="G517:H519" si="38">G518</f>
        <v>420</v>
      </c>
      <c r="H517" s="438">
        <f t="shared" si="38"/>
        <v>420</v>
      </c>
      <c r="I517" s="310"/>
      <c r="J517" s="302"/>
    </row>
    <row r="518" spans="1:10" ht="15.75" x14ac:dyDescent="0.25">
      <c r="A518" s="391" t="s">
        <v>596</v>
      </c>
      <c r="B518" s="454">
        <v>903</v>
      </c>
      <c r="C518" s="394" t="s">
        <v>174</v>
      </c>
      <c r="D518" s="394" t="s">
        <v>159</v>
      </c>
      <c r="E518" s="394" t="s">
        <v>757</v>
      </c>
      <c r="F518" s="394"/>
      <c r="G518" s="435">
        <f t="shared" si="38"/>
        <v>420</v>
      </c>
      <c r="H518" s="435">
        <f t="shared" si="38"/>
        <v>420</v>
      </c>
      <c r="I518" s="310"/>
      <c r="J518" s="302"/>
    </row>
    <row r="519" spans="1:10" ht="15.75" x14ac:dyDescent="0.25">
      <c r="A519" s="391" t="s">
        <v>177</v>
      </c>
      <c r="B519" s="454">
        <v>903</v>
      </c>
      <c r="C519" s="394" t="s">
        <v>174</v>
      </c>
      <c r="D519" s="394" t="s">
        <v>159</v>
      </c>
      <c r="E519" s="394" t="s">
        <v>757</v>
      </c>
      <c r="F519" s="394" t="s">
        <v>178</v>
      </c>
      <c r="G519" s="435">
        <f t="shared" si="38"/>
        <v>420</v>
      </c>
      <c r="H519" s="435">
        <f t="shared" si="38"/>
        <v>420</v>
      </c>
      <c r="I519" s="310"/>
      <c r="J519" s="302"/>
    </row>
    <row r="520" spans="1:10" ht="15.75" x14ac:dyDescent="0.25">
      <c r="A520" s="391" t="s">
        <v>216</v>
      </c>
      <c r="B520" s="454">
        <v>903</v>
      </c>
      <c r="C520" s="394" t="s">
        <v>174</v>
      </c>
      <c r="D520" s="394" t="s">
        <v>159</v>
      </c>
      <c r="E520" s="394" t="s">
        <v>757</v>
      </c>
      <c r="F520" s="394" t="s">
        <v>217</v>
      </c>
      <c r="G520" s="435">
        <v>420</v>
      </c>
      <c r="H520" s="435">
        <v>420</v>
      </c>
      <c r="I520" s="310"/>
      <c r="J520" s="302"/>
    </row>
    <row r="521" spans="1:10" ht="15.75" x14ac:dyDescent="0.25">
      <c r="A521" s="409" t="s">
        <v>288</v>
      </c>
      <c r="B521" s="453">
        <v>903</v>
      </c>
      <c r="C521" s="406" t="s">
        <v>171</v>
      </c>
      <c r="D521" s="394"/>
      <c r="E521" s="394"/>
      <c r="F521" s="394"/>
      <c r="G521" s="438">
        <f>G522</f>
        <v>6358.2</v>
      </c>
      <c r="H521" s="438">
        <f>H522</f>
        <v>6358.2</v>
      </c>
      <c r="I521" s="310"/>
      <c r="J521" s="302"/>
    </row>
    <row r="522" spans="1:10" ht="15.75" x14ac:dyDescent="0.25">
      <c r="A522" s="409" t="s">
        <v>289</v>
      </c>
      <c r="B522" s="453">
        <v>903</v>
      </c>
      <c r="C522" s="406" t="s">
        <v>171</v>
      </c>
      <c r="D522" s="406" t="s">
        <v>158</v>
      </c>
      <c r="E522" s="406"/>
      <c r="F522" s="406"/>
      <c r="G522" s="438">
        <f>G523+G536</f>
        <v>6358.2</v>
      </c>
      <c r="H522" s="438">
        <f>H523+H536</f>
        <v>6358.2</v>
      </c>
      <c r="I522" s="310"/>
      <c r="J522" s="302"/>
    </row>
    <row r="523" spans="1:10" ht="31.5" x14ac:dyDescent="0.25">
      <c r="A523" s="409" t="s">
        <v>855</v>
      </c>
      <c r="B523" s="453">
        <v>903</v>
      </c>
      <c r="C523" s="406" t="s">
        <v>171</v>
      </c>
      <c r="D523" s="406" t="s">
        <v>158</v>
      </c>
      <c r="E523" s="406" t="s">
        <v>189</v>
      </c>
      <c r="F523" s="406"/>
      <c r="G523" s="438">
        <f>G524+G532</f>
        <v>6283.3</v>
      </c>
      <c r="H523" s="438">
        <f>H524+H532</f>
        <v>6283.3</v>
      </c>
      <c r="I523" s="310"/>
      <c r="J523" s="302"/>
    </row>
    <row r="524" spans="1:10" ht="31.5" x14ac:dyDescent="0.25">
      <c r="A524" s="409" t="s">
        <v>816</v>
      </c>
      <c r="B524" s="453">
        <v>903</v>
      </c>
      <c r="C524" s="406" t="s">
        <v>171</v>
      </c>
      <c r="D524" s="406" t="s">
        <v>158</v>
      </c>
      <c r="E524" s="406" t="s">
        <v>741</v>
      </c>
      <c r="F524" s="406"/>
      <c r="G524" s="438">
        <f>G525</f>
        <v>6025.3</v>
      </c>
      <c r="H524" s="438">
        <f>H525</f>
        <v>6025.3</v>
      </c>
      <c r="I524" s="310"/>
      <c r="J524" s="302"/>
    </row>
    <row r="525" spans="1:10" ht="15.75" x14ac:dyDescent="0.25">
      <c r="A525" s="391" t="s">
        <v>377</v>
      </c>
      <c r="B525" s="454">
        <v>903</v>
      </c>
      <c r="C525" s="394" t="s">
        <v>171</v>
      </c>
      <c r="D525" s="394" t="s">
        <v>158</v>
      </c>
      <c r="E525" s="394" t="s">
        <v>742</v>
      </c>
      <c r="F525" s="394"/>
      <c r="G525" s="435">
        <f>G526+G528+G530</f>
        <v>6025.3</v>
      </c>
      <c r="H525" s="435">
        <f>H526+H528+H530</f>
        <v>6025.3</v>
      </c>
      <c r="I525" s="310"/>
      <c r="J525" s="302"/>
    </row>
    <row r="526" spans="1:10" ht="63" x14ac:dyDescent="0.25">
      <c r="A526" s="391" t="s">
        <v>119</v>
      </c>
      <c r="B526" s="454">
        <v>903</v>
      </c>
      <c r="C526" s="394" t="s">
        <v>171</v>
      </c>
      <c r="D526" s="394" t="s">
        <v>158</v>
      </c>
      <c r="E526" s="394" t="s">
        <v>742</v>
      </c>
      <c r="F526" s="394" t="s">
        <v>120</v>
      </c>
      <c r="G526" s="435">
        <f>G527</f>
        <v>5124.5</v>
      </c>
      <c r="H526" s="435">
        <f>H527</f>
        <v>5124.5</v>
      </c>
      <c r="I526" s="310"/>
      <c r="J526" s="302"/>
    </row>
    <row r="527" spans="1:10" ht="15.75" x14ac:dyDescent="0.25">
      <c r="A527" s="391" t="s">
        <v>155</v>
      </c>
      <c r="B527" s="454">
        <v>903</v>
      </c>
      <c r="C527" s="394" t="s">
        <v>171</v>
      </c>
      <c r="D527" s="394" t="s">
        <v>158</v>
      </c>
      <c r="E527" s="394" t="s">
        <v>742</v>
      </c>
      <c r="F527" s="394" t="s">
        <v>156</v>
      </c>
      <c r="G527" s="436">
        <v>5124.5</v>
      </c>
      <c r="H527" s="436">
        <f>G527</f>
        <v>5124.5</v>
      </c>
      <c r="I527" s="310"/>
      <c r="J527" s="310"/>
    </row>
    <row r="528" spans="1:10" ht="31.5" x14ac:dyDescent="0.25">
      <c r="A528" s="391" t="s">
        <v>123</v>
      </c>
      <c r="B528" s="454">
        <v>903</v>
      </c>
      <c r="C528" s="394" t="s">
        <v>171</v>
      </c>
      <c r="D528" s="394" t="s">
        <v>158</v>
      </c>
      <c r="E528" s="394" t="s">
        <v>742</v>
      </c>
      <c r="F528" s="394" t="s">
        <v>124</v>
      </c>
      <c r="G528" s="435">
        <f>G529</f>
        <v>890.3</v>
      </c>
      <c r="H528" s="435">
        <f>H529</f>
        <v>890.3</v>
      </c>
      <c r="I528" s="310"/>
      <c r="J528" s="302"/>
    </row>
    <row r="529" spans="1:10" ht="31.5" x14ac:dyDescent="0.25">
      <c r="A529" s="391" t="s">
        <v>125</v>
      </c>
      <c r="B529" s="454">
        <v>903</v>
      </c>
      <c r="C529" s="394" t="s">
        <v>171</v>
      </c>
      <c r="D529" s="394" t="s">
        <v>158</v>
      </c>
      <c r="E529" s="394" t="s">
        <v>742</v>
      </c>
      <c r="F529" s="394" t="s">
        <v>126</v>
      </c>
      <c r="G529" s="436">
        <v>890.3</v>
      </c>
      <c r="H529" s="436">
        <v>890.3</v>
      </c>
      <c r="I529" s="310"/>
      <c r="J529" s="302"/>
    </row>
    <row r="530" spans="1:10" ht="15.75" x14ac:dyDescent="0.25">
      <c r="A530" s="391" t="s">
        <v>127</v>
      </c>
      <c r="B530" s="454">
        <v>903</v>
      </c>
      <c r="C530" s="394" t="s">
        <v>171</v>
      </c>
      <c r="D530" s="394" t="s">
        <v>158</v>
      </c>
      <c r="E530" s="394" t="s">
        <v>742</v>
      </c>
      <c r="F530" s="394" t="s">
        <v>134</v>
      </c>
      <c r="G530" s="435">
        <f>G531</f>
        <v>10.5</v>
      </c>
      <c r="H530" s="435">
        <f>H531</f>
        <v>10.5</v>
      </c>
      <c r="I530" s="310"/>
      <c r="J530" s="302"/>
    </row>
    <row r="531" spans="1:10" ht="15.75" x14ac:dyDescent="0.25">
      <c r="A531" s="391" t="s">
        <v>280</v>
      </c>
      <c r="B531" s="454">
        <v>903</v>
      </c>
      <c r="C531" s="394" t="s">
        <v>171</v>
      </c>
      <c r="D531" s="394" t="s">
        <v>158</v>
      </c>
      <c r="E531" s="394" t="s">
        <v>742</v>
      </c>
      <c r="F531" s="394" t="s">
        <v>130</v>
      </c>
      <c r="G531" s="435">
        <v>10.5</v>
      </c>
      <c r="H531" s="435">
        <v>10.5</v>
      </c>
      <c r="I531" s="310"/>
      <c r="J531" s="302"/>
    </row>
    <row r="532" spans="1:10" ht="31.5" x14ac:dyDescent="0.25">
      <c r="A532" s="409" t="s">
        <v>512</v>
      </c>
      <c r="B532" s="453">
        <v>903</v>
      </c>
      <c r="C532" s="406" t="s">
        <v>171</v>
      </c>
      <c r="D532" s="406" t="s">
        <v>158</v>
      </c>
      <c r="E532" s="406" t="s">
        <v>746</v>
      </c>
      <c r="F532" s="406"/>
      <c r="G532" s="438">
        <f t="shared" ref="G532:H534" si="39">G533</f>
        <v>258</v>
      </c>
      <c r="H532" s="438">
        <f t="shared" si="39"/>
        <v>258</v>
      </c>
      <c r="I532" s="310"/>
      <c r="J532" s="302"/>
    </row>
    <row r="533" spans="1:10" ht="31.5" x14ac:dyDescent="0.25">
      <c r="A533" s="391" t="s">
        <v>414</v>
      </c>
      <c r="B533" s="454">
        <v>903</v>
      </c>
      <c r="C533" s="394" t="s">
        <v>171</v>
      </c>
      <c r="D533" s="394" t="s">
        <v>158</v>
      </c>
      <c r="E533" s="394" t="s">
        <v>747</v>
      </c>
      <c r="F533" s="394"/>
      <c r="G533" s="435">
        <f t="shared" si="39"/>
        <v>258</v>
      </c>
      <c r="H533" s="435">
        <f t="shared" si="39"/>
        <v>258</v>
      </c>
      <c r="I533" s="310"/>
      <c r="J533" s="302"/>
    </row>
    <row r="534" spans="1:10" ht="63" x14ac:dyDescent="0.25">
      <c r="A534" s="391" t="s">
        <v>119</v>
      </c>
      <c r="B534" s="454">
        <v>903</v>
      </c>
      <c r="C534" s="394" t="s">
        <v>171</v>
      </c>
      <c r="D534" s="394" t="s">
        <v>158</v>
      </c>
      <c r="E534" s="394" t="s">
        <v>747</v>
      </c>
      <c r="F534" s="394" t="s">
        <v>120</v>
      </c>
      <c r="G534" s="435">
        <f t="shared" si="39"/>
        <v>258</v>
      </c>
      <c r="H534" s="435">
        <f t="shared" si="39"/>
        <v>258</v>
      </c>
      <c r="I534" s="310"/>
      <c r="J534" s="302"/>
    </row>
    <row r="535" spans="1:10" ht="15.75" x14ac:dyDescent="0.25">
      <c r="A535" s="391" t="s">
        <v>155</v>
      </c>
      <c r="B535" s="454">
        <v>903</v>
      </c>
      <c r="C535" s="394" t="s">
        <v>171</v>
      </c>
      <c r="D535" s="394" t="s">
        <v>158</v>
      </c>
      <c r="E535" s="394" t="s">
        <v>747</v>
      </c>
      <c r="F535" s="394" t="s">
        <v>156</v>
      </c>
      <c r="G535" s="435">
        <v>258</v>
      </c>
      <c r="H535" s="435">
        <v>258</v>
      </c>
      <c r="I535" s="310"/>
      <c r="J535" s="302"/>
    </row>
    <row r="536" spans="1:10" ht="47.25" x14ac:dyDescent="0.25">
      <c r="A536" s="462" t="s">
        <v>845</v>
      </c>
      <c r="B536" s="453">
        <v>903</v>
      </c>
      <c r="C536" s="406" t="s">
        <v>171</v>
      </c>
      <c r="D536" s="406" t="s">
        <v>158</v>
      </c>
      <c r="E536" s="406" t="s">
        <v>339</v>
      </c>
      <c r="F536" s="463"/>
      <c r="G536" s="438">
        <f>G538</f>
        <v>74.900000000000006</v>
      </c>
      <c r="H536" s="438">
        <f>H538</f>
        <v>74.900000000000006</v>
      </c>
      <c r="I536" s="310"/>
      <c r="J536" s="302"/>
    </row>
    <row r="537" spans="1:10" ht="47.25" x14ac:dyDescent="0.25">
      <c r="A537" s="462" t="s">
        <v>461</v>
      </c>
      <c r="B537" s="453">
        <v>903</v>
      </c>
      <c r="C537" s="406" t="s">
        <v>171</v>
      </c>
      <c r="D537" s="406" t="s">
        <v>158</v>
      </c>
      <c r="E537" s="406" t="s">
        <v>459</v>
      </c>
      <c r="F537" s="463"/>
      <c r="G537" s="438">
        <f t="shared" ref="G537:H539" si="40">G538</f>
        <v>74.900000000000006</v>
      </c>
      <c r="H537" s="438">
        <f t="shared" si="40"/>
        <v>74.900000000000006</v>
      </c>
      <c r="I537" s="310"/>
      <c r="J537" s="302"/>
    </row>
    <row r="538" spans="1:10" ht="31.5" x14ac:dyDescent="0.25">
      <c r="A538" s="465" t="s">
        <v>565</v>
      </c>
      <c r="B538" s="454">
        <v>903</v>
      </c>
      <c r="C538" s="394" t="s">
        <v>171</v>
      </c>
      <c r="D538" s="394" t="s">
        <v>158</v>
      </c>
      <c r="E538" s="394" t="s">
        <v>460</v>
      </c>
      <c r="F538" s="466"/>
      <c r="G538" s="435">
        <f t="shared" si="40"/>
        <v>74.900000000000006</v>
      </c>
      <c r="H538" s="435">
        <f t="shared" si="40"/>
        <v>74.900000000000006</v>
      </c>
      <c r="I538" s="310"/>
      <c r="J538" s="302"/>
    </row>
    <row r="539" spans="1:10" ht="31.5" x14ac:dyDescent="0.25">
      <c r="A539" s="391" t="s">
        <v>123</v>
      </c>
      <c r="B539" s="454">
        <v>903</v>
      </c>
      <c r="C539" s="394" t="s">
        <v>171</v>
      </c>
      <c r="D539" s="394" t="s">
        <v>158</v>
      </c>
      <c r="E539" s="394" t="s">
        <v>460</v>
      </c>
      <c r="F539" s="466" t="s">
        <v>124</v>
      </c>
      <c r="G539" s="435">
        <f t="shared" si="40"/>
        <v>74.900000000000006</v>
      </c>
      <c r="H539" s="435">
        <f t="shared" si="40"/>
        <v>74.900000000000006</v>
      </c>
      <c r="I539" s="310"/>
      <c r="J539" s="302"/>
    </row>
    <row r="540" spans="1:10" ht="31.5" x14ac:dyDescent="0.25">
      <c r="A540" s="391" t="s">
        <v>125</v>
      </c>
      <c r="B540" s="454">
        <v>903</v>
      </c>
      <c r="C540" s="394" t="s">
        <v>171</v>
      </c>
      <c r="D540" s="394" t="s">
        <v>158</v>
      </c>
      <c r="E540" s="394" t="s">
        <v>460</v>
      </c>
      <c r="F540" s="466" t="s">
        <v>126</v>
      </c>
      <c r="G540" s="435">
        <v>74.900000000000006</v>
      </c>
      <c r="H540" s="435">
        <v>74.900000000000006</v>
      </c>
      <c r="I540" s="310"/>
      <c r="J540" s="302"/>
    </row>
    <row r="541" spans="1:10" ht="31.5" x14ac:dyDescent="0.25">
      <c r="A541" s="453" t="s">
        <v>1116</v>
      </c>
      <c r="B541" s="453">
        <v>904</v>
      </c>
      <c r="C541" s="406"/>
      <c r="D541" s="406"/>
      <c r="E541" s="406"/>
      <c r="F541" s="463"/>
      <c r="G541" s="438">
        <f>G542</f>
        <v>2959.4</v>
      </c>
      <c r="H541" s="438">
        <f>H542</f>
        <v>2959.4</v>
      </c>
      <c r="I541" s="310"/>
      <c r="J541" s="302"/>
    </row>
    <row r="542" spans="1:10" ht="15.75" x14ac:dyDescent="0.25">
      <c r="A542" s="405" t="s">
        <v>115</v>
      </c>
      <c r="B542" s="453">
        <v>904</v>
      </c>
      <c r="C542" s="406" t="s">
        <v>116</v>
      </c>
      <c r="D542" s="406"/>
      <c r="E542" s="406"/>
      <c r="F542" s="463"/>
      <c r="G542" s="438">
        <f>G543</f>
        <v>2959.4</v>
      </c>
      <c r="H542" s="438">
        <f>H543</f>
        <v>2959.4</v>
      </c>
      <c r="I542" s="310"/>
      <c r="J542" s="302"/>
    </row>
    <row r="543" spans="1:10" ht="47.25" x14ac:dyDescent="0.25">
      <c r="A543" s="409" t="s">
        <v>117</v>
      </c>
      <c r="B543" s="453">
        <v>904</v>
      </c>
      <c r="C543" s="406" t="s">
        <v>116</v>
      </c>
      <c r="D543" s="406" t="s">
        <v>118</v>
      </c>
      <c r="E543" s="406"/>
      <c r="F543" s="406"/>
      <c r="G543" s="438">
        <f t="shared" ref="G543:H544" si="41">G544</f>
        <v>2959.4</v>
      </c>
      <c r="H543" s="438">
        <f t="shared" si="41"/>
        <v>2959.4</v>
      </c>
      <c r="I543" s="310"/>
      <c r="J543" s="302"/>
    </row>
    <row r="544" spans="1:10" ht="31.5" x14ac:dyDescent="0.25">
      <c r="A544" s="409" t="s">
        <v>486</v>
      </c>
      <c r="B544" s="453">
        <v>904</v>
      </c>
      <c r="C544" s="406" t="s">
        <v>116</v>
      </c>
      <c r="D544" s="406" t="s">
        <v>118</v>
      </c>
      <c r="E544" s="406" t="s">
        <v>432</v>
      </c>
      <c r="F544" s="406"/>
      <c r="G544" s="438">
        <f t="shared" si="41"/>
        <v>2959.4</v>
      </c>
      <c r="H544" s="438">
        <f t="shared" si="41"/>
        <v>2959.4</v>
      </c>
      <c r="I544" s="310"/>
      <c r="J544" s="302"/>
    </row>
    <row r="545" spans="1:10" ht="31.5" x14ac:dyDescent="0.25">
      <c r="A545" s="409" t="s">
        <v>1107</v>
      </c>
      <c r="B545" s="453">
        <v>904</v>
      </c>
      <c r="C545" s="406" t="s">
        <v>116</v>
      </c>
      <c r="D545" s="406" t="s">
        <v>118</v>
      </c>
      <c r="E545" s="406" t="s">
        <v>1108</v>
      </c>
      <c r="F545" s="406"/>
      <c r="G545" s="438">
        <f>G546+G551</f>
        <v>2959.4</v>
      </c>
      <c r="H545" s="438">
        <f>H546+H551</f>
        <v>2959.4</v>
      </c>
      <c r="I545" s="310"/>
      <c r="J545" s="302"/>
    </row>
    <row r="546" spans="1:10" ht="31.5" x14ac:dyDescent="0.25">
      <c r="A546" s="391" t="s">
        <v>466</v>
      </c>
      <c r="B546" s="454">
        <v>904</v>
      </c>
      <c r="C546" s="394" t="s">
        <v>116</v>
      </c>
      <c r="D546" s="394" t="s">
        <v>118</v>
      </c>
      <c r="E546" s="394" t="s">
        <v>1111</v>
      </c>
      <c r="F546" s="394"/>
      <c r="G546" s="435">
        <f>G547+G549</f>
        <v>723.6</v>
      </c>
      <c r="H546" s="435">
        <f>H547+H549</f>
        <v>723.6</v>
      </c>
      <c r="I546" s="310"/>
      <c r="J546" s="302"/>
    </row>
    <row r="547" spans="1:10" ht="63" x14ac:dyDescent="0.25">
      <c r="A547" s="391" t="s">
        <v>119</v>
      </c>
      <c r="B547" s="454">
        <v>904</v>
      </c>
      <c r="C547" s="394" t="s">
        <v>116</v>
      </c>
      <c r="D547" s="394" t="s">
        <v>118</v>
      </c>
      <c r="E547" s="394" t="s">
        <v>1111</v>
      </c>
      <c r="F547" s="394" t="s">
        <v>120</v>
      </c>
      <c r="G547" s="435">
        <f>G548</f>
        <v>630.6</v>
      </c>
      <c r="H547" s="435">
        <f>H548</f>
        <v>630.6</v>
      </c>
      <c r="I547" s="310"/>
      <c r="J547" s="302"/>
    </row>
    <row r="548" spans="1:10" ht="31.5" x14ac:dyDescent="0.25">
      <c r="A548" s="391" t="s">
        <v>121</v>
      </c>
      <c r="B548" s="454">
        <v>904</v>
      </c>
      <c r="C548" s="394" t="s">
        <v>116</v>
      </c>
      <c r="D548" s="394" t="s">
        <v>118</v>
      </c>
      <c r="E548" s="394" t="s">
        <v>1111</v>
      </c>
      <c r="F548" s="394" t="s">
        <v>122</v>
      </c>
      <c r="G548" s="435">
        <v>630.6</v>
      </c>
      <c r="H548" s="435">
        <f>G548</f>
        <v>630.6</v>
      </c>
      <c r="I548" s="310"/>
      <c r="J548" s="302"/>
    </row>
    <row r="549" spans="1:10" ht="31.5" x14ac:dyDescent="0.25">
      <c r="A549" s="391" t="s">
        <v>153</v>
      </c>
      <c r="B549" s="454">
        <v>904</v>
      </c>
      <c r="C549" s="394" t="s">
        <v>116</v>
      </c>
      <c r="D549" s="394" t="s">
        <v>118</v>
      </c>
      <c r="E549" s="394" t="s">
        <v>1111</v>
      </c>
      <c r="F549" s="394" t="s">
        <v>124</v>
      </c>
      <c r="G549" s="435">
        <f>G550</f>
        <v>93</v>
      </c>
      <c r="H549" s="435">
        <f>H550</f>
        <v>93</v>
      </c>
      <c r="I549" s="310"/>
      <c r="J549" s="302"/>
    </row>
    <row r="550" spans="1:10" ht="31.5" x14ac:dyDescent="0.25">
      <c r="A550" s="391" t="s">
        <v>125</v>
      </c>
      <c r="B550" s="454">
        <v>904</v>
      </c>
      <c r="C550" s="394" t="s">
        <v>116</v>
      </c>
      <c r="D550" s="394" t="s">
        <v>118</v>
      </c>
      <c r="E550" s="394" t="s">
        <v>1111</v>
      </c>
      <c r="F550" s="394" t="s">
        <v>126</v>
      </c>
      <c r="G550" s="435">
        <v>93</v>
      </c>
      <c r="H550" s="435">
        <v>93</v>
      </c>
      <c r="I550" s="310"/>
      <c r="J550" s="302"/>
    </row>
    <row r="551" spans="1:10" ht="47.25" x14ac:dyDescent="0.25">
      <c r="A551" s="391" t="s">
        <v>1109</v>
      </c>
      <c r="B551" s="454">
        <v>904</v>
      </c>
      <c r="C551" s="394" t="s">
        <v>116</v>
      </c>
      <c r="D551" s="394" t="s">
        <v>118</v>
      </c>
      <c r="E551" s="394" t="s">
        <v>1110</v>
      </c>
      <c r="F551" s="394"/>
      <c r="G551" s="435">
        <f>G552</f>
        <v>2235.8000000000002</v>
      </c>
      <c r="H551" s="435">
        <f>H552</f>
        <v>2235.8000000000002</v>
      </c>
      <c r="I551" s="310"/>
      <c r="J551" s="302"/>
    </row>
    <row r="552" spans="1:10" ht="63" x14ac:dyDescent="0.25">
      <c r="A552" s="391" t="s">
        <v>119</v>
      </c>
      <c r="B552" s="454">
        <v>904</v>
      </c>
      <c r="C552" s="394" t="s">
        <v>116</v>
      </c>
      <c r="D552" s="394" t="s">
        <v>118</v>
      </c>
      <c r="E552" s="394" t="s">
        <v>1110</v>
      </c>
      <c r="F552" s="394" t="s">
        <v>120</v>
      </c>
      <c r="G552" s="435">
        <f>G553</f>
        <v>2235.8000000000002</v>
      </c>
      <c r="H552" s="435">
        <f>H553</f>
        <v>2235.8000000000002</v>
      </c>
      <c r="I552" s="310"/>
      <c r="J552" s="302"/>
    </row>
    <row r="553" spans="1:10" ht="31.5" x14ac:dyDescent="0.25">
      <c r="A553" s="391" t="s">
        <v>121</v>
      </c>
      <c r="B553" s="454">
        <v>904</v>
      </c>
      <c r="C553" s="394" t="s">
        <v>116</v>
      </c>
      <c r="D553" s="394" t="s">
        <v>118</v>
      </c>
      <c r="E553" s="394" t="s">
        <v>1110</v>
      </c>
      <c r="F553" s="394" t="s">
        <v>122</v>
      </c>
      <c r="G553" s="435">
        <v>2235.8000000000002</v>
      </c>
      <c r="H553" s="435">
        <f>G553</f>
        <v>2235.8000000000002</v>
      </c>
      <c r="I553" s="310"/>
      <c r="J553" s="302"/>
    </row>
    <row r="554" spans="1:10" ht="31.5" x14ac:dyDescent="0.25">
      <c r="A554" s="391" t="s">
        <v>414</v>
      </c>
      <c r="B554" s="454">
        <v>904</v>
      </c>
      <c r="C554" s="394" t="s">
        <v>116</v>
      </c>
      <c r="D554" s="394" t="s">
        <v>118</v>
      </c>
      <c r="E554" s="394" t="s">
        <v>1175</v>
      </c>
      <c r="F554" s="394"/>
      <c r="G554" s="435">
        <f>'Пр.4.1 ведом.23-24 '!G3209</f>
        <v>0</v>
      </c>
      <c r="H554" s="435">
        <f>H555</f>
        <v>0</v>
      </c>
      <c r="I554" s="310"/>
      <c r="J554" s="302"/>
    </row>
    <row r="555" spans="1:10" ht="63" x14ac:dyDescent="0.25">
      <c r="A555" s="391" t="s">
        <v>119</v>
      </c>
      <c r="B555" s="454">
        <v>904</v>
      </c>
      <c r="C555" s="394" t="s">
        <v>116</v>
      </c>
      <c r="D555" s="394" t="s">
        <v>118</v>
      </c>
      <c r="E555" s="394" t="s">
        <v>1175</v>
      </c>
      <c r="F555" s="394" t="s">
        <v>120</v>
      </c>
      <c r="G555" s="435">
        <f>G556</f>
        <v>43</v>
      </c>
      <c r="H555" s="435">
        <f>H556</f>
        <v>0</v>
      </c>
      <c r="I555" s="310"/>
      <c r="J555" s="302"/>
    </row>
    <row r="556" spans="1:10" ht="31.5" x14ac:dyDescent="0.25">
      <c r="A556" s="391" t="s">
        <v>121</v>
      </c>
      <c r="B556" s="454">
        <v>904</v>
      </c>
      <c r="C556" s="394" t="s">
        <v>116</v>
      </c>
      <c r="D556" s="394" t="s">
        <v>118</v>
      </c>
      <c r="E556" s="394" t="s">
        <v>1175</v>
      </c>
      <c r="F556" s="394" t="s">
        <v>122</v>
      </c>
      <c r="G556" s="435">
        <v>43</v>
      </c>
      <c r="H556" s="435">
        <v>0</v>
      </c>
      <c r="I556" s="310"/>
      <c r="J556" s="302"/>
    </row>
    <row r="557" spans="1:10" ht="31.5" x14ac:dyDescent="0.25">
      <c r="A557" s="453" t="s">
        <v>229</v>
      </c>
      <c r="B557" s="453">
        <v>905</v>
      </c>
      <c r="C557" s="394"/>
      <c r="D557" s="394"/>
      <c r="E557" s="394"/>
      <c r="F557" s="394"/>
      <c r="G557" s="438">
        <f>G558+G592+G602</f>
        <v>19524.8</v>
      </c>
      <c r="H557" s="438">
        <f>H558+H592+H602</f>
        <v>19525.400000000001</v>
      </c>
      <c r="I557" s="310"/>
      <c r="J557" s="302"/>
    </row>
    <row r="558" spans="1:10" ht="15.75" x14ac:dyDescent="0.25">
      <c r="A558" s="409" t="s">
        <v>115</v>
      </c>
      <c r="B558" s="453">
        <v>905</v>
      </c>
      <c r="C558" s="406" t="s">
        <v>116</v>
      </c>
      <c r="D558" s="394"/>
      <c r="E558" s="394"/>
      <c r="F558" s="394"/>
      <c r="G558" s="438">
        <f>G559+G576</f>
        <v>19254.399999999998</v>
      </c>
      <c r="H558" s="438">
        <f>H559+H576</f>
        <v>19255</v>
      </c>
      <c r="I558" s="310"/>
      <c r="J558" s="302"/>
    </row>
    <row r="559" spans="1:10" ht="65.25" customHeight="1" x14ac:dyDescent="0.25">
      <c r="A559" s="409" t="s">
        <v>138</v>
      </c>
      <c r="B559" s="453">
        <v>905</v>
      </c>
      <c r="C559" s="406" t="s">
        <v>116</v>
      </c>
      <c r="D559" s="406" t="s">
        <v>139</v>
      </c>
      <c r="E559" s="406"/>
      <c r="F559" s="406"/>
      <c r="G559" s="438">
        <f>G560</f>
        <v>13325.699999999999</v>
      </c>
      <c r="H559" s="438">
        <f>H560</f>
        <v>13326.3</v>
      </c>
      <c r="I559" s="310"/>
      <c r="J559" s="302"/>
    </row>
    <row r="560" spans="1:10" ht="31.5" x14ac:dyDescent="0.25">
      <c r="A560" s="409" t="s">
        <v>486</v>
      </c>
      <c r="B560" s="453">
        <v>905</v>
      </c>
      <c r="C560" s="406" t="s">
        <v>116</v>
      </c>
      <c r="D560" s="406" t="s">
        <v>139</v>
      </c>
      <c r="E560" s="406" t="s">
        <v>432</v>
      </c>
      <c r="F560" s="406"/>
      <c r="G560" s="438">
        <f>G561+G572</f>
        <v>13325.699999999999</v>
      </c>
      <c r="H560" s="438">
        <f>H561+H572</f>
        <v>13326.3</v>
      </c>
      <c r="I560" s="310"/>
      <c r="J560" s="302"/>
    </row>
    <row r="561" spans="1:11" ht="15.75" x14ac:dyDescent="0.25">
      <c r="A561" s="409" t="s">
        <v>487</v>
      </c>
      <c r="B561" s="453">
        <v>905</v>
      </c>
      <c r="C561" s="406" t="s">
        <v>116</v>
      </c>
      <c r="D561" s="406" t="s">
        <v>139</v>
      </c>
      <c r="E561" s="406" t="s">
        <v>433</v>
      </c>
      <c r="F561" s="406"/>
      <c r="G561" s="438">
        <f>G562+G569</f>
        <v>13308.4</v>
      </c>
      <c r="H561" s="438">
        <f>H562+H569</f>
        <v>13308.4</v>
      </c>
      <c r="I561" s="310"/>
      <c r="J561" s="302"/>
    </row>
    <row r="562" spans="1:11" ht="28.5" customHeight="1" x14ac:dyDescent="0.25">
      <c r="A562" s="391" t="s">
        <v>466</v>
      </c>
      <c r="B562" s="454">
        <v>905</v>
      </c>
      <c r="C562" s="394" t="s">
        <v>116</v>
      </c>
      <c r="D562" s="394" t="s">
        <v>139</v>
      </c>
      <c r="E562" s="394" t="s">
        <v>434</v>
      </c>
      <c r="F562" s="394"/>
      <c r="G562" s="435">
        <f>G563+G565+G567</f>
        <v>12835.4</v>
      </c>
      <c r="H562" s="435">
        <f>H563+H565+H567</f>
        <v>12835.4</v>
      </c>
      <c r="I562" s="310"/>
      <c r="J562" s="302"/>
    </row>
    <row r="563" spans="1:11" ht="63" x14ac:dyDescent="0.25">
      <c r="A563" s="391" t="s">
        <v>119</v>
      </c>
      <c r="B563" s="454">
        <v>905</v>
      </c>
      <c r="C563" s="394" t="s">
        <v>116</v>
      </c>
      <c r="D563" s="394" t="s">
        <v>139</v>
      </c>
      <c r="E563" s="394" t="s">
        <v>434</v>
      </c>
      <c r="F563" s="394" t="s">
        <v>120</v>
      </c>
      <c r="G563" s="435">
        <f>G564</f>
        <v>12294.4</v>
      </c>
      <c r="H563" s="435">
        <f>H564</f>
        <v>12294.4</v>
      </c>
      <c r="I563" s="310"/>
      <c r="J563" s="302"/>
    </row>
    <row r="564" spans="1:11" ht="31.5" x14ac:dyDescent="0.25">
      <c r="A564" s="391" t="s">
        <v>121</v>
      </c>
      <c r="B564" s="454">
        <v>905</v>
      </c>
      <c r="C564" s="394" t="s">
        <v>116</v>
      </c>
      <c r="D564" s="394" t="s">
        <v>139</v>
      </c>
      <c r="E564" s="394" t="s">
        <v>434</v>
      </c>
      <c r="F564" s="394" t="s">
        <v>122</v>
      </c>
      <c r="G564" s="436">
        <v>12294.4</v>
      </c>
      <c r="H564" s="436">
        <f>G564</f>
        <v>12294.4</v>
      </c>
      <c r="I564" s="310"/>
      <c r="J564" s="310"/>
      <c r="K564" s="311"/>
    </row>
    <row r="565" spans="1:11" ht="31.5" x14ac:dyDescent="0.25">
      <c r="A565" s="391" t="s">
        <v>123</v>
      </c>
      <c r="B565" s="454">
        <v>905</v>
      </c>
      <c r="C565" s="394" t="s">
        <v>116</v>
      </c>
      <c r="D565" s="394" t="s">
        <v>139</v>
      </c>
      <c r="E565" s="394" t="s">
        <v>434</v>
      </c>
      <c r="F565" s="394" t="s">
        <v>124</v>
      </c>
      <c r="G565" s="435">
        <f>G566</f>
        <v>410</v>
      </c>
      <c r="H565" s="435">
        <f>H566</f>
        <v>410</v>
      </c>
      <c r="I565" s="310"/>
      <c r="J565" s="302"/>
    </row>
    <row r="566" spans="1:11" ht="31.5" x14ac:dyDescent="0.25">
      <c r="A566" s="391" t="s">
        <v>125</v>
      </c>
      <c r="B566" s="454">
        <v>905</v>
      </c>
      <c r="C566" s="394" t="s">
        <v>116</v>
      </c>
      <c r="D566" s="394" t="s">
        <v>139</v>
      </c>
      <c r="E566" s="394" t="s">
        <v>434</v>
      </c>
      <c r="F566" s="394" t="s">
        <v>126</v>
      </c>
      <c r="G566" s="436">
        <v>410</v>
      </c>
      <c r="H566" s="436">
        <v>410</v>
      </c>
      <c r="I566" s="310"/>
      <c r="J566" s="310"/>
    </row>
    <row r="567" spans="1:11" ht="15.75" x14ac:dyDescent="0.25">
      <c r="A567" s="391" t="s">
        <v>127</v>
      </c>
      <c r="B567" s="454">
        <v>905</v>
      </c>
      <c r="C567" s="394" t="s">
        <v>116</v>
      </c>
      <c r="D567" s="394" t="s">
        <v>139</v>
      </c>
      <c r="E567" s="394" t="s">
        <v>434</v>
      </c>
      <c r="F567" s="394" t="s">
        <v>134</v>
      </c>
      <c r="G567" s="435">
        <f>G568</f>
        <v>131</v>
      </c>
      <c r="H567" s="435">
        <f>H568</f>
        <v>131</v>
      </c>
      <c r="I567" s="310"/>
      <c r="J567" s="302"/>
    </row>
    <row r="568" spans="1:11" ht="15.75" x14ac:dyDescent="0.25">
      <c r="A568" s="391" t="s">
        <v>280</v>
      </c>
      <c r="B568" s="454">
        <v>905</v>
      </c>
      <c r="C568" s="394" t="s">
        <v>116</v>
      </c>
      <c r="D568" s="394" t="s">
        <v>139</v>
      </c>
      <c r="E568" s="394" t="s">
        <v>434</v>
      </c>
      <c r="F568" s="394" t="s">
        <v>130</v>
      </c>
      <c r="G568" s="435">
        <v>131</v>
      </c>
      <c r="H568" s="435">
        <v>131</v>
      </c>
      <c r="I568" s="310"/>
      <c r="J568" s="310"/>
      <c r="K568" s="311"/>
    </row>
    <row r="569" spans="1:11" ht="31.5" x14ac:dyDescent="0.25">
      <c r="A569" s="391" t="s">
        <v>414</v>
      </c>
      <c r="B569" s="454">
        <v>905</v>
      </c>
      <c r="C569" s="394" t="s">
        <v>116</v>
      </c>
      <c r="D569" s="394" t="s">
        <v>139</v>
      </c>
      <c r="E569" s="394" t="s">
        <v>436</v>
      </c>
      <c r="F569" s="394"/>
      <c r="G569" s="435">
        <f>G570</f>
        <v>473</v>
      </c>
      <c r="H569" s="435">
        <f>H570</f>
        <v>473</v>
      </c>
      <c r="I569" s="310"/>
      <c r="J569" s="302"/>
    </row>
    <row r="570" spans="1:11" ht="63" x14ac:dyDescent="0.25">
      <c r="A570" s="391" t="s">
        <v>119</v>
      </c>
      <c r="B570" s="454">
        <v>905</v>
      </c>
      <c r="C570" s="394" t="s">
        <v>116</v>
      </c>
      <c r="D570" s="394" t="s">
        <v>139</v>
      </c>
      <c r="E570" s="394" t="s">
        <v>436</v>
      </c>
      <c r="F570" s="394" t="s">
        <v>120</v>
      </c>
      <c r="G570" s="435">
        <f>G571</f>
        <v>473</v>
      </c>
      <c r="H570" s="435">
        <f>H571</f>
        <v>473</v>
      </c>
      <c r="I570" s="310"/>
      <c r="J570" s="302"/>
    </row>
    <row r="571" spans="1:11" ht="31.5" x14ac:dyDescent="0.25">
      <c r="A571" s="391" t="s">
        <v>121</v>
      </c>
      <c r="B571" s="454">
        <v>905</v>
      </c>
      <c r="C571" s="394" t="s">
        <v>116</v>
      </c>
      <c r="D571" s="394" t="s">
        <v>139</v>
      </c>
      <c r="E571" s="394" t="s">
        <v>436</v>
      </c>
      <c r="F571" s="394" t="s">
        <v>122</v>
      </c>
      <c r="G571" s="435">
        <v>473</v>
      </c>
      <c r="H571" s="435">
        <v>473</v>
      </c>
      <c r="I571" s="310"/>
      <c r="J571" s="302"/>
    </row>
    <row r="572" spans="1:11" ht="31.5" x14ac:dyDescent="0.25">
      <c r="A572" s="409" t="s">
        <v>458</v>
      </c>
      <c r="B572" s="453">
        <v>905</v>
      </c>
      <c r="C572" s="406" t="s">
        <v>116</v>
      </c>
      <c r="D572" s="406" t="s">
        <v>139</v>
      </c>
      <c r="E572" s="406" t="s">
        <v>437</v>
      </c>
      <c r="F572" s="406"/>
      <c r="G572" s="438">
        <f t="shared" ref="G572:H574" si="42">G573</f>
        <v>17.3</v>
      </c>
      <c r="H572" s="438">
        <f t="shared" si="42"/>
        <v>17.899999999999999</v>
      </c>
      <c r="I572" s="310"/>
      <c r="J572" s="302"/>
    </row>
    <row r="573" spans="1:11" ht="77.45" customHeight="1" x14ac:dyDescent="0.25">
      <c r="A573" s="393" t="s">
        <v>717</v>
      </c>
      <c r="B573" s="454">
        <v>905</v>
      </c>
      <c r="C573" s="394" t="s">
        <v>116</v>
      </c>
      <c r="D573" s="394" t="s">
        <v>139</v>
      </c>
      <c r="E573" s="394" t="s">
        <v>716</v>
      </c>
      <c r="F573" s="394"/>
      <c r="G573" s="435">
        <f t="shared" si="42"/>
        <v>17.3</v>
      </c>
      <c r="H573" s="435">
        <f t="shared" si="42"/>
        <v>17.899999999999999</v>
      </c>
      <c r="I573" s="310"/>
      <c r="J573" s="302"/>
    </row>
    <row r="574" spans="1:11" ht="63" x14ac:dyDescent="0.25">
      <c r="A574" s="391" t="s">
        <v>119</v>
      </c>
      <c r="B574" s="454">
        <v>905</v>
      </c>
      <c r="C574" s="394" t="s">
        <v>116</v>
      </c>
      <c r="D574" s="394" t="s">
        <v>139</v>
      </c>
      <c r="E574" s="394" t="s">
        <v>716</v>
      </c>
      <c r="F574" s="394" t="s">
        <v>120</v>
      </c>
      <c r="G574" s="435">
        <f t="shared" si="42"/>
        <v>17.3</v>
      </c>
      <c r="H574" s="435">
        <f t="shared" si="42"/>
        <v>17.899999999999999</v>
      </c>
      <c r="I574" s="310"/>
      <c r="J574" s="302"/>
    </row>
    <row r="575" spans="1:11" ht="31.5" x14ac:dyDescent="0.25">
      <c r="A575" s="391" t="s">
        <v>121</v>
      </c>
      <c r="B575" s="454">
        <v>905</v>
      </c>
      <c r="C575" s="394" t="s">
        <v>116</v>
      </c>
      <c r="D575" s="394" t="s">
        <v>139</v>
      </c>
      <c r="E575" s="394" t="s">
        <v>716</v>
      </c>
      <c r="F575" s="394" t="s">
        <v>122</v>
      </c>
      <c r="G575" s="435">
        <v>17.3</v>
      </c>
      <c r="H575" s="435">
        <v>17.899999999999999</v>
      </c>
      <c r="I575" s="310"/>
      <c r="J575" s="302"/>
    </row>
    <row r="576" spans="1:11" ht="15.75" x14ac:dyDescent="0.25">
      <c r="A576" s="409" t="s">
        <v>131</v>
      </c>
      <c r="B576" s="453">
        <v>905</v>
      </c>
      <c r="C576" s="406" t="s">
        <v>116</v>
      </c>
      <c r="D576" s="406" t="s">
        <v>132</v>
      </c>
      <c r="E576" s="406"/>
      <c r="F576" s="406"/>
      <c r="G576" s="438">
        <f>G577+G587</f>
        <v>5928.7</v>
      </c>
      <c r="H576" s="438">
        <f>H577+H587</f>
        <v>5928.7</v>
      </c>
      <c r="I576" s="310"/>
      <c r="J576" s="302"/>
    </row>
    <row r="577" spans="1:10" ht="15.75" x14ac:dyDescent="0.25">
      <c r="A577" s="409" t="s">
        <v>133</v>
      </c>
      <c r="B577" s="453">
        <v>905</v>
      </c>
      <c r="C577" s="406" t="s">
        <v>116</v>
      </c>
      <c r="D577" s="406" t="s">
        <v>132</v>
      </c>
      <c r="E577" s="406" t="s">
        <v>440</v>
      </c>
      <c r="F577" s="406"/>
      <c r="G577" s="438">
        <f>G578</f>
        <v>5928.7</v>
      </c>
      <c r="H577" s="438">
        <f>H578</f>
        <v>5928.7</v>
      </c>
      <c r="I577" s="310"/>
      <c r="J577" s="302"/>
    </row>
    <row r="578" spans="1:10" ht="31.5" x14ac:dyDescent="0.25">
      <c r="A578" s="409" t="s">
        <v>444</v>
      </c>
      <c r="B578" s="453">
        <v>905</v>
      </c>
      <c r="C578" s="406" t="s">
        <v>116</v>
      </c>
      <c r="D578" s="406" t="s">
        <v>132</v>
      </c>
      <c r="E578" s="406" t="s">
        <v>439</v>
      </c>
      <c r="F578" s="406"/>
      <c r="G578" s="438">
        <f>G579+G584</f>
        <v>5928.7</v>
      </c>
      <c r="H578" s="438">
        <f>H579+H584</f>
        <v>5928.7</v>
      </c>
      <c r="I578" s="310"/>
      <c r="J578" s="302"/>
    </row>
    <row r="579" spans="1:10" ht="47.25" x14ac:dyDescent="0.25">
      <c r="A579" s="391" t="s">
        <v>230</v>
      </c>
      <c r="B579" s="454">
        <v>905</v>
      </c>
      <c r="C579" s="394" t="s">
        <v>116</v>
      </c>
      <c r="D579" s="394" t="s">
        <v>132</v>
      </c>
      <c r="E579" s="394" t="s">
        <v>572</v>
      </c>
      <c r="F579" s="394"/>
      <c r="G579" s="435">
        <f>G580+G582</f>
        <v>5928.7</v>
      </c>
      <c r="H579" s="435">
        <f>H580+H582</f>
        <v>5928.7</v>
      </c>
      <c r="I579" s="310"/>
      <c r="J579" s="302"/>
    </row>
    <row r="580" spans="1:10" ht="31.5" x14ac:dyDescent="0.25">
      <c r="A580" s="391" t="s">
        <v>123</v>
      </c>
      <c r="B580" s="454">
        <v>905</v>
      </c>
      <c r="C580" s="394" t="s">
        <v>116</v>
      </c>
      <c r="D580" s="394" t="s">
        <v>132</v>
      </c>
      <c r="E580" s="394" t="s">
        <v>572</v>
      </c>
      <c r="F580" s="394" t="s">
        <v>124</v>
      </c>
      <c r="G580" s="435">
        <f>G581</f>
        <v>5928.7</v>
      </c>
      <c r="H580" s="435">
        <f>H581</f>
        <v>5928.7</v>
      </c>
      <c r="I580" s="310"/>
      <c r="J580" s="302"/>
    </row>
    <row r="581" spans="1:10" ht="31.5" x14ac:dyDescent="0.25">
      <c r="A581" s="391" t="s">
        <v>125</v>
      </c>
      <c r="B581" s="454">
        <v>905</v>
      </c>
      <c r="C581" s="394" t="s">
        <v>116</v>
      </c>
      <c r="D581" s="394" t="s">
        <v>132</v>
      </c>
      <c r="E581" s="394" t="s">
        <v>572</v>
      </c>
      <c r="F581" s="394" t="s">
        <v>126</v>
      </c>
      <c r="G581" s="435">
        <v>5928.7</v>
      </c>
      <c r="H581" s="435">
        <v>5928.7</v>
      </c>
      <c r="I581" s="310"/>
      <c r="J581" s="310"/>
    </row>
    <row r="582" spans="1:10" ht="15.75" hidden="1" x14ac:dyDescent="0.25">
      <c r="A582" s="391" t="s">
        <v>127</v>
      </c>
      <c r="B582" s="454">
        <v>905</v>
      </c>
      <c r="C582" s="394" t="s">
        <v>116</v>
      </c>
      <c r="D582" s="394" t="s">
        <v>132</v>
      </c>
      <c r="E582" s="394" t="s">
        <v>572</v>
      </c>
      <c r="F582" s="394" t="s">
        <v>134</v>
      </c>
      <c r="G582" s="435">
        <f>G583</f>
        <v>0</v>
      </c>
      <c r="H582" s="435">
        <f>H583</f>
        <v>0</v>
      </c>
      <c r="I582" s="310"/>
      <c r="J582" s="310"/>
    </row>
    <row r="583" spans="1:10" ht="31.5" hidden="1" x14ac:dyDescent="0.25">
      <c r="A583" s="391" t="s">
        <v>411</v>
      </c>
      <c r="B583" s="454">
        <v>905</v>
      </c>
      <c r="C583" s="394" t="s">
        <v>116</v>
      </c>
      <c r="D583" s="394" t="s">
        <v>132</v>
      </c>
      <c r="E583" s="394" t="s">
        <v>572</v>
      </c>
      <c r="F583" s="394" t="s">
        <v>136</v>
      </c>
      <c r="G583" s="435"/>
      <c r="H583" s="435"/>
      <c r="I583" s="310"/>
      <c r="J583" s="310"/>
    </row>
    <row r="584" spans="1:10" ht="31.5" hidden="1" x14ac:dyDescent="0.25">
      <c r="A584" s="391" t="s">
        <v>500</v>
      </c>
      <c r="B584" s="454">
        <v>905</v>
      </c>
      <c r="C584" s="394" t="s">
        <v>116</v>
      </c>
      <c r="D584" s="394" t="s">
        <v>132</v>
      </c>
      <c r="E584" s="394" t="s">
        <v>573</v>
      </c>
      <c r="F584" s="394"/>
      <c r="G584" s="435">
        <f>G585</f>
        <v>0</v>
      </c>
      <c r="H584" s="435">
        <f>H585</f>
        <v>0</v>
      </c>
      <c r="I584" s="310"/>
      <c r="J584" s="302"/>
    </row>
    <row r="585" spans="1:10" ht="31.5" hidden="1" x14ac:dyDescent="0.25">
      <c r="A585" s="391" t="s">
        <v>123</v>
      </c>
      <c r="B585" s="454">
        <v>905</v>
      </c>
      <c r="C585" s="394" t="s">
        <v>116</v>
      </c>
      <c r="D585" s="394" t="s">
        <v>132</v>
      </c>
      <c r="E585" s="394" t="s">
        <v>573</v>
      </c>
      <c r="F585" s="394" t="s">
        <v>124</v>
      </c>
      <c r="G585" s="435">
        <f>G586</f>
        <v>0</v>
      </c>
      <c r="H585" s="435">
        <f>H586</f>
        <v>0</v>
      </c>
      <c r="I585" s="310"/>
      <c r="J585" s="302"/>
    </row>
    <row r="586" spans="1:10" ht="31.5" hidden="1" x14ac:dyDescent="0.25">
      <c r="A586" s="391" t="s">
        <v>125</v>
      </c>
      <c r="B586" s="454">
        <v>905</v>
      </c>
      <c r="C586" s="394" t="s">
        <v>116</v>
      </c>
      <c r="D586" s="394" t="s">
        <v>132</v>
      </c>
      <c r="E586" s="394" t="s">
        <v>573</v>
      </c>
      <c r="F586" s="394" t="s">
        <v>126</v>
      </c>
      <c r="G586" s="435">
        <f>100-100</f>
        <v>0</v>
      </c>
      <c r="H586" s="435">
        <f>100-100</f>
        <v>0</v>
      </c>
      <c r="I586" s="310"/>
      <c r="J586" s="302"/>
    </row>
    <row r="587" spans="1:10" s="131" customFormat="1" ht="69.400000000000006" hidden="1" customHeight="1" x14ac:dyDescent="0.25">
      <c r="A587" s="409" t="s">
        <v>985</v>
      </c>
      <c r="B587" s="453">
        <v>905</v>
      </c>
      <c r="C587" s="406" t="s">
        <v>116</v>
      </c>
      <c r="D587" s="406" t="s">
        <v>132</v>
      </c>
      <c r="E587" s="406" t="s">
        <v>358</v>
      </c>
      <c r="F587" s="406"/>
      <c r="G587" s="438">
        <f t="shared" ref="G587:H590" si="43">G588</f>
        <v>0</v>
      </c>
      <c r="H587" s="438">
        <f t="shared" si="43"/>
        <v>0</v>
      </c>
      <c r="I587" s="313"/>
      <c r="J587" s="75"/>
    </row>
    <row r="588" spans="1:10" s="131" customFormat="1" ht="29.25" hidden="1" customHeight="1" x14ac:dyDescent="0.25">
      <c r="A588" s="409" t="s">
        <v>499</v>
      </c>
      <c r="B588" s="453">
        <v>905</v>
      </c>
      <c r="C588" s="406" t="s">
        <v>116</v>
      </c>
      <c r="D588" s="406" t="s">
        <v>132</v>
      </c>
      <c r="E588" s="406" t="s">
        <v>581</v>
      </c>
      <c r="F588" s="406"/>
      <c r="G588" s="438">
        <f t="shared" si="43"/>
        <v>0</v>
      </c>
      <c r="H588" s="438">
        <f t="shared" si="43"/>
        <v>0</v>
      </c>
      <c r="I588" s="313"/>
      <c r="J588" s="75"/>
    </row>
    <row r="589" spans="1:10" s="131" customFormat="1" ht="15.75" hidden="1" x14ac:dyDescent="0.25">
      <c r="A589" s="391" t="s">
        <v>981</v>
      </c>
      <c r="B589" s="454">
        <v>905</v>
      </c>
      <c r="C589" s="394" t="s">
        <v>116</v>
      </c>
      <c r="D589" s="394" t="s">
        <v>132</v>
      </c>
      <c r="E589" s="394" t="s">
        <v>582</v>
      </c>
      <c r="F589" s="394"/>
      <c r="G589" s="435">
        <f t="shared" si="43"/>
        <v>0</v>
      </c>
      <c r="H589" s="435">
        <f t="shared" si="43"/>
        <v>0</v>
      </c>
      <c r="I589" s="313"/>
      <c r="J589" s="75"/>
    </row>
    <row r="590" spans="1:10" s="131" customFormat="1" ht="31.5" hidden="1" x14ac:dyDescent="0.25">
      <c r="A590" s="391" t="s">
        <v>123</v>
      </c>
      <c r="B590" s="454">
        <v>905</v>
      </c>
      <c r="C590" s="394" t="s">
        <v>116</v>
      </c>
      <c r="D590" s="394" t="s">
        <v>132</v>
      </c>
      <c r="E590" s="394" t="s">
        <v>582</v>
      </c>
      <c r="F590" s="394" t="s">
        <v>124</v>
      </c>
      <c r="G590" s="435">
        <f t="shared" si="43"/>
        <v>0</v>
      </c>
      <c r="H590" s="435">
        <f t="shared" si="43"/>
        <v>0</v>
      </c>
      <c r="I590" s="313"/>
      <c r="J590" s="75"/>
    </row>
    <row r="591" spans="1:10" s="131" customFormat="1" ht="31.5" hidden="1" x14ac:dyDescent="0.25">
      <c r="A591" s="391" t="s">
        <v>125</v>
      </c>
      <c r="B591" s="454">
        <v>905</v>
      </c>
      <c r="C591" s="394" t="s">
        <v>116</v>
      </c>
      <c r="D591" s="394" t="s">
        <v>132</v>
      </c>
      <c r="E591" s="394" t="s">
        <v>582</v>
      </c>
      <c r="F591" s="394" t="s">
        <v>126</v>
      </c>
      <c r="G591" s="435"/>
      <c r="H591" s="435"/>
      <c r="I591" s="313"/>
      <c r="J591" s="75"/>
    </row>
    <row r="592" spans="1:10" ht="15.75" x14ac:dyDescent="0.25">
      <c r="A592" s="462" t="s">
        <v>231</v>
      </c>
      <c r="B592" s="453">
        <v>905</v>
      </c>
      <c r="C592" s="406" t="s">
        <v>168</v>
      </c>
      <c r="D592" s="406"/>
      <c r="E592" s="406"/>
      <c r="F592" s="406"/>
      <c r="G592" s="438">
        <f t="shared" ref="G592:H594" si="44">G593</f>
        <v>270.39999999999998</v>
      </c>
      <c r="H592" s="438">
        <f t="shared" si="44"/>
        <v>270.39999999999998</v>
      </c>
      <c r="I592" s="310"/>
      <c r="J592" s="302"/>
    </row>
    <row r="593" spans="1:10" ht="15.75" x14ac:dyDescent="0.25">
      <c r="A593" s="462" t="s">
        <v>232</v>
      </c>
      <c r="B593" s="453">
        <v>905</v>
      </c>
      <c r="C593" s="406" t="s">
        <v>168</v>
      </c>
      <c r="D593" s="406" t="s">
        <v>116</v>
      </c>
      <c r="E593" s="406"/>
      <c r="F593" s="406"/>
      <c r="G593" s="438">
        <f t="shared" si="44"/>
        <v>270.39999999999998</v>
      </c>
      <c r="H593" s="438">
        <f t="shared" si="44"/>
        <v>270.39999999999998</v>
      </c>
      <c r="I593" s="310"/>
      <c r="J593" s="302"/>
    </row>
    <row r="594" spans="1:10" ht="15.75" x14ac:dyDescent="0.25">
      <c r="A594" s="409" t="s">
        <v>133</v>
      </c>
      <c r="B594" s="453">
        <v>905</v>
      </c>
      <c r="C594" s="406" t="s">
        <v>168</v>
      </c>
      <c r="D594" s="406" t="s">
        <v>116</v>
      </c>
      <c r="E594" s="406" t="s">
        <v>440</v>
      </c>
      <c r="F594" s="406"/>
      <c r="G594" s="438">
        <f t="shared" si="44"/>
        <v>270.39999999999998</v>
      </c>
      <c r="H594" s="438">
        <f t="shared" si="44"/>
        <v>270.39999999999998</v>
      </c>
      <c r="I594" s="310"/>
      <c r="J594" s="302"/>
    </row>
    <row r="595" spans="1:10" ht="31.5" x14ac:dyDescent="0.25">
      <c r="A595" s="409" t="s">
        <v>444</v>
      </c>
      <c r="B595" s="453">
        <v>905</v>
      </c>
      <c r="C595" s="406" t="s">
        <v>168</v>
      </c>
      <c r="D595" s="406" t="s">
        <v>116</v>
      </c>
      <c r="E595" s="406" t="s">
        <v>439</v>
      </c>
      <c r="F595" s="406"/>
      <c r="G595" s="438">
        <f>G596+G599</f>
        <v>270.39999999999998</v>
      </c>
      <c r="H595" s="438">
        <f>H596+H599</f>
        <v>270.39999999999998</v>
      </c>
      <c r="I595" s="310"/>
      <c r="J595" s="302"/>
    </row>
    <row r="596" spans="1:10" ht="31.5" x14ac:dyDescent="0.25">
      <c r="A596" s="458" t="s">
        <v>233</v>
      </c>
      <c r="B596" s="454">
        <v>905</v>
      </c>
      <c r="C596" s="394" t="s">
        <v>168</v>
      </c>
      <c r="D596" s="394" t="s">
        <v>116</v>
      </c>
      <c r="E596" s="394" t="s">
        <v>524</v>
      </c>
      <c r="F596" s="394"/>
      <c r="G596" s="435">
        <f>G597</f>
        <v>270.39999999999998</v>
      </c>
      <c r="H596" s="435">
        <f>H597</f>
        <v>270.39999999999998</v>
      </c>
      <c r="I596" s="310"/>
      <c r="J596" s="302"/>
    </row>
    <row r="597" spans="1:10" ht="31.5" x14ac:dyDescent="0.25">
      <c r="A597" s="391" t="s">
        <v>123</v>
      </c>
      <c r="B597" s="454">
        <v>905</v>
      </c>
      <c r="C597" s="394" t="s">
        <v>168</v>
      </c>
      <c r="D597" s="394" t="s">
        <v>116</v>
      </c>
      <c r="E597" s="394" t="s">
        <v>524</v>
      </c>
      <c r="F597" s="394" t="s">
        <v>124</v>
      </c>
      <c r="G597" s="435">
        <f>G598</f>
        <v>270.39999999999998</v>
      </c>
      <c r="H597" s="435">
        <f>H598</f>
        <v>270.39999999999998</v>
      </c>
      <c r="I597" s="310"/>
      <c r="J597" s="302"/>
    </row>
    <row r="598" spans="1:10" ht="31.5" x14ac:dyDescent="0.25">
      <c r="A598" s="391" t="s">
        <v>125</v>
      </c>
      <c r="B598" s="454">
        <v>905</v>
      </c>
      <c r="C598" s="394" t="s">
        <v>168</v>
      </c>
      <c r="D598" s="394" t="s">
        <v>116</v>
      </c>
      <c r="E598" s="394" t="s">
        <v>524</v>
      </c>
      <c r="F598" s="394" t="s">
        <v>126</v>
      </c>
      <c r="G598" s="435">
        <v>270.39999999999998</v>
      </c>
      <c r="H598" s="435">
        <v>270.39999999999998</v>
      </c>
      <c r="I598" s="310"/>
      <c r="J598" s="302"/>
    </row>
    <row r="599" spans="1:10" ht="31.5" hidden="1" x14ac:dyDescent="0.25">
      <c r="A599" s="458" t="s">
        <v>501</v>
      </c>
      <c r="B599" s="454">
        <v>905</v>
      </c>
      <c r="C599" s="394" t="s">
        <v>168</v>
      </c>
      <c r="D599" s="394" t="s">
        <v>116</v>
      </c>
      <c r="E599" s="394" t="s">
        <v>525</v>
      </c>
      <c r="F599" s="394"/>
      <c r="G599" s="435">
        <f>G600</f>
        <v>0</v>
      </c>
      <c r="H599" s="435">
        <f>H600</f>
        <v>0</v>
      </c>
      <c r="I599" s="310"/>
      <c r="J599" s="302"/>
    </row>
    <row r="600" spans="1:10" ht="31.5" hidden="1" x14ac:dyDescent="0.25">
      <c r="A600" s="391" t="s">
        <v>123</v>
      </c>
      <c r="B600" s="454">
        <v>905</v>
      </c>
      <c r="C600" s="394" t="s">
        <v>168</v>
      </c>
      <c r="D600" s="394" t="s">
        <v>116</v>
      </c>
      <c r="E600" s="394" t="s">
        <v>525</v>
      </c>
      <c r="F600" s="394" t="s">
        <v>124</v>
      </c>
      <c r="G600" s="435">
        <f>G601</f>
        <v>0</v>
      </c>
      <c r="H600" s="435">
        <f>H601</f>
        <v>0</v>
      </c>
      <c r="I600" s="310"/>
      <c r="J600" s="302"/>
    </row>
    <row r="601" spans="1:10" ht="31.5" hidden="1" x14ac:dyDescent="0.25">
      <c r="A601" s="391" t="s">
        <v>125</v>
      </c>
      <c r="B601" s="454">
        <v>905</v>
      </c>
      <c r="C601" s="394" t="s">
        <v>168</v>
      </c>
      <c r="D601" s="394" t="s">
        <v>116</v>
      </c>
      <c r="E601" s="394" t="s">
        <v>525</v>
      </c>
      <c r="F601" s="394" t="s">
        <v>126</v>
      </c>
      <c r="G601" s="435">
        <v>0</v>
      </c>
      <c r="H601" s="435">
        <v>0</v>
      </c>
      <c r="I601" s="310"/>
      <c r="J601" s="302"/>
    </row>
    <row r="602" spans="1:10" ht="15.75" hidden="1" x14ac:dyDescent="0.25">
      <c r="A602" s="409" t="s">
        <v>173</v>
      </c>
      <c r="B602" s="453">
        <v>905</v>
      </c>
      <c r="C602" s="406" t="s">
        <v>174</v>
      </c>
      <c r="D602" s="394"/>
      <c r="E602" s="394"/>
      <c r="F602" s="394"/>
      <c r="G602" s="438">
        <f t="shared" ref="G602:H606" si="45">G603</f>
        <v>0</v>
      </c>
      <c r="H602" s="438">
        <f t="shared" si="45"/>
        <v>0</v>
      </c>
      <c r="I602" s="310"/>
      <c r="J602" s="302"/>
    </row>
    <row r="603" spans="1:10" ht="15.75" hidden="1" x14ac:dyDescent="0.25">
      <c r="A603" s="409" t="s">
        <v>234</v>
      </c>
      <c r="B603" s="453">
        <v>905</v>
      </c>
      <c r="C603" s="406" t="s">
        <v>174</v>
      </c>
      <c r="D603" s="406" t="s">
        <v>139</v>
      </c>
      <c r="E603" s="394"/>
      <c r="F603" s="394"/>
      <c r="G603" s="438">
        <f t="shared" si="45"/>
        <v>0</v>
      </c>
      <c r="H603" s="438">
        <f t="shared" si="45"/>
        <v>0</v>
      </c>
      <c r="I603" s="310"/>
      <c r="J603" s="302"/>
    </row>
    <row r="604" spans="1:10" ht="31.5" hidden="1" x14ac:dyDescent="0.25">
      <c r="A604" s="409" t="s">
        <v>458</v>
      </c>
      <c r="B604" s="453">
        <v>905</v>
      </c>
      <c r="C604" s="406" t="s">
        <v>174</v>
      </c>
      <c r="D604" s="406" t="s">
        <v>139</v>
      </c>
      <c r="E604" s="406" t="s">
        <v>437</v>
      </c>
      <c r="F604" s="394"/>
      <c r="G604" s="438">
        <f t="shared" si="45"/>
        <v>0</v>
      </c>
      <c r="H604" s="438">
        <f t="shared" si="45"/>
        <v>0</v>
      </c>
      <c r="I604" s="310"/>
      <c r="J604" s="302"/>
    </row>
    <row r="605" spans="1:10" ht="48" hidden="1" customHeight="1" x14ac:dyDescent="0.25">
      <c r="A605" s="391" t="s">
        <v>839</v>
      </c>
      <c r="B605" s="454">
        <v>905</v>
      </c>
      <c r="C605" s="394" t="s">
        <v>174</v>
      </c>
      <c r="D605" s="394" t="s">
        <v>139</v>
      </c>
      <c r="E605" s="394" t="s">
        <v>718</v>
      </c>
      <c r="F605" s="394"/>
      <c r="G605" s="435">
        <f t="shared" si="45"/>
        <v>0</v>
      </c>
      <c r="H605" s="435">
        <f t="shared" si="45"/>
        <v>0</v>
      </c>
      <c r="I605" s="310"/>
      <c r="J605" s="302"/>
    </row>
    <row r="606" spans="1:10" ht="31.5" hidden="1" x14ac:dyDescent="0.25">
      <c r="A606" s="391" t="s">
        <v>123</v>
      </c>
      <c r="B606" s="454">
        <v>905</v>
      </c>
      <c r="C606" s="394" t="s">
        <v>174</v>
      </c>
      <c r="D606" s="394" t="s">
        <v>139</v>
      </c>
      <c r="E606" s="394" t="s">
        <v>718</v>
      </c>
      <c r="F606" s="394" t="s">
        <v>124</v>
      </c>
      <c r="G606" s="435">
        <f t="shared" si="45"/>
        <v>0</v>
      </c>
      <c r="H606" s="435">
        <f t="shared" si="45"/>
        <v>0</v>
      </c>
      <c r="I606" s="310"/>
      <c r="J606" s="302"/>
    </row>
    <row r="607" spans="1:10" ht="31.5" hidden="1" x14ac:dyDescent="0.25">
      <c r="A607" s="391" t="s">
        <v>125</v>
      </c>
      <c r="B607" s="454">
        <v>905</v>
      </c>
      <c r="C607" s="394" t="s">
        <v>174</v>
      </c>
      <c r="D607" s="394" t="s">
        <v>139</v>
      </c>
      <c r="E607" s="394" t="s">
        <v>718</v>
      </c>
      <c r="F607" s="394" t="s">
        <v>126</v>
      </c>
      <c r="G607" s="435">
        <f>1975.4-1975.4</f>
        <v>0</v>
      </c>
      <c r="H607" s="435">
        <f>1975.4-1975.4</f>
        <v>0</v>
      </c>
      <c r="I607" s="310"/>
      <c r="J607" s="302"/>
    </row>
    <row r="608" spans="1:10" ht="31.5" x14ac:dyDescent="0.25">
      <c r="A608" s="453" t="s">
        <v>235</v>
      </c>
      <c r="B608" s="453">
        <v>906</v>
      </c>
      <c r="C608" s="406"/>
      <c r="D608" s="406"/>
      <c r="E608" s="406"/>
      <c r="F608" s="406"/>
      <c r="G608" s="438">
        <f>G616+G609</f>
        <v>365678.5</v>
      </c>
      <c r="H608" s="438">
        <f>H616+H609</f>
        <v>321632.90000000002</v>
      </c>
      <c r="I608" s="310"/>
      <c r="J608" s="302"/>
    </row>
    <row r="609" spans="1:10" ht="15.75" x14ac:dyDescent="0.25">
      <c r="A609" s="409" t="s">
        <v>115</v>
      </c>
      <c r="B609" s="453">
        <v>906</v>
      </c>
      <c r="C609" s="406" t="s">
        <v>116</v>
      </c>
      <c r="D609" s="406"/>
      <c r="E609" s="406"/>
      <c r="F609" s="406"/>
      <c r="G609" s="438">
        <f t="shared" ref="G609:H614" si="46">G610</f>
        <v>100</v>
      </c>
      <c r="H609" s="438">
        <f t="shared" si="46"/>
        <v>0</v>
      </c>
      <c r="I609" s="310"/>
      <c r="J609" s="302"/>
    </row>
    <row r="610" spans="1:10" ht="15.75" x14ac:dyDescent="0.25">
      <c r="A610" s="405" t="s">
        <v>131</v>
      </c>
      <c r="B610" s="453">
        <v>906</v>
      </c>
      <c r="C610" s="406" t="s">
        <v>116</v>
      </c>
      <c r="D610" s="406" t="s">
        <v>132</v>
      </c>
      <c r="E610" s="406"/>
      <c r="F610" s="406"/>
      <c r="G610" s="438">
        <f t="shared" si="46"/>
        <v>100</v>
      </c>
      <c r="H610" s="438">
        <f t="shared" si="46"/>
        <v>0</v>
      </c>
      <c r="I610" s="310"/>
      <c r="J610" s="302"/>
    </row>
    <row r="611" spans="1:10" ht="31.5" x14ac:dyDescent="0.25">
      <c r="A611" s="409" t="s">
        <v>858</v>
      </c>
      <c r="B611" s="453">
        <v>906</v>
      </c>
      <c r="C611" s="406" t="s">
        <v>116</v>
      </c>
      <c r="D611" s="406" t="s">
        <v>132</v>
      </c>
      <c r="E611" s="406" t="s">
        <v>209</v>
      </c>
      <c r="F611" s="406"/>
      <c r="G611" s="438">
        <f t="shared" si="46"/>
        <v>100</v>
      </c>
      <c r="H611" s="438">
        <f t="shared" si="46"/>
        <v>0</v>
      </c>
      <c r="I611" s="310"/>
      <c r="J611" s="302"/>
    </row>
    <row r="612" spans="1:10" ht="31.5" x14ac:dyDescent="0.25">
      <c r="A612" s="470" t="s">
        <v>608</v>
      </c>
      <c r="B612" s="453">
        <v>906</v>
      </c>
      <c r="C612" s="406" t="s">
        <v>116</v>
      </c>
      <c r="D612" s="406" t="s">
        <v>132</v>
      </c>
      <c r="E612" s="406" t="s">
        <v>609</v>
      </c>
      <c r="F612" s="406"/>
      <c r="G612" s="438">
        <f t="shared" si="46"/>
        <v>100</v>
      </c>
      <c r="H612" s="438">
        <f t="shared" si="46"/>
        <v>0</v>
      </c>
      <c r="I612" s="310"/>
      <c r="J612" s="302"/>
    </row>
    <row r="613" spans="1:10" ht="31.5" x14ac:dyDescent="0.25">
      <c r="A613" s="471" t="s">
        <v>210</v>
      </c>
      <c r="B613" s="454">
        <v>906</v>
      </c>
      <c r="C613" s="394" t="s">
        <v>116</v>
      </c>
      <c r="D613" s="394" t="s">
        <v>132</v>
      </c>
      <c r="E613" s="394" t="s">
        <v>610</v>
      </c>
      <c r="F613" s="394"/>
      <c r="G613" s="435">
        <f t="shared" si="46"/>
        <v>100</v>
      </c>
      <c r="H613" s="435">
        <f t="shared" si="46"/>
        <v>0</v>
      </c>
      <c r="I613" s="310"/>
      <c r="J613" s="302"/>
    </row>
    <row r="614" spans="1:10" ht="31.5" x14ac:dyDescent="0.25">
      <c r="A614" s="391" t="s">
        <v>123</v>
      </c>
      <c r="B614" s="454">
        <v>906</v>
      </c>
      <c r="C614" s="394" t="s">
        <v>116</v>
      </c>
      <c r="D614" s="394" t="s">
        <v>132</v>
      </c>
      <c r="E614" s="394" t="s">
        <v>610</v>
      </c>
      <c r="F614" s="394" t="s">
        <v>124</v>
      </c>
      <c r="G614" s="435">
        <f t="shared" si="46"/>
        <v>100</v>
      </c>
      <c r="H614" s="435">
        <f t="shared" si="46"/>
        <v>0</v>
      </c>
      <c r="I614" s="310"/>
      <c r="J614" s="302"/>
    </row>
    <row r="615" spans="1:10" ht="31.5" x14ac:dyDescent="0.25">
      <c r="A615" s="391" t="s">
        <v>125</v>
      </c>
      <c r="B615" s="454">
        <v>906</v>
      </c>
      <c r="C615" s="394" t="s">
        <v>116</v>
      </c>
      <c r="D615" s="394" t="s">
        <v>132</v>
      </c>
      <c r="E615" s="394" t="s">
        <v>610</v>
      </c>
      <c r="F615" s="394" t="s">
        <v>126</v>
      </c>
      <c r="G615" s="435">
        <v>100</v>
      </c>
      <c r="H615" s="435">
        <v>0</v>
      </c>
      <c r="I615" s="310"/>
      <c r="J615" s="302"/>
    </row>
    <row r="616" spans="1:10" ht="15.75" x14ac:dyDescent="0.25">
      <c r="A616" s="409" t="s">
        <v>186</v>
      </c>
      <c r="B616" s="453">
        <v>906</v>
      </c>
      <c r="C616" s="406" t="s">
        <v>187</v>
      </c>
      <c r="D616" s="406"/>
      <c r="E616" s="406"/>
      <c r="F616" s="406"/>
      <c r="G616" s="438">
        <f>G617+G679+G801+G807+G768</f>
        <v>365578.5</v>
      </c>
      <c r="H616" s="438">
        <f>H617+H679+H801+H807+H768</f>
        <v>321632.90000000002</v>
      </c>
      <c r="I616" s="310"/>
      <c r="J616" s="302"/>
    </row>
    <row r="617" spans="1:10" ht="15.75" x14ac:dyDescent="0.25">
      <c r="A617" s="409" t="s">
        <v>236</v>
      </c>
      <c r="B617" s="453">
        <v>906</v>
      </c>
      <c r="C617" s="406" t="s">
        <v>187</v>
      </c>
      <c r="D617" s="406" t="s">
        <v>116</v>
      </c>
      <c r="E617" s="406"/>
      <c r="F617" s="406"/>
      <c r="G617" s="438">
        <f>G618+G669+G674</f>
        <v>90820.19</v>
      </c>
      <c r="H617" s="438">
        <f>H618+H669+H674</f>
        <v>84821.090000000011</v>
      </c>
      <c r="I617" s="310"/>
      <c r="J617" s="302"/>
    </row>
    <row r="618" spans="1:10" ht="36" customHeight="1" x14ac:dyDescent="0.25">
      <c r="A618" s="409" t="s">
        <v>859</v>
      </c>
      <c r="B618" s="453">
        <v>906</v>
      </c>
      <c r="C618" s="406" t="s">
        <v>187</v>
      </c>
      <c r="D618" s="406" t="s">
        <v>116</v>
      </c>
      <c r="E618" s="406" t="s">
        <v>237</v>
      </c>
      <c r="F618" s="406"/>
      <c r="G618" s="438">
        <f>G619+G623+G630+G640+G650+G654+G661+G665</f>
        <v>90168.39</v>
      </c>
      <c r="H618" s="438">
        <f>H619+H623+H630+H640+H650+H654+H661+H665</f>
        <v>84224.290000000008</v>
      </c>
      <c r="I618" s="310"/>
      <c r="J618" s="302"/>
    </row>
    <row r="619" spans="1:10" ht="38.25" customHeight="1" x14ac:dyDescent="0.25">
      <c r="A619" s="409" t="s">
        <v>505</v>
      </c>
      <c r="B619" s="453">
        <v>906</v>
      </c>
      <c r="C619" s="406" t="s">
        <v>187</v>
      </c>
      <c r="D619" s="406" t="s">
        <v>116</v>
      </c>
      <c r="E619" s="406" t="s">
        <v>764</v>
      </c>
      <c r="F619" s="406"/>
      <c r="G619" s="438">
        <f t="shared" ref="G619:H621" si="47">G620</f>
        <v>16777.2</v>
      </c>
      <c r="H619" s="438">
        <f t="shared" si="47"/>
        <v>16777.2</v>
      </c>
      <c r="I619" s="310"/>
      <c r="J619" s="302"/>
    </row>
    <row r="620" spans="1:10" ht="31.5" x14ac:dyDescent="0.25">
      <c r="A620" s="391" t="s">
        <v>763</v>
      </c>
      <c r="B620" s="454">
        <v>906</v>
      </c>
      <c r="C620" s="394" t="s">
        <v>187</v>
      </c>
      <c r="D620" s="394" t="s">
        <v>116</v>
      </c>
      <c r="E620" s="394" t="s">
        <v>765</v>
      </c>
      <c r="F620" s="394"/>
      <c r="G620" s="435">
        <f t="shared" si="47"/>
        <v>16777.2</v>
      </c>
      <c r="H620" s="435">
        <f t="shared" si="47"/>
        <v>16777.2</v>
      </c>
      <c r="I620" s="310"/>
      <c r="J620" s="302"/>
    </row>
    <row r="621" spans="1:10" ht="31.5" x14ac:dyDescent="0.25">
      <c r="A621" s="391" t="s">
        <v>191</v>
      </c>
      <c r="B621" s="454">
        <v>906</v>
      </c>
      <c r="C621" s="394" t="s">
        <v>187</v>
      </c>
      <c r="D621" s="394" t="s">
        <v>116</v>
      </c>
      <c r="E621" s="394" t="s">
        <v>765</v>
      </c>
      <c r="F621" s="394" t="s">
        <v>192</v>
      </c>
      <c r="G621" s="435">
        <f t="shared" si="47"/>
        <v>16777.2</v>
      </c>
      <c r="H621" s="435">
        <f t="shared" si="47"/>
        <v>16777.2</v>
      </c>
      <c r="I621" s="310"/>
      <c r="J621" s="302"/>
    </row>
    <row r="622" spans="1:10" ht="15.75" x14ac:dyDescent="0.25">
      <c r="A622" s="391" t="s">
        <v>193</v>
      </c>
      <c r="B622" s="454">
        <v>906</v>
      </c>
      <c r="C622" s="394" t="s">
        <v>187</v>
      </c>
      <c r="D622" s="394" t="s">
        <v>116</v>
      </c>
      <c r="E622" s="394" t="s">
        <v>765</v>
      </c>
      <c r="F622" s="394" t="s">
        <v>194</v>
      </c>
      <c r="G622" s="436">
        <v>16777.2</v>
      </c>
      <c r="H622" s="436">
        <f>G622</f>
        <v>16777.2</v>
      </c>
      <c r="I622" s="310"/>
      <c r="J622" s="302"/>
    </row>
    <row r="623" spans="1:10" ht="31.7" customHeight="1" x14ac:dyDescent="0.25">
      <c r="A623" s="409" t="s">
        <v>469</v>
      </c>
      <c r="B623" s="453">
        <v>906</v>
      </c>
      <c r="C623" s="406" t="s">
        <v>187</v>
      </c>
      <c r="D623" s="406" t="s">
        <v>116</v>
      </c>
      <c r="E623" s="406" t="s">
        <v>766</v>
      </c>
      <c r="F623" s="406"/>
      <c r="G623" s="442">
        <f>G624+G627</f>
        <v>63608.810000000005</v>
      </c>
      <c r="H623" s="442">
        <f>H624+H627</f>
        <v>57657.810000000005</v>
      </c>
      <c r="I623" s="310"/>
      <c r="J623" s="302"/>
    </row>
    <row r="624" spans="1:10" ht="31.7" customHeight="1" x14ac:dyDescent="0.25">
      <c r="A624" s="393" t="s">
        <v>200</v>
      </c>
      <c r="B624" s="454">
        <v>906</v>
      </c>
      <c r="C624" s="394" t="s">
        <v>187</v>
      </c>
      <c r="D624" s="394" t="s">
        <v>116</v>
      </c>
      <c r="E624" s="394" t="s">
        <v>885</v>
      </c>
      <c r="F624" s="394"/>
      <c r="G624" s="435">
        <f>G625</f>
        <v>3430</v>
      </c>
      <c r="H624" s="435">
        <f>H625</f>
        <v>3430</v>
      </c>
      <c r="I624" s="310"/>
      <c r="J624" s="302"/>
    </row>
    <row r="625" spans="1:10" ht="31.7" customHeight="1" x14ac:dyDescent="0.25">
      <c r="A625" s="391" t="s">
        <v>191</v>
      </c>
      <c r="B625" s="454">
        <v>906</v>
      </c>
      <c r="C625" s="394" t="s">
        <v>187</v>
      </c>
      <c r="D625" s="394" t="s">
        <v>116</v>
      </c>
      <c r="E625" s="394" t="s">
        <v>885</v>
      </c>
      <c r="F625" s="394" t="s">
        <v>192</v>
      </c>
      <c r="G625" s="435">
        <f>G626</f>
        <v>3430</v>
      </c>
      <c r="H625" s="435">
        <f>H626</f>
        <v>3430</v>
      </c>
      <c r="I625" s="310"/>
      <c r="J625" s="302"/>
    </row>
    <row r="626" spans="1:10" ht="18.399999999999999" customHeight="1" x14ac:dyDescent="0.25">
      <c r="A626" s="391" t="s">
        <v>193</v>
      </c>
      <c r="B626" s="454">
        <v>906</v>
      </c>
      <c r="C626" s="394" t="s">
        <v>187</v>
      </c>
      <c r="D626" s="394" t="s">
        <v>116</v>
      </c>
      <c r="E626" s="394" t="s">
        <v>885</v>
      </c>
      <c r="F626" s="394" t="s">
        <v>194</v>
      </c>
      <c r="G626" s="585">
        <f>3050+100+280</f>
        <v>3430</v>
      </c>
      <c r="H626" s="585">
        <f>3050+100+280</f>
        <v>3430</v>
      </c>
      <c r="I626" s="310" t="s">
        <v>1269</v>
      </c>
      <c r="J626" s="302"/>
    </row>
    <row r="627" spans="1:10" ht="31.5" x14ac:dyDescent="0.25">
      <c r="A627" s="391" t="s">
        <v>1165</v>
      </c>
      <c r="B627" s="454">
        <v>906</v>
      </c>
      <c r="C627" s="394" t="s">
        <v>187</v>
      </c>
      <c r="D627" s="394" t="s">
        <v>116</v>
      </c>
      <c r="E627" s="394" t="s">
        <v>1166</v>
      </c>
      <c r="F627" s="394"/>
      <c r="G627" s="435">
        <f>G628</f>
        <v>60178.810000000005</v>
      </c>
      <c r="H627" s="435">
        <f>H628</f>
        <v>54227.810000000005</v>
      </c>
      <c r="I627" s="310"/>
      <c r="J627" s="302"/>
    </row>
    <row r="628" spans="1:10" ht="31.5" x14ac:dyDescent="0.25">
      <c r="A628" s="391" t="s">
        <v>191</v>
      </c>
      <c r="B628" s="454">
        <v>906</v>
      </c>
      <c r="C628" s="394" t="s">
        <v>187</v>
      </c>
      <c r="D628" s="394" t="s">
        <v>116</v>
      </c>
      <c r="E628" s="394" t="s">
        <v>1166</v>
      </c>
      <c r="F628" s="394" t="s">
        <v>192</v>
      </c>
      <c r="G628" s="435">
        <f>G629</f>
        <v>60178.810000000005</v>
      </c>
      <c r="H628" s="435">
        <f>H629</f>
        <v>54227.810000000005</v>
      </c>
      <c r="I628" s="310"/>
      <c r="J628" s="302"/>
    </row>
    <row r="629" spans="1:10" ht="15.75" x14ac:dyDescent="0.25">
      <c r="A629" s="391" t="s">
        <v>193</v>
      </c>
      <c r="B629" s="454">
        <v>906</v>
      </c>
      <c r="C629" s="394" t="s">
        <v>187</v>
      </c>
      <c r="D629" s="394" t="s">
        <v>116</v>
      </c>
      <c r="E629" s="394" t="s">
        <v>1166</v>
      </c>
      <c r="F629" s="394" t="s">
        <v>194</v>
      </c>
      <c r="G629" s="585">
        <f>59700.4+478.41</f>
        <v>60178.810000000005</v>
      </c>
      <c r="H629" s="585">
        <f>53749.4+478.41</f>
        <v>54227.810000000005</v>
      </c>
      <c r="I629" s="310" t="s">
        <v>1262</v>
      </c>
      <c r="J629" s="302"/>
    </row>
    <row r="630" spans="1:10" ht="30.2" customHeight="1" x14ac:dyDescent="0.25">
      <c r="A630" s="409" t="s">
        <v>780</v>
      </c>
      <c r="B630" s="453">
        <v>906</v>
      </c>
      <c r="C630" s="406" t="s">
        <v>187</v>
      </c>
      <c r="D630" s="406" t="s">
        <v>116</v>
      </c>
      <c r="E630" s="406" t="s">
        <v>768</v>
      </c>
      <c r="F630" s="406"/>
      <c r="G630" s="438">
        <f>G631+G634+G637</f>
        <v>4749.3999999999996</v>
      </c>
      <c r="H630" s="438">
        <f>H631+H634+H637</f>
        <v>4749.3999999999996</v>
      </c>
      <c r="I630" s="310"/>
      <c r="J630" s="302"/>
    </row>
    <row r="631" spans="1:10" ht="35.450000000000003" hidden="1" customHeight="1" x14ac:dyDescent="0.25">
      <c r="A631" s="391" t="s">
        <v>195</v>
      </c>
      <c r="B631" s="454">
        <v>906</v>
      </c>
      <c r="C631" s="394" t="s">
        <v>187</v>
      </c>
      <c r="D631" s="394" t="s">
        <v>116</v>
      </c>
      <c r="E631" s="394" t="s">
        <v>827</v>
      </c>
      <c r="F631" s="394"/>
      <c r="G631" s="435">
        <f>G632</f>
        <v>0</v>
      </c>
      <c r="H631" s="435">
        <f>H632</f>
        <v>0</v>
      </c>
      <c r="I631" s="310"/>
      <c r="J631" s="302"/>
    </row>
    <row r="632" spans="1:10" ht="35.450000000000003" hidden="1" customHeight="1" x14ac:dyDescent="0.25">
      <c r="A632" s="391" t="s">
        <v>191</v>
      </c>
      <c r="B632" s="454">
        <v>906</v>
      </c>
      <c r="C632" s="394" t="s">
        <v>187</v>
      </c>
      <c r="D632" s="394" t="s">
        <v>116</v>
      </c>
      <c r="E632" s="394" t="s">
        <v>827</v>
      </c>
      <c r="F632" s="394" t="s">
        <v>192</v>
      </c>
      <c r="G632" s="435">
        <f>G633</f>
        <v>0</v>
      </c>
      <c r="H632" s="435">
        <f>H633</f>
        <v>0</v>
      </c>
      <c r="I632" s="310"/>
      <c r="J632" s="302"/>
    </row>
    <row r="633" spans="1:10" ht="15.75" hidden="1" customHeight="1" x14ac:dyDescent="0.25">
      <c r="A633" s="391" t="s">
        <v>193</v>
      </c>
      <c r="B633" s="454">
        <v>906</v>
      </c>
      <c r="C633" s="394" t="s">
        <v>187</v>
      </c>
      <c r="D633" s="394" t="s">
        <v>116</v>
      </c>
      <c r="E633" s="394" t="s">
        <v>827</v>
      </c>
      <c r="F633" s="394" t="s">
        <v>194</v>
      </c>
      <c r="G633" s="435"/>
      <c r="H633" s="435"/>
      <c r="I633" s="310"/>
      <c r="J633" s="302"/>
    </row>
    <row r="634" spans="1:10" ht="37.5" hidden="1" customHeight="1" x14ac:dyDescent="0.25">
      <c r="A634" s="391" t="s">
        <v>196</v>
      </c>
      <c r="B634" s="454">
        <v>906</v>
      </c>
      <c r="C634" s="394" t="s">
        <v>187</v>
      </c>
      <c r="D634" s="394" t="s">
        <v>116</v>
      </c>
      <c r="E634" s="394" t="s">
        <v>828</v>
      </c>
      <c r="F634" s="394"/>
      <c r="G634" s="435">
        <f>G635</f>
        <v>0</v>
      </c>
      <c r="H634" s="435">
        <f>H635</f>
        <v>0</v>
      </c>
      <c r="I634" s="310"/>
      <c r="J634" s="302"/>
    </row>
    <row r="635" spans="1:10" ht="31.5" hidden="1" x14ac:dyDescent="0.25">
      <c r="A635" s="391" t="s">
        <v>191</v>
      </c>
      <c r="B635" s="454">
        <v>906</v>
      </c>
      <c r="C635" s="394" t="s">
        <v>187</v>
      </c>
      <c r="D635" s="394" t="s">
        <v>116</v>
      </c>
      <c r="E635" s="394" t="s">
        <v>828</v>
      </c>
      <c r="F635" s="394" t="s">
        <v>192</v>
      </c>
      <c r="G635" s="435">
        <f>G636</f>
        <v>0</v>
      </c>
      <c r="H635" s="435">
        <f>H636</f>
        <v>0</v>
      </c>
      <c r="I635" s="310"/>
      <c r="J635" s="302"/>
    </row>
    <row r="636" spans="1:10" ht="15.75" hidden="1" x14ac:dyDescent="0.25">
      <c r="A636" s="391" t="s">
        <v>193</v>
      </c>
      <c r="B636" s="454">
        <v>906</v>
      </c>
      <c r="C636" s="394" t="s">
        <v>187</v>
      </c>
      <c r="D636" s="394" t="s">
        <v>116</v>
      </c>
      <c r="E636" s="394" t="s">
        <v>828</v>
      </c>
      <c r="F636" s="394" t="s">
        <v>194</v>
      </c>
      <c r="G636" s="435"/>
      <c r="H636" s="435"/>
      <c r="I636" s="310"/>
      <c r="J636" s="302"/>
    </row>
    <row r="637" spans="1:10" ht="31.5" x14ac:dyDescent="0.25">
      <c r="A637" s="458" t="s">
        <v>238</v>
      </c>
      <c r="B637" s="454">
        <v>906</v>
      </c>
      <c r="C637" s="394" t="s">
        <v>187</v>
      </c>
      <c r="D637" s="394" t="s">
        <v>116</v>
      </c>
      <c r="E637" s="394" t="s">
        <v>769</v>
      </c>
      <c r="F637" s="394"/>
      <c r="G637" s="435">
        <f>G638</f>
        <v>4749.3999999999996</v>
      </c>
      <c r="H637" s="435">
        <f>H638</f>
        <v>4749.3999999999996</v>
      </c>
      <c r="I637" s="310"/>
      <c r="J637" s="302"/>
    </row>
    <row r="638" spans="1:10" ht="31.5" x14ac:dyDescent="0.25">
      <c r="A638" s="391" t="s">
        <v>191</v>
      </c>
      <c r="B638" s="454">
        <v>906</v>
      </c>
      <c r="C638" s="394" t="s">
        <v>187</v>
      </c>
      <c r="D638" s="394" t="s">
        <v>116</v>
      </c>
      <c r="E638" s="394" t="s">
        <v>769</v>
      </c>
      <c r="F638" s="394" t="s">
        <v>192</v>
      </c>
      <c r="G638" s="435">
        <f>G639</f>
        <v>4749.3999999999996</v>
      </c>
      <c r="H638" s="435">
        <f>H639</f>
        <v>4749.3999999999996</v>
      </c>
      <c r="I638" s="310"/>
      <c r="J638" s="302"/>
    </row>
    <row r="639" spans="1:10" ht="15.75" x14ac:dyDescent="0.25">
      <c r="A639" s="391" t="s">
        <v>193</v>
      </c>
      <c r="B639" s="454">
        <v>906</v>
      </c>
      <c r="C639" s="394" t="s">
        <v>187</v>
      </c>
      <c r="D639" s="394" t="s">
        <v>116</v>
      </c>
      <c r="E639" s="394" t="s">
        <v>769</v>
      </c>
      <c r="F639" s="394" t="s">
        <v>194</v>
      </c>
      <c r="G639" s="437">
        <f>4766-16.6</f>
        <v>4749.3999999999996</v>
      </c>
      <c r="H639" s="437">
        <f>4766-16.6</f>
        <v>4749.3999999999996</v>
      </c>
      <c r="I639" s="310"/>
      <c r="J639" s="302"/>
    </row>
    <row r="640" spans="1:10" ht="31.5" x14ac:dyDescent="0.25">
      <c r="A640" s="485" t="s">
        <v>513</v>
      </c>
      <c r="B640" s="453">
        <v>906</v>
      </c>
      <c r="C640" s="406" t="s">
        <v>187</v>
      </c>
      <c r="D640" s="406" t="s">
        <v>116</v>
      </c>
      <c r="E640" s="406" t="s">
        <v>771</v>
      </c>
      <c r="F640" s="406"/>
      <c r="G640" s="442">
        <f>G641+G644+G647</f>
        <v>4142</v>
      </c>
      <c r="H640" s="442">
        <f>H641+H644+H647</f>
        <v>4142</v>
      </c>
      <c r="I640" s="310"/>
      <c r="J640" s="302"/>
    </row>
    <row r="641" spans="1:10" ht="31.7" hidden="1" customHeight="1" x14ac:dyDescent="0.25">
      <c r="A641" s="391" t="s">
        <v>198</v>
      </c>
      <c r="B641" s="454">
        <v>906</v>
      </c>
      <c r="C641" s="394" t="s">
        <v>187</v>
      </c>
      <c r="D641" s="394" t="s">
        <v>116</v>
      </c>
      <c r="E641" s="394" t="s">
        <v>784</v>
      </c>
      <c r="F641" s="394"/>
      <c r="G641" s="435">
        <f>G642</f>
        <v>0</v>
      </c>
      <c r="H641" s="435">
        <f>H642</f>
        <v>0</v>
      </c>
      <c r="I641" s="310"/>
      <c r="J641" s="302"/>
    </row>
    <row r="642" spans="1:10" ht="38.25" hidden="1" customHeight="1" x14ac:dyDescent="0.25">
      <c r="A642" s="391" t="s">
        <v>191</v>
      </c>
      <c r="B642" s="454">
        <v>906</v>
      </c>
      <c r="C642" s="394" t="s">
        <v>187</v>
      </c>
      <c r="D642" s="394" t="s">
        <v>116</v>
      </c>
      <c r="E642" s="394" t="s">
        <v>784</v>
      </c>
      <c r="F642" s="394" t="s">
        <v>192</v>
      </c>
      <c r="G642" s="435">
        <f>G643</f>
        <v>0</v>
      </c>
      <c r="H642" s="435">
        <f>H643</f>
        <v>0</v>
      </c>
      <c r="I642" s="310"/>
      <c r="J642" s="302"/>
    </row>
    <row r="643" spans="1:10" ht="15.75" hidden="1" customHeight="1" x14ac:dyDescent="0.25">
      <c r="A643" s="391" t="s">
        <v>193</v>
      </c>
      <c r="B643" s="454">
        <v>906</v>
      </c>
      <c r="C643" s="394" t="s">
        <v>187</v>
      </c>
      <c r="D643" s="394" t="s">
        <v>116</v>
      </c>
      <c r="E643" s="394" t="s">
        <v>784</v>
      </c>
      <c r="F643" s="394" t="s">
        <v>194</v>
      </c>
      <c r="G643" s="435">
        <v>0</v>
      </c>
      <c r="H643" s="435">
        <v>0</v>
      </c>
      <c r="I643" s="310"/>
      <c r="J643" s="302"/>
    </row>
    <row r="644" spans="1:10" ht="34.5" customHeight="1" x14ac:dyDescent="0.25">
      <c r="A644" s="486" t="s">
        <v>342</v>
      </c>
      <c r="B644" s="454">
        <v>906</v>
      </c>
      <c r="C644" s="394" t="s">
        <v>187</v>
      </c>
      <c r="D644" s="394" t="s">
        <v>116</v>
      </c>
      <c r="E644" s="394" t="s">
        <v>772</v>
      </c>
      <c r="F644" s="394"/>
      <c r="G644" s="435">
        <f>G645</f>
        <v>2882</v>
      </c>
      <c r="H644" s="435">
        <f>H645</f>
        <v>2882</v>
      </c>
      <c r="I644" s="310"/>
      <c r="J644" s="302"/>
    </row>
    <row r="645" spans="1:10" ht="32.25" customHeight="1" x14ac:dyDescent="0.25">
      <c r="A645" s="458" t="s">
        <v>191</v>
      </c>
      <c r="B645" s="454">
        <v>906</v>
      </c>
      <c r="C645" s="394" t="s">
        <v>187</v>
      </c>
      <c r="D645" s="394" t="s">
        <v>116</v>
      </c>
      <c r="E645" s="394" t="s">
        <v>772</v>
      </c>
      <c r="F645" s="394" t="s">
        <v>192</v>
      </c>
      <c r="G645" s="435">
        <f>G646</f>
        <v>2882</v>
      </c>
      <c r="H645" s="435">
        <f>H646</f>
        <v>2882</v>
      </c>
      <c r="I645" s="310"/>
      <c r="J645" s="302"/>
    </row>
    <row r="646" spans="1:10" ht="15.75" customHeight="1" x14ac:dyDescent="0.25">
      <c r="A646" s="487" t="s">
        <v>193</v>
      </c>
      <c r="B646" s="454">
        <v>906</v>
      </c>
      <c r="C646" s="394" t="s">
        <v>187</v>
      </c>
      <c r="D646" s="394" t="s">
        <v>116</v>
      </c>
      <c r="E646" s="394" t="s">
        <v>772</v>
      </c>
      <c r="F646" s="394" t="s">
        <v>194</v>
      </c>
      <c r="G646" s="435">
        <v>2882</v>
      </c>
      <c r="H646" s="435">
        <v>2882</v>
      </c>
      <c r="I646" s="310"/>
      <c r="J646" s="302"/>
    </row>
    <row r="647" spans="1:10" ht="50.25" customHeight="1" x14ac:dyDescent="0.25">
      <c r="A647" s="486" t="s">
        <v>343</v>
      </c>
      <c r="B647" s="454">
        <v>906</v>
      </c>
      <c r="C647" s="394" t="s">
        <v>187</v>
      </c>
      <c r="D647" s="394" t="s">
        <v>116</v>
      </c>
      <c r="E647" s="394" t="s">
        <v>773</v>
      </c>
      <c r="F647" s="394"/>
      <c r="G647" s="435">
        <f>G648</f>
        <v>1260</v>
      </c>
      <c r="H647" s="435">
        <f>H648</f>
        <v>1260</v>
      </c>
      <c r="I647" s="310"/>
      <c r="J647" s="302"/>
    </row>
    <row r="648" spans="1:10" ht="31.5" x14ac:dyDescent="0.25">
      <c r="A648" s="458" t="s">
        <v>191</v>
      </c>
      <c r="B648" s="454">
        <v>906</v>
      </c>
      <c r="C648" s="394" t="s">
        <v>187</v>
      </c>
      <c r="D648" s="394" t="s">
        <v>116</v>
      </c>
      <c r="E648" s="394" t="s">
        <v>773</v>
      </c>
      <c r="F648" s="394" t="s">
        <v>192</v>
      </c>
      <c r="G648" s="435">
        <f>G649</f>
        <v>1260</v>
      </c>
      <c r="H648" s="435">
        <f>H649</f>
        <v>1260</v>
      </c>
      <c r="I648" s="310"/>
      <c r="J648" s="302"/>
    </row>
    <row r="649" spans="1:10" ht="15.75" x14ac:dyDescent="0.25">
      <c r="A649" s="487" t="s">
        <v>193</v>
      </c>
      <c r="B649" s="454">
        <v>906</v>
      </c>
      <c r="C649" s="394" t="s">
        <v>187</v>
      </c>
      <c r="D649" s="394" t="s">
        <v>116</v>
      </c>
      <c r="E649" s="394" t="s">
        <v>773</v>
      </c>
      <c r="F649" s="394" t="s">
        <v>194</v>
      </c>
      <c r="G649" s="435">
        <v>1260</v>
      </c>
      <c r="H649" s="435">
        <v>1260</v>
      </c>
      <c r="I649" s="310"/>
      <c r="J649" s="302"/>
    </row>
    <row r="650" spans="1:10" ht="36" customHeight="1" x14ac:dyDescent="0.25">
      <c r="A650" s="409" t="s">
        <v>1117</v>
      </c>
      <c r="B650" s="453">
        <v>906</v>
      </c>
      <c r="C650" s="406" t="s">
        <v>187</v>
      </c>
      <c r="D650" s="406" t="s">
        <v>116</v>
      </c>
      <c r="E650" s="406" t="s">
        <v>774</v>
      </c>
      <c r="F650" s="406"/>
      <c r="G650" s="438">
        <f t="shared" ref="G650:H652" si="48">G651</f>
        <v>189.9</v>
      </c>
      <c r="H650" s="438">
        <f t="shared" si="48"/>
        <v>196.79999999999998</v>
      </c>
      <c r="I650" s="310"/>
      <c r="J650" s="302"/>
    </row>
    <row r="651" spans="1:10" ht="31.5" x14ac:dyDescent="0.25">
      <c r="A651" s="391" t="s">
        <v>1118</v>
      </c>
      <c r="B651" s="454">
        <v>906</v>
      </c>
      <c r="C651" s="394" t="s">
        <v>187</v>
      </c>
      <c r="D651" s="394" t="s">
        <v>116</v>
      </c>
      <c r="E651" s="394" t="s">
        <v>1119</v>
      </c>
      <c r="F651" s="394"/>
      <c r="G651" s="435">
        <f t="shared" si="48"/>
        <v>189.9</v>
      </c>
      <c r="H651" s="435">
        <f t="shared" si="48"/>
        <v>196.79999999999998</v>
      </c>
      <c r="I651" s="310"/>
      <c r="J651" s="302"/>
    </row>
    <row r="652" spans="1:10" ht="31.5" x14ac:dyDescent="0.25">
      <c r="A652" s="458" t="s">
        <v>191</v>
      </c>
      <c r="B652" s="454">
        <v>906</v>
      </c>
      <c r="C652" s="394" t="s">
        <v>187</v>
      </c>
      <c r="D652" s="394" t="s">
        <v>116</v>
      </c>
      <c r="E652" s="394" t="s">
        <v>1119</v>
      </c>
      <c r="F652" s="394" t="s">
        <v>192</v>
      </c>
      <c r="G652" s="435">
        <f t="shared" si="48"/>
        <v>189.9</v>
      </c>
      <c r="H652" s="435">
        <f t="shared" si="48"/>
        <v>196.79999999999998</v>
      </c>
      <c r="I652" s="310"/>
      <c r="J652" s="302"/>
    </row>
    <row r="653" spans="1:10" ht="18.75" customHeight="1" x14ac:dyDescent="0.25">
      <c r="A653" s="487" t="s">
        <v>193</v>
      </c>
      <c r="B653" s="454">
        <v>906</v>
      </c>
      <c r="C653" s="394" t="s">
        <v>187</v>
      </c>
      <c r="D653" s="394" t="s">
        <v>116</v>
      </c>
      <c r="E653" s="394" t="s">
        <v>1119</v>
      </c>
      <c r="F653" s="394" t="s">
        <v>194</v>
      </c>
      <c r="G653" s="586">
        <f>124.4+48.9+16.6</f>
        <v>189.9</v>
      </c>
      <c r="H653" s="586">
        <f>124.4+55.8+16.6</f>
        <v>196.79999999999998</v>
      </c>
      <c r="I653" s="310" t="s">
        <v>1247</v>
      </c>
      <c r="J653" s="302"/>
    </row>
    <row r="654" spans="1:10" ht="84.2" customHeight="1" x14ac:dyDescent="0.25">
      <c r="A654" s="409" t="s">
        <v>715</v>
      </c>
      <c r="B654" s="453">
        <v>906</v>
      </c>
      <c r="C654" s="406" t="s">
        <v>187</v>
      </c>
      <c r="D654" s="406" t="s">
        <v>116</v>
      </c>
      <c r="E654" s="406" t="s">
        <v>775</v>
      </c>
      <c r="F654" s="406"/>
      <c r="G654" s="438">
        <f>G655+G658</f>
        <v>701.07999999999993</v>
      </c>
      <c r="H654" s="438">
        <f>H655+H658</f>
        <v>701.07999999999993</v>
      </c>
      <c r="I654" s="310"/>
      <c r="J654" s="302"/>
    </row>
    <row r="655" spans="1:10" ht="79.5" customHeight="1" x14ac:dyDescent="0.25">
      <c r="A655" s="488" t="s">
        <v>975</v>
      </c>
      <c r="B655" s="454">
        <v>906</v>
      </c>
      <c r="C655" s="394" t="s">
        <v>187</v>
      </c>
      <c r="D655" s="394" t="s">
        <v>116</v>
      </c>
      <c r="E655" s="394" t="s">
        <v>776</v>
      </c>
      <c r="F655" s="394"/>
      <c r="G655" s="435">
        <f>G656</f>
        <v>701.07999999999993</v>
      </c>
      <c r="H655" s="435">
        <f>H656</f>
        <v>701.07999999999993</v>
      </c>
      <c r="I655" s="310"/>
      <c r="J655" s="302"/>
    </row>
    <row r="656" spans="1:10" ht="33.75" customHeight="1" x14ac:dyDescent="0.25">
      <c r="A656" s="391" t="s">
        <v>191</v>
      </c>
      <c r="B656" s="454">
        <v>906</v>
      </c>
      <c r="C656" s="394" t="s">
        <v>187</v>
      </c>
      <c r="D656" s="394" t="s">
        <v>116</v>
      </c>
      <c r="E656" s="394" t="s">
        <v>776</v>
      </c>
      <c r="F656" s="394" t="s">
        <v>192</v>
      </c>
      <c r="G656" s="435">
        <f>G657</f>
        <v>701.07999999999993</v>
      </c>
      <c r="H656" s="435">
        <f>H657</f>
        <v>701.07999999999993</v>
      </c>
      <c r="I656" s="310"/>
      <c r="J656" s="302"/>
    </row>
    <row r="657" spans="1:12" ht="18.75" customHeight="1" x14ac:dyDescent="0.25">
      <c r="A657" s="391" t="s">
        <v>193</v>
      </c>
      <c r="B657" s="454">
        <v>906</v>
      </c>
      <c r="C657" s="394" t="s">
        <v>187</v>
      </c>
      <c r="D657" s="394" t="s">
        <v>116</v>
      </c>
      <c r="E657" s="394" t="s">
        <v>776</v>
      </c>
      <c r="F657" s="394" t="s">
        <v>194</v>
      </c>
      <c r="G657" s="586">
        <f>652+27.9+21.18</f>
        <v>701.07999999999993</v>
      </c>
      <c r="H657" s="586">
        <f>652+27.9+21.18</f>
        <v>701.07999999999993</v>
      </c>
      <c r="I657" s="310" t="s">
        <v>1232</v>
      </c>
      <c r="J657" s="302"/>
    </row>
    <row r="658" spans="1:12" ht="82.5" hidden="1" customHeight="1" x14ac:dyDescent="0.25">
      <c r="A658" s="488" t="s">
        <v>724</v>
      </c>
      <c r="B658" s="454">
        <v>906</v>
      </c>
      <c r="C658" s="394" t="s">
        <v>187</v>
      </c>
      <c r="D658" s="394" t="s">
        <v>116</v>
      </c>
      <c r="E658" s="394" t="s">
        <v>777</v>
      </c>
      <c r="F658" s="394"/>
      <c r="G658" s="435">
        <f>G659</f>
        <v>0</v>
      </c>
      <c r="H658" s="435">
        <f>H659</f>
        <v>0</v>
      </c>
      <c r="I658" s="310"/>
      <c r="J658" s="302"/>
    </row>
    <row r="659" spans="1:12" ht="36.75" hidden="1" customHeight="1" x14ac:dyDescent="0.25">
      <c r="A659" s="391" t="s">
        <v>191</v>
      </c>
      <c r="B659" s="454">
        <v>906</v>
      </c>
      <c r="C659" s="394" t="s">
        <v>187</v>
      </c>
      <c r="D659" s="394" t="s">
        <v>116</v>
      </c>
      <c r="E659" s="394" t="s">
        <v>777</v>
      </c>
      <c r="F659" s="394" t="s">
        <v>192</v>
      </c>
      <c r="G659" s="435">
        <f>G660</f>
        <v>0</v>
      </c>
      <c r="H659" s="435">
        <f>H660</f>
        <v>0</v>
      </c>
      <c r="I659" s="310"/>
      <c r="J659" s="302"/>
    </row>
    <row r="660" spans="1:12" ht="18.75" hidden="1" customHeight="1" x14ac:dyDescent="0.25">
      <c r="A660" s="391" t="s">
        <v>193</v>
      </c>
      <c r="B660" s="454">
        <v>906</v>
      </c>
      <c r="C660" s="394" t="s">
        <v>187</v>
      </c>
      <c r="D660" s="394" t="s">
        <v>116</v>
      </c>
      <c r="E660" s="394" t="s">
        <v>777</v>
      </c>
      <c r="F660" s="394" t="s">
        <v>194</v>
      </c>
      <c r="G660" s="435"/>
      <c r="H660" s="435"/>
      <c r="I660" s="310"/>
      <c r="J660" s="302"/>
    </row>
    <row r="661" spans="1:12" ht="31.5" hidden="1" x14ac:dyDescent="0.25">
      <c r="A661" s="489" t="s">
        <v>1034</v>
      </c>
      <c r="B661" s="453">
        <v>906</v>
      </c>
      <c r="C661" s="406" t="s">
        <v>187</v>
      </c>
      <c r="D661" s="406" t="s">
        <v>116</v>
      </c>
      <c r="E661" s="406" t="s">
        <v>1036</v>
      </c>
      <c r="F661" s="406"/>
      <c r="G661" s="435">
        <f t="shared" ref="G661:H663" si="49">G662</f>
        <v>0</v>
      </c>
      <c r="H661" s="435">
        <f t="shared" si="49"/>
        <v>0</v>
      </c>
      <c r="I661" s="310"/>
      <c r="J661" s="302"/>
    </row>
    <row r="662" spans="1:12" ht="31.5" hidden="1" x14ac:dyDescent="0.25">
      <c r="A662" s="490" t="s">
        <v>1035</v>
      </c>
      <c r="B662" s="454">
        <v>906</v>
      </c>
      <c r="C662" s="394" t="s">
        <v>187</v>
      </c>
      <c r="D662" s="394" t="s">
        <v>116</v>
      </c>
      <c r="E662" s="394" t="s">
        <v>1037</v>
      </c>
      <c r="F662" s="394"/>
      <c r="G662" s="435">
        <f t="shared" si="49"/>
        <v>0</v>
      </c>
      <c r="H662" s="435">
        <f t="shared" si="49"/>
        <v>0</v>
      </c>
      <c r="I662" s="310"/>
      <c r="J662" s="302"/>
    </row>
    <row r="663" spans="1:12" ht="31.5" hidden="1" x14ac:dyDescent="0.25">
      <c r="A663" s="393" t="s">
        <v>191</v>
      </c>
      <c r="B663" s="454">
        <v>906</v>
      </c>
      <c r="C663" s="394" t="s">
        <v>187</v>
      </c>
      <c r="D663" s="394" t="s">
        <v>116</v>
      </c>
      <c r="E663" s="394" t="s">
        <v>1037</v>
      </c>
      <c r="F663" s="394" t="s">
        <v>192</v>
      </c>
      <c r="G663" s="435">
        <f t="shared" si="49"/>
        <v>0</v>
      </c>
      <c r="H663" s="435">
        <f t="shared" si="49"/>
        <v>0</v>
      </c>
      <c r="I663" s="310"/>
      <c r="J663" s="302"/>
    </row>
    <row r="664" spans="1:12" ht="18.75" hidden="1" customHeight="1" x14ac:dyDescent="0.25">
      <c r="A664" s="393" t="s">
        <v>193</v>
      </c>
      <c r="B664" s="454">
        <v>906</v>
      </c>
      <c r="C664" s="394" t="s">
        <v>187</v>
      </c>
      <c r="D664" s="394" t="s">
        <v>116</v>
      </c>
      <c r="E664" s="394" t="s">
        <v>1037</v>
      </c>
      <c r="F664" s="394" t="s">
        <v>194</v>
      </c>
      <c r="G664" s="435"/>
      <c r="H664" s="435"/>
      <c r="I664" s="310"/>
      <c r="J664" s="302"/>
    </row>
    <row r="665" spans="1:12" ht="33" hidden="1" customHeight="1" x14ac:dyDescent="0.25">
      <c r="A665" s="489" t="s">
        <v>1038</v>
      </c>
      <c r="B665" s="453">
        <v>906</v>
      </c>
      <c r="C665" s="406" t="s">
        <v>187</v>
      </c>
      <c r="D665" s="406" t="s">
        <v>116</v>
      </c>
      <c r="E665" s="406" t="s">
        <v>1041</v>
      </c>
      <c r="F665" s="406"/>
      <c r="G665" s="438">
        <f t="shared" ref="G665:H667" si="50">G666</f>
        <v>0</v>
      </c>
      <c r="H665" s="438">
        <f t="shared" si="50"/>
        <v>0</v>
      </c>
      <c r="I665" s="310"/>
      <c r="J665" s="302"/>
    </row>
    <row r="666" spans="1:12" ht="33" hidden="1" customHeight="1" x14ac:dyDescent="0.25">
      <c r="A666" s="490" t="s">
        <v>1039</v>
      </c>
      <c r="B666" s="454">
        <v>906</v>
      </c>
      <c r="C666" s="394" t="s">
        <v>187</v>
      </c>
      <c r="D666" s="394" t="s">
        <v>116</v>
      </c>
      <c r="E666" s="394" t="s">
        <v>1040</v>
      </c>
      <c r="F666" s="394"/>
      <c r="G666" s="435">
        <f t="shared" si="50"/>
        <v>0</v>
      </c>
      <c r="H666" s="435">
        <f t="shared" si="50"/>
        <v>0</v>
      </c>
      <c r="I666" s="310"/>
      <c r="J666" s="302"/>
    </row>
    <row r="667" spans="1:12" ht="31.5" hidden="1" x14ac:dyDescent="0.25">
      <c r="A667" s="393" t="s">
        <v>191</v>
      </c>
      <c r="B667" s="454">
        <v>906</v>
      </c>
      <c r="C667" s="394" t="s">
        <v>187</v>
      </c>
      <c r="D667" s="394" t="s">
        <v>116</v>
      </c>
      <c r="E667" s="394" t="s">
        <v>1040</v>
      </c>
      <c r="F667" s="394" t="s">
        <v>192</v>
      </c>
      <c r="G667" s="435">
        <f t="shared" si="50"/>
        <v>0</v>
      </c>
      <c r="H667" s="435">
        <f t="shared" si="50"/>
        <v>0</v>
      </c>
      <c r="I667" s="310"/>
      <c r="J667" s="302"/>
    </row>
    <row r="668" spans="1:12" ht="18.75" hidden="1" customHeight="1" x14ac:dyDescent="0.25">
      <c r="A668" s="393" t="s">
        <v>193</v>
      </c>
      <c r="B668" s="454">
        <v>906</v>
      </c>
      <c r="C668" s="394" t="s">
        <v>187</v>
      </c>
      <c r="D668" s="394" t="s">
        <v>116</v>
      </c>
      <c r="E668" s="394" t="s">
        <v>1040</v>
      </c>
      <c r="F668" s="394" t="s">
        <v>194</v>
      </c>
      <c r="G668" s="435"/>
      <c r="H668" s="435"/>
      <c r="I668" s="310"/>
      <c r="J668" s="302"/>
      <c r="L668" s="307"/>
    </row>
    <row r="669" spans="1:12" ht="46.9" customHeight="1" x14ac:dyDescent="0.25">
      <c r="A669" s="405" t="s">
        <v>860</v>
      </c>
      <c r="B669" s="453">
        <v>906</v>
      </c>
      <c r="C669" s="406" t="s">
        <v>187</v>
      </c>
      <c r="D669" s="406" t="s">
        <v>116</v>
      </c>
      <c r="E669" s="406" t="s">
        <v>206</v>
      </c>
      <c r="F669" s="406"/>
      <c r="G669" s="438">
        <f t="shared" ref="G669:H672" si="51">G670</f>
        <v>80</v>
      </c>
      <c r="H669" s="438">
        <f t="shared" si="51"/>
        <v>25</v>
      </c>
      <c r="I669" s="310"/>
      <c r="J669" s="302"/>
    </row>
    <row r="670" spans="1:12" ht="49.7" customHeight="1" x14ac:dyDescent="0.25">
      <c r="A670" s="405" t="s">
        <v>570</v>
      </c>
      <c r="B670" s="453">
        <v>906</v>
      </c>
      <c r="C670" s="406" t="s">
        <v>187</v>
      </c>
      <c r="D670" s="406" t="s">
        <v>116</v>
      </c>
      <c r="E670" s="406" t="s">
        <v>502</v>
      </c>
      <c r="F670" s="406"/>
      <c r="G670" s="438">
        <f t="shared" si="51"/>
        <v>80</v>
      </c>
      <c r="H670" s="438">
        <f t="shared" si="51"/>
        <v>25</v>
      </c>
      <c r="I670" s="310"/>
      <c r="J670" s="302"/>
    </row>
    <row r="671" spans="1:12" ht="48.95" customHeight="1" x14ac:dyDescent="0.25">
      <c r="A671" s="393" t="s">
        <v>633</v>
      </c>
      <c r="B671" s="454">
        <v>906</v>
      </c>
      <c r="C671" s="394" t="s">
        <v>187</v>
      </c>
      <c r="D671" s="394" t="s">
        <v>116</v>
      </c>
      <c r="E671" s="394" t="s">
        <v>503</v>
      </c>
      <c r="F671" s="394"/>
      <c r="G671" s="435">
        <f t="shared" si="51"/>
        <v>80</v>
      </c>
      <c r="H671" s="435">
        <f t="shared" si="51"/>
        <v>25</v>
      </c>
      <c r="I671" s="310"/>
      <c r="J671" s="302"/>
    </row>
    <row r="672" spans="1:12" ht="42" customHeight="1" x14ac:dyDescent="0.25">
      <c r="A672" s="393" t="s">
        <v>191</v>
      </c>
      <c r="B672" s="454">
        <v>906</v>
      </c>
      <c r="C672" s="394" t="s">
        <v>187</v>
      </c>
      <c r="D672" s="394" t="s">
        <v>116</v>
      </c>
      <c r="E672" s="394" t="s">
        <v>503</v>
      </c>
      <c r="F672" s="394" t="s">
        <v>192</v>
      </c>
      <c r="G672" s="435">
        <f t="shared" si="51"/>
        <v>80</v>
      </c>
      <c r="H672" s="435">
        <f t="shared" si="51"/>
        <v>25</v>
      </c>
      <c r="I672" s="310"/>
      <c r="J672" s="302"/>
    </row>
    <row r="673" spans="1:10" ht="16.5" customHeight="1" x14ac:dyDescent="0.25">
      <c r="A673" s="393" t="s">
        <v>193</v>
      </c>
      <c r="B673" s="454">
        <v>906</v>
      </c>
      <c r="C673" s="394" t="s">
        <v>187</v>
      </c>
      <c r="D673" s="394" t="s">
        <v>116</v>
      </c>
      <c r="E673" s="394" t="s">
        <v>503</v>
      </c>
      <c r="F673" s="394" t="s">
        <v>194</v>
      </c>
      <c r="G673" s="435">
        <v>80</v>
      </c>
      <c r="H673" s="435">
        <v>25</v>
      </c>
      <c r="I673" s="310"/>
      <c r="J673" s="302"/>
    </row>
    <row r="674" spans="1:10" ht="46.5" customHeight="1" x14ac:dyDescent="0.25">
      <c r="A674" s="462" t="s">
        <v>845</v>
      </c>
      <c r="B674" s="453">
        <v>906</v>
      </c>
      <c r="C674" s="406" t="s">
        <v>187</v>
      </c>
      <c r="D674" s="406" t="s">
        <v>116</v>
      </c>
      <c r="E674" s="406" t="s">
        <v>339</v>
      </c>
      <c r="F674" s="463"/>
      <c r="G674" s="438">
        <f>G676</f>
        <v>571.79999999999995</v>
      </c>
      <c r="H674" s="438">
        <f>H676</f>
        <v>571.79999999999995</v>
      </c>
      <c r="I674" s="310"/>
      <c r="J674" s="302"/>
    </row>
    <row r="675" spans="1:10" ht="46.5" customHeight="1" x14ac:dyDescent="0.25">
      <c r="A675" s="462" t="s">
        <v>461</v>
      </c>
      <c r="B675" s="453">
        <v>906</v>
      </c>
      <c r="C675" s="406" t="s">
        <v>187</v>
      </c>
      <c r="D675" s="406" t="s">
        <v>116</v>
      </c>
      <c r="E675" s="406" t="s">
        <v>459</v>
      </c>
      <c r="F675" s="463"/>
      <c r="G675" s="438">
        <f t="shared" ref="G675:H677" si="52">G676</f>
        <v>571.79999999999995</v>
      </c>
      <c r="H675" s="438">
        <f t="shared" si="52"/>
        <v>571.79999999999995</v>
      </c>
      <c r="I675" s="310"/>
      <c r="J675" s="302"/>
    </row>
    <row r="676" spans="1:10" ht="36" customHeight="1" x14ac:dyDescent="0.25">
      <c r="A676" s="465" t="s">
        <v>357</v>
      </c>
      <c r="B676" s="454">
        <v>906</v>
      </c>
      <c r="C676" s="394" t="s">
        <v>187</v>
      </c>
      <c r="D676" s="394" t="s">
        <v>116</v>
      </c>
      <c r="E676" s="394" t="s">
        <v>504</v>
      </c>
      <c r="F676" s="466"/>
      <c r="G676" s="435">
        <f t="shared" si="52"/>
        <v>571.79999999999995</v>
      </c>
      <c r="H676" s="435">
        <f t="shared" si="52"/>
        <v>571.79999999999995</v>
      </c>
      <c r="I676" s="310"/>
      <c r="J676" s="302"/>
    </row>
    <row r="677" spans="1:10" ht="35.450000000000003" customHeight="1" x14ac:dyDescent="0.25">
      <c r="A677" s="458" t="s">
        <v>191</v>
      </c>
      <c r="B677" s="454">
        <v>906</v>
      </c>
      <c r="C677" s="394" t="s">
        <v>187</v>
      </c>
      <c r="D677" s="394" t="s">
        <v>116</v>
      </c>
      <c r="E677" s="394" t="s">
        <v>504</v>
      </c>
      <c r="F677" s="466" t="s">
        <v>192</v>
      </c>
      <c r="G677" s="435">
        <f t="shared" si="52"/>
        <v>571.79999999999995</v>
      </c>
      <c r="H677" s="435">
        <f t="shared" si="52"/>
        <v>571.79999999999995</v>
      </c>
      <c r="I677" s="310"/>
      <c r="J677" s="302"/>
    </row>
    <row r="678" spans="1:10" ht="15.75" customHeight="1" x14ac:dyDescent="0.25">
      <c r="A678" s="487" t="s">
        <v>193</v>
      </c>
      <c r="B678" s="454">
        <v>906</v>
      </c>
      <c r="C678" s="394" t="s">
        <v>187</v>
      </c>
      <c r="D678" s="394" t="s">
        <v>116</v>
      </c>
      <c r="E678" s="394" t="s">
        <v>504</v>
      </c>
      <c r="F678" s="466" t="s">
        <v>194</v>
      </c>
      <c r="G678" s="435">
        <v>571.79999999999995</v>
      </c>
      <c r="H678" s="435">
        <v>571.79999999999995</v>
      </c>
      <c r="I678" s="310"/>
      <c r="J678" s="302"/>
    </row>
    <row r="679" spans="1:10" ht="15.75" x14ac:dyDescent="0.25">
      <c r="A679" s="409" t="s">
        <v>239</v>
      </c>
      <c r="B679" s="453">
        <v>906</v>
      </c>
      <c r="C679" s="406" t="s">
        <v>187</v>
      </c>
      <c r="D679" s="406" t="s">
        <v>158</v>
      </c>
      <c r="E679" s="406"/>
      <c r="F679" s="406"/>
      <c r="G679" s="438">
        <f>G680+G758+G763</f>
        <v>202665.56</v>
      </c>
      <c r="H679" s="438">
        <f>H680+H758+H763</f>
        <v>164386.26</v>
      </c>
      <c r="I679" s="310"/>
      <c r="J679" s="302"/>
    </row>
    <row r="680" spans="1:10" ht="36.75" customHeight="1" x14ac:dyDescent="0.25">
      <c r="A680" s="409" t="s">
        <v>861</v>
      </c>
      <c r="B680" s="453">
        <v>906</v>
      </c>
      <c r="C680" s="406" t="s">
        <v>187</v>
      </c>
      <c r="D680" s="406" t="s">
        <v>158</v>
      </c>
      <c r="E680" s="406" t="s">
        <v>237</v>
      </c>
      <c r="F680" s="406"/>
      <c r="G680" s="438">
        <f>G681+G685+G698+G711+G718+G722+G726+G746+G730+G734+G750+G738+G742+G754</f>
        <v>201734.72</v>
      </c>
      <c r="H680" s="438">
        <f>H681+H685+H698+H711+H718+H722+H726+H746+H730+H734+H750+H738+H742+H754</f>
        <v>163455.42000000001</v>
      </c>
      <c r="I680" s="310"/>
      <c r="J680" s="302"/>
    </row>
    <row r="681" spans="1:10" ht="37.5" customHeight="1" x14ac:dyDescent="0.25">
      <c r="A681" s="409" t="s">
        <v>505</v>
      </c>
      <c r="B681" s="453">
        <v>906</v>
      </c>
      <c r="C681" s="406" t="s">
        <v>187</v>
      </c>
      <c r="D681" s="406" t="s">
        <v>158</v>
      </c>
      <c r="E681" s="406" t="s">
        <v>764</v>
      </c>
      <c r="F681" s="406"/>
      <c r="G681" s="438">
        <f t="shared" ref="G681:H683" si="53">G682</f>
        <v>30618.400000000001</v>
      </c>
      <c r="H681" s="438">
        <f t="shared" si="53"/>
        <v>30618.400000000001</v>
      </c>
      <c r="I681" s="310"/>
      <c r="J681" s="302"/>
    </row>
    <row r="682" spans="1:10" ht="31.5" x14ac:dyDescent="0.25">
      <c r="A682" s="391" t="s">
        <v>767</v>
      </c>
      <c r="B682" s="454">
        <v>906</v>
      </c>
      <c r="C682" s="394" t="s">
        <v>187</v>
      </c>
      <c r="D682" s="394" t="s">
        <v>158</v>
      </c>
      <c r="E682" s="394" t="s">
        <v>778</v>
      </c>
      <c r="F682" s="394"/>
      <c r="G682" s="435">
        <f t="shared" si="53"/>
        <v>30618.400000000001</v>
      </c>
      <c r="H682" s="435">
        <f t="shared" si="53"/>
        <v>30618.400000000001</v>
      </c>
      <c r="I682" s="310"/>
      <c r="J682" s="302"/>
    </row>
    <row r="683" spans="1:10" ht="32.25" customHeight="1" x14ac:dyDescent="0.25">
      <c r="A683" s="391" t="s">
        <v>191</v>
      </c>
      <c r="B683" s="454">
        <v>906</v>
      </c>
      <c r="C683" s="394" t="s">
        <v>187</v>
      </c>
      <c r="D683" s="394" t="s">
        <v>158</v>
      </c>
      <c r="E683" s="394" t="s">
        <v>778</v>
      </c>
      <c r="F683" s="394" t="s">
        <v>192</v>
      </c>
      <c r="G683" s="435">
        <f t="shared" si="53"/>
        <v>30618.400000000001</v>
      </c>
      <c r="H683" s="435">
        <f t="shared" si="53"/>
        <v>30618.400000000001</v>
      </c>
      <c r="I683" s="310"/>
      <c r="J683" s="302"/>
    </row>
    <row r="684" spans="1:10" ht="15.75" x14ac:dyDescent="0.25">
      <c r="A684" s="391" t="s">
        <v>193</v>
      </c>
      <c r="B684" s="454">
        <v>906</v>
      </c>
      <c r="C684" s="394" t="s">
        <v>187</v>
      </c>
      <c r="D684" s="394" t="s">
        <v>158</v>
      </c>
      <c r="E684" s="394" t="s">
        <v>778</v>
      </c>
      <c r="F684" s="394" t="s">
        <v>194</v>
      </c>
      <c r="G684" s="436">
        <v>30618.400000000001</v>
      </c>
      <c r="H684" s="436">
        <f>G684</f>
        <v>30618.400000000001</v>
      </c>
      <c r="I684" s="314"/>
      <c r="J684" s="302"/>
    </row>
    <row r="685" spans="1:10" ht="36.75" customHeight="1" x14ac:dyDescent="0.25">
      <c r="A685" s="409" t="s">
        <v>469</v>
      </c>
      <c r="B685" s="453">
        <v>906</v>
      </c>
      <c r="C685" s="406" t="s">
        <v>187</v>
      </c>
      <c r="D685" s="406" t="s">
        <v>158</v>
      </c>
      <c r="E685" s="406" t="s">
        <v>766</v>
      </c>
      <c r="F685" s="406"/>
      <c r="G685" s="442">
        <f>G686+G689+G692+G695</f>
        <v>154802.51</v>
      </c>
      <c r="H685" s="442">
        <f>H686+H689+H692+H695</f>
        <v>118711.51</v>
      </c>
      <c r="I685" s="310"/>
      <c r="J685" s="302"/>
    </row>
    <row r="686" spans="1:10" ht="50.25" customHeight="1" x14ac:dyDescent="0.25">
      <c r="A686" s="391" t="s">
        <v>887</v>
      </c>
      <c r="B686" s="454">
        <v>906</v>
      </c>
      <c r="C686" s="394" t="s">
        <v>187</v>
      </c>
      <c r="D686" s="394" t="s">
        <v>158</v>
      </c>
      <c r="E686" s="394" t="s">
        <v>888</v>
      </c>
      <c r="F686" s="394"/>
      <c r="G686" s="436">
        <f>G687</f>
        <v>7421.4</v>
      </c>
      <c r="H686" s="436">
        <f>H687</f>
        <v>7421.4</v>
      </c>
      <c r="I686" s="310"/>
      <c r="J686" s="302"/>
    </row>
    <row r="687" spans="1:10" ht="36.75" customHeight="1" x14ac:dyDescent="0.25">
      <c r="A687" s="391" t="s">
        <v>191</v>
      </c>
      <c r="B687" s="454">
        <v>906</v>
      </c>
      <c r="C687" s="394" t="s">
        <v>187</v>
      </c>
      <c r="D687" s="394" t="s">
        <v>158</v>
      </c>
      <c r="E687" s="394" t="s">
        <v>888</v>
      </c>
      <c r="F687" s="394" t="s">
        <v>192</v>
      </c>
      <c r="G687" s="436">
        <f>G688</f>
        <v>7421.4</v>
      </c>
      <c r="H687" s="436">
        <f>H688</f>
        <v>7421.4</v>
      </c>
      <c r="I687" s="310"/>
      <c r="J687" s="302"/>
    </row>
    <row r="688" spans="1:10" ht="19.7" customHeight="1" x14ac:dyDescent="0.25">
      <c r="A688" s="391" t="s">
        <v>193</v>
      </c>
      <c r="B688" s="454">
        <v>906</v>
      </c>
      <c r="C688" s="394" t="s">
        <v>187</v>
      </c>
      <c r="D688" s="394" t="s">
        <v>158</v>
      </c>
      <c r="E688" s="394" t="s">
        <v>888</v>
      </c>
      <c r="F688" s="394" t="s">
        <v>194</v>
      </c>
      <c r="G688" s="436">
        <v>7421.4</v>
      </c>
      <c r="H688" s="436">
        <v>7421.4</v>
      </c>
      <c r="I688" s="310"/>
      <c r="J688" s="302"/>
    </row>
    <row r="689" spans="1:10" ht="88.35" customHeight="1" x14ac:dyDescent="0.25">
      <c r="A689" s="393" t="s">
        <v>200</v>
      </c>
      <c r="B689" s="454">
        <v>906</v>
      </c>
      <c r="C689" s="394" t="s">
        <v>187</v>
      </c>
      <c r="D689" s="394" t="s">
        <v>158</v>
      </c>
      <c r="E689" s="394" t="s">
        <v>885</v>
      </c>
      <c r="F689" s="394"/>
      <c r="G689" s="435">
        <f>G690</f>
        <v>5001</v>
      </c>
      <c r="H689" s="435">
        <f>H690</f>
        <v>5001</v>
      </c>
      <c r="I689" s="310"/>
      <c r="J689" s="302"/>
    </row>
    <row r="690" spans="1:10" ht="36.75" customHeight="1" x14ac:dyDescent="0.25">
      <c r="A690" s="391" t="s">
        <v>191</v>
      </c>
      <c r="B690" s="454">
        <v>906</v>
      </c>
      <c r="C690" s="394" t="s">
        <v>187</v>
      </c>
      <c r="D690" s="394" t="s">
        <v>158</v>
      </c>
      <c r="E690" s="394" t="s">
        <v>885</v>
      </c>
      <c r="F690" s="394" t="s">
        <v>192</v>
      </c>
      <c r="G690" s="435">
        <f>G691</f>
        <v>5001</v>
      </c>
      <c r="H690" s="435">
        <f>H691</f>
        <v>5001</v>
      </c>
      <c r="I690" s="310"/>
      <c r="J690" s="302"/>
    </row>
    <row r="691" spans="1:10" ht="14.25" customHeight="1" x14ac:dyDescent="0.25">
      <c r="A691" s="391" t="s">
        <v>193</v>
      </c>
      <c r="B691" s="454">
        <v>906</v>
      </c>
      <c r="C691" s="394" t="s">
        <v>187</v>
      </c>
      <c r="D691" s="394" t="s">
        <v>158</v>
      </c>
      <c r="E691" s="394" t="s">
        <v>885</v>
      </c>
      <c r="F691" s="394" t="s">
        <v>194</v>
      </c>
      <c r="G691" s="585">
        <f>5000+1</f>
        <v>5001</v>
      </c>
      <c r="H691" s="585">
        <f>5000+1</f>
        <v>5001</v>
      </c>
      <c r="I691" s="310" t="s">
        <v>1277</v>
      </c>
      <c r="J691" s="302"/>
    </row>
    <row r="692" spans="1:10" ht="47.25" x14ac:dyDescent="0.25">
      <c r="A692" s="393" t="s">
        <v>244</v>
      </c>
      <c r="B692" s="454">
        <v>906</v>
      </c>
      <c r="C692" s="394" t="s">
        <v>187</v>
      </c>
      <c r="D692" s="394" t="s">
        <v>158</v>
      </c>
      <c r="E692" s="394" t="s">
        <v>779</v>
      </c>
      <c r="F692" s="394"/>
      <c r="G692" s="435">
        <f>G693</f>
        <v>909.3</v>
      </c>
      <c r="H692" s="435">
        <f>H693</f>
        <v>909.3</v>
      </c>
      <c r="I692" s="310"/>
      <c r="J692" s="302"/>
    </row>
    <row r="693" spans="1:10" ht="31.5" x14ac:dyDescent="0.25">
      <c r="A693" s="391" t="s">
        <v>191</v>
      </c>
      <c r="B693" s="454">
        <v>906</v>
      </c>
      <c r="C693" s="394" t="s">
        <v>187</v>
      </c>
      <c r="D693" s="394" t="s">
        <v>158</v>
      </c>
      <c r="E693" s="394" t="s">
        <v>779</v>
      </c>
      <c r="F693" s="394" t="s">
        <v>192</v>
      </c>
      <c r="G693" s="435">
        <f>G694</f>
        <v>909.3</v>
      </c>
      <c r="H693" s="435">
        <f>H694</f>
        <v>909.3</v>
      </c>
      <c r="I693" s="310"/>
      <c r="J693" s="302"/>
    </row>
    <row r="694" spans="1:10" ht="15.75" x14ac:dyDescent="0.25">
      <c r="A694" s="391" t="s">
        <v>193</v>
      </c>
      <c r="B694" s="454">
        <v>906</v>
      </c>
      <c r="C694" s="394" t="s">
        <v>187</v>
      </c>
      <c r="D694" s="394" t="s">
        <v>158</v>
      </c>
      <c r="E694" s="394" t="s">
        <v>779</v>
      </c>
      <c r="F694" s="394" t="s">
        <v>194</v>
      </c>
      <c r="G694" s="436">
        <v>909.3</v>
      </c>
      <c r="H694" s="436">
        <v>909.3</v>
      </c>
      <c r="I694" s="310"/>
      <c r="J694" s="302"/>
    </row>
    <row r="695" spans="1:10" ht="31.5" x14ac:dyDescent="0.25">
      <c r="A695" s="391" t="s">
        <v>1165</v>
      </c>
      <c r="B695" s="454">
        <v>906</v>
      </c>
      <c r="C695" s="394" t="s">
        <v>187</v>
      </c>
      <c r="D695" s="394" t="s">
        <v>158</v>
      </c>
      <c r="E695" s="394" t="s">
        <v>1166</v>
      </c>
      <c r="F695" s="394"/>
      <c r="G695" s="436">
        <f>G696</f>
        <v>141470.81</v>
      </c>
      <c r="H695" s="436">
        <f>H696</f>
        <v>105379.81</v>
      </c>
      <c r="I695" s="310"/>
      <c r="J695" s="302"/>
    </row>
    <row r="696" spans="1:10" ht="31.5" x14ac:dyDescent="0.25">
      <c r="A696" s="391" t="s">
        <v>191</v>
      </c>
      <c r="B696" s="454">
        <v>906</v>
      </c>
      <c r="C696" s="394" t="s">
        <v>187</v>
      </c>
      <c r="D696" s="394" t="s">
        <v>158</v>
      </c>
      <c r="E696" s="394" t="s">
        <v>1166</v>
      </c>
      <c r="F696" s="394" t="s">
        <v>192</v>
      </c>
      <c r="G696" s="436">
        <f>G697</f>
        <v>141470.81</v>
      </c>
      <c r="H696" s="436">
        <f>H697</f>
        <v>105379.81</v>
      </c>
      <c r="I696" s="310"/>
      <c r="J696" s="302"/>
    </row>
    <row r="697" spans="1:10" ht="15.75" x14ac:dyDescent="0.25">
      <c r="A697" s="391" t="s">
        <v>193</v>
      </c>
      <c r="B697" s="454">
        <v>906</v>
      </c>
      <c r="C697" s="394" t="s">
        <v>187</v>
      </c>
      <c r="D697" s="394" t="s">
        <v>158</v>
      </c>
      <c r="E697" s="394" t="s">
        <v>1166</v>
      </c>
      <c r="F697" s="394" t="s">
        <v>194</v>
      </c>
      <c r="G697" s="585">
        <f>141806-335.19</f>
        <v>141470.81</v>
      </c>
      <c r="H697" s="585">
        <f>105730.5-350.69</f>
        <v>105379.81</v>
      </c>
      <c r="I697" s="310" t="s">
        <v>1263</v>
      </c>
      <c r="J697" s="302"/>
    </row>
    <row r="698" spans="1:10" ht="35.450000000000003" customHeight="1" x14ac:dyDescent="0.25">
      <c r="A698" s="409" t="s">
        <v>780</v>
      </c>
      <c r="B698" s="491">
        <v>906</v>
      </c>
      <c r="C698" s="406" t="s">
        <v>187</v>
      </c>
      <c r="D698" s="406" t="s">
        <v>158</v>
      </c>
      <c r="E698" s="406" t="s">
        <v>768</v>
      </c>
      <c r="F698" s="406"/>
      <c r="G698" s="438">
        <f>G699+G702+G705+G708</f>
        <v>208.6</v>
      </c>
      <c r="H698" s="438">
        <f>H699+H702+H705+H708</f>
        <v>208.6</v>
      </c>
      <c r="I698" s="310"/>
      <c r="J698" s="302"/>
    </row>
    <row r="699" spans="1:10" ht="35.450000000000003" hidden="1" customHeight="1" x14ac:dyDescent="0.25">
      <c r="A699" s="391" t="s">
        <v>242</v>
      </c>
      <c r="B699" s="492">
        <v>906</v>
      </c>
      <c r="C699" s="394" t="s">
        <v>187</v>
      </c>
      <c r="D699" s="394" t="s">
        <v>158</v>
      </c>
      <c r="E699" s="394" t="s">
        <v>826</v>
      </c>
      <c r="F699" s="394"/>
      <c r="G699" s="435">
        <f>G700</f>
        <v>0</v>
      </c>
      <c r="H699" s="435">
        <f>H700</f>
        <v>0</v>
      </c>
      <c r="I699" s="310"/>
      <c r="J699" s="302"/>
    </row>
    <row r="700" spans="1:10" ht="39.75" hidden="1" customHeight="1" x14ac:dyDescent="0.25">
      <c r="A700" s="391" t="s">
        <v>191</v>
      </c>
      <c r="B700" s="492">
        <v>906</v>
      </c>
      <c r="C700" s="394" t="s">
        <v>187</v>
      </c>
      <c r="D700" s="394" t="s">
        <v>158</v>
      </c>
      <c r="E700" s="394" t="s">
        <v>826</v>
      </c>
      <c r="F700" s="394" t="s">
        <v>192</v>
      </c>
      <c r="G700" s="435">
        <f>G701</f>
        <v>0</v>
      </c>
      <c r="H700" s="435">
        <f>H701</f>
        <v>0</v>
      </c>
      <c r="I700" s="310"/>
      <c r="J700" s="302"/>
    </row>
    <row r="701" spans="1:10" ht="18.75" hidden="1" customHeight="1" x14ac:dyDescent="0.25">
      <c r="A701" s="391" t="s">
        <v>193</v>
      </c>
      <c r="B701" s="492">
        <v>906</v>
      </c>
      <c r="C701" s="394" t="s">
        <v>187</v>
      </c>
      <c r="D701" s="394" t="s">
        <v>158</v>
      </c>
      <c r="E701" s="394" t="s">
        <v>826</v>
      </c>
      <c r="F701" s="394" t="s">
        <v>194</v>
      </c>
      <c r="G701" s="435">
        <v>0</v>
      </c>
      <c r="H701" s="435">
        <v>0</v>
      </c>
      <c r="I701" s="310"/>
      <c r="J701" s="302"/>
    </row>
    <row r="702" spans="1:10" ht="41.25" hidden="1" customHeight="1" x14ac:dyDescent="0.25">
      <c r="A702" s="391" t="s">
        <v>195</v>
      </c>
      <c r="B702" s="492">
        <v>906</v>
      </c>
      <c r="C702" s="394" t="s">
        <v>187</v>
      </c>
      <c r="D702" s="394" t="s">
        <v>158</v>
      </c>
      <c r="E702" s="394" t="s">
        <v>827</v>
      </c>
      <c r="F702" s="394"/>
      <c r="G702" s="435">
        <f>G703</f>
        <v>0</v>
      </c>
      <c r="H702" s="435">
        <f>H703</f>
        <v>0</v>
      </c>
      <c r="I702" s="310"/>
      <c r="J702" s="302"/>
    </row>
    <row r="703" spans="1:10" ht="33" hidden="1" customHeight="1" x14ac:dyDescent="0.25">
      <c r="A703" s="391" t="s">
        <v>191</v>
      </c>
      <c r="B703" s="492">
        <v>906</v>
      </c>
      <c r="C703" s="394" t="s">
        <v>187</v>
      </c>
      <c r="D703" s="394" t="s">
        <v>158</v>
      </c>
      <c r="E703" s="394" t="s">
        <v>827</v>
      </c>
      <c r="F703" s="394" t="s">
        <v>192</v>
      </c>
      <c r="G703" s="435">
        <f>G704</f>
        <v>0</v>
      </c>
      <c r="H703" s="435">
        <f>H704</f>
        <v>0</v>
      </c>
      <c r="I703" s="310"/>
      <c r="J703" s="302"/>
    </row>
    <row r="704" spans="1:10" ht="18.75" hidden="1" customHeight="1" x14ac:dyDescent="0.25">
      <c r="A704" s="391" t="s">
        <v>193</v>
      </c>
      <c r="B704" s="492">
        <v>906</v>
      </c>
      <c r="C704" s="394" t="s">
        <v>187</v>
      </c>
      <c r="D704" s="394" t="s">
        <v>158</v>
      </c>
      <c r="E704" s="394" t="s">
        <v>827</v>
      </c>
      <c r="F704" s="394" t="s">
        <v>194</v>
      </c>
      <c r="G704" s="435"/>
      <c r="H704" s="435"/>
      <c r="I704" s="310"/>
      <c r="J704" s="302"/>
    </row>
    <row r="705" spans="1:10" ht="31.7" hidden="1" customHeight="1" x14ac:dyDescent="0.25">
      <c r="A705" s="391" t="s">
        <v>196</v>
      </c>
      <c r="B705" s="492">
        <v>906</v>
      </c>
      <c r="C705" s="394" t="s">
        <v>187</v>
      </c>
      <c r="D705" s="394" t="s">
        <v>158</v>
      </c>
      <c r="E705" s="394" t="s">
        <v>828</v>
      </c>
      <c r="F705" s="394"/>
      <c r="G705" s="435">
        <f>G706</f>
        <v>0</v>
      </c>
      <c r="H705" s="435">
        <f>H706</f>
        <v>0</v>
      </c>
      <c r="I705" s="310"/>
      <c r="J705" s="302"/>
    </row>
    <row r="706" spans="1:10" ht="29.25" hidden="1" customHeight="1" x14ac:dyDescent="0.25">
      <c r="A706" s="391" t="s">
        <v>191</v>
      </c>
      <c r="B706" s="492">
        <v>906</v>
      </c>
      <c r="C706" s="394" t="s">
        <v>187</v>
      </c>
      <c r="D706" s="394" t="s">
        <v>158</v>
      </c>
      <c r="E706" s="394" t="s">
        <v>828</v>
      </c>
      <c r="F706" s="394" t="s">
        <v>192</v>
      </c>
      <c r="G706" s="435">
        <f>G707</f>
        <v>0</v>
      </c>
      <c r="H706" s="435">
        <f>H707</f>
        <v>0</v>
      </c>
      <c r="I706" s="310"/>
      <c r="J706" s="302"/>
    </row>
    <row r="707" spans="1:10" ht="18.75" hidden="1" customHeight="1" x14ac:dyDescent="0.25">
      <c r="A707" s="391" t="s">
        <v>193</v>
      </c>
      <c r="B707" s="492">
        <v>906</v>
      </c>
      <c r="C707" s="394" t="s">
        <v>187</v>
      </c>
      <c r="D707" s="394" t="s">
        <v>158</v>
      </c>
      <c r="E707" s="394" t="s">
        <v>828</v>
      </c>
      <c r="F707" s="394" t="s">
        <v>194</v>
      </c>
      <c r="G707" s="435"/>
      <c r="H707" s="435"/>
      <c r="I707" s="310"/>
      <c r="J707" s="302"/>
    </row>
    <row r="708" spans="1:10" ht="36" customHeight="1" x14ac:dyDescent="0.25">
      <c r="A708" s="391" t="s">
        <v>197</v>
      </c>
      <c r="B708" s="492">
        <v>906</v>
      </c>
      <c r="C708" s="394" t="s">
        <v>187</v>
      </c>
      <c r="D708" s="394" t="s">
        <v>158</v>
      </c>
      <c r="E708" s="394" t="s">
        <v>781</v>
      </c>
      <c r="F708" s="394"/>
      <c r="G708" s="435">
        <f>G709</f>
        <v>208.6</v>
      </c>
      <c r="H708" s="435">
        <f>H709</f>
        <v>208.6</v>
      </c>
      <c r="I708" s="310"/>
      <c r="J708" s="302"/>
    </row>
    <row r="709" spans="1:10" ht="39.75" customHeight="1" x14ac:dyDescent="0.25">
      <c r="A709" s="391" t="s">
        <v>191</v>
      </c>
      <c r="B709" s="492">
        <v>906</v>
      </c>
      <c r="C709" s="394" t="s">
        <v>187</v>
      </c>
      <c r="D709" s="394" t="s">
        <v>158</v>
      </c>
      <c r="E709" s="394" t="s">
        <v>781</v>
      </c>
      <c r="F709" s="394" t="s">
        <v>192</v>
      </c>
      <c r="G709" s="435">
        <f>G710</f>
        <v>208.6</v>
      </c>
      <c r="H709" s="435">
        <f>H710</f>
        <v>208.6</v>
      </c>
      <c r="I709" s="310"/>
      <c r="J709" s="302"/>
    </row>
    <row r="710" spans="1:10" ht="18.75" customHeight="1" x14ac:dyDescent="0.25">
      <c r="A710" s="391" t="s">
        <v>193</v>
      </c>
      <c r="B710" s="492">
        <v>906</v>
      </c>
      <c r="C710" s="394" t="s">
        <v>187</v>
      </c>
      <c r="D710" s="394" t="s">
        <v>158</v>
      </c>
      <c r="E710" s="394" t="s">
        <v>781</v>
      </c>
      <c r="F710" s="394" t="s">
        <v>194</v>
      </c>
      <c r="G710" s="435">
        <v>208.6</v>
      </c>
      <c r="H710" s="435">
        <v>208.6</v>
      </c>
      <c r="I710" s="310"/>
      <c r="J710" s="302"/>
    </row>
    <row r="711" spans="1:10" ht="34.5" customHeight="1" x14ac:dyDescent="0.25">
      <c r="A711" s="485" t="s">
        <v>513</v>
      </c>
      <c r="B711" s="453">
        <v>906</v>
      </c>
      <c r="C711" s="406" t="s">
        <v>187</v>
      </c>
      <c r="D711" s="406" t="s">
        <v>158</v>
      </c>
      <c r="E711" s="406" t="s">
        <v>771</v>
      </c>
      <c r="F711" s="406"/>
      <c r="G711" s="442">
        <f>G712+G715</f>
        <v>2967</v>
      </c>
      <c r="H711" s="442">
        <f>H712+H715</f>
        <v>2967</v>
      </c>
      <c r="I711" s="310"/>
      <c r="J711" s="302"/>
    </row>
    <row r="712" spans="1:10" ht="36.75" hidden="1" customHeight="1" x14ac:dyDescent="0.25">
      <c r="A712" s="391" t="s">
        <v>367</v>
      </c>
      <c r="B712" s="454">
        <v>906</v>
      </c>
      <c r="C712" s="394" t="s">
        <v>187</v>
      </c>
      <c r="D712" s="394" t="s">
        <v>158</v>
      </c>
      <c r="E712" s="394" t="s">
        <v>784</v>
      </c>
      <c r="F712" s="394"/>
      <c r="G712" s="435">
        <f>G713</f>
        <v>0</v>
      </c>
      <c r="H712" s="435">
        <f>H713</f>
        <v>0</v>
      </c>
      <c r="I712" s="310"/>
      <c r="J712" s="302"/>
    </row>
    <row r="713" spans="1:10" ht="44.45" hidden="1" customHeight="1" x14ac:dyDescent="0.25">
      <c r="A713" s="391" t="s">
        <v>191</v>
      </c>
      <c r="B713" s="454">
        <v>906</v>
      </c>
      <c r="C713" s="394" t="s">
        <v>187</v>
      </c>
      <c r="D713" s="394" t="s">
        <v>158</v>
      </c>
      <c r="E713" s="394" t="s">
        <v>784</v>
      </c>
      <c r="F713" s="394" t="s">
        <v>192</v>
      </c>
      <c r="G713" s="435">
        <f>G714</f>
        <v>0</v>
      </c>
      <c r="H713" s="435">
        <f>H714</f>
        <v>0</v>
      </c>
      <c r="I713" s="310"/>
      <c r="J713" s="302"/>
    </row>
    <row r="714" spans="1:10" ht="18.75" hidden="1" customHeight="1" x14ac:dyDescent="0.25">
      <c r="A714" s="391" t="s">
        <v>193</v>
      </c>
      <c r="B714" s="454">
        <v>906</v>
      </c>
      <c r="C714" s="394" t="s">
        <v>187</v>
      </c>
      <c r="D714" s="394" t="s">
        <v>158</v>
      </c>
      <c r="E714" s="394" t="s">
        <v>784</v>
      </c>
      <c r="F714" s="394" t="s">
        <v>194</v>
      </c>
      <c r="G714" s="435"/>
      <c r="H714" s="435"/>
      <c r="I714" s="310"/>
      <c r="J714" s="302"/>
    </row>
    <row r="715" spans="1:10" ht="38.25" customHeight="1" x14ac:dyDescent="0.25">
      <c r="A715" s="486" t="s">
        <v>342</v>
      </c>
      <c r="B715" s="454">
        <v>906</v>
      </c>
      <c r="C715" s="394" t="s">
        <v>187</v>
      </c>
      <c r="D715" s="394" t="s">
        <v>158</v>
      </c>
      <c r="E715" s="394" t="s">
        <v>772</v>
      </c>
      <c r="F715" s="394"/>
      <c r="G715" s="435">
        <f>G716</f>
        <v>2967</v>
      </c>
      <c r="H715" s="435">
        <f>H716</f>
        <v>2967</v>
      </c>
      <c r="I715" s="310"/>
      <c r="J715" s="302"/>
    </row>
    <row r="716" spans="1:10" ht="39.200000000000003" customHeight="1" x14ac:dyDescent="0.25">
      <c r="A716" s="458" t="s">
        <v>191</v>
      </c>
      <c r="B716" s="454">
        <v>906</v>
      </c>
      <c r="C716" s="394" t="s">
        <v>187</v>
      </c>
      <c r="D716" s="394" t="s">
        <v>158</v>
      </c>
      <c r="E716" s="394" t="s">
        <v>772</v>
      </c>
      <c r="F716" s="394" t="s">
        <v>192</v>
      </c>
      <c r="G716" s="435">
        <f>G717</f>
        <v>2967</v>
      </c>
      <c r="H716" s="435">
        <f>H717</f>
        <v>2967</v>
      </c>
      <c r="I716" s="310"/>
      <c r="J716" s="302"/>
    </row>
    <row r="717" spans="1:10" ht="18.75" customHeight="1" x14ac:dyDescent="0.25">
      <c r="A717" s="487" t="s">
        <v>193</v>
      </c>
      <c r="B717" s="454">
        <v>906</v>
      </c>
      <c r="C717" s="394" t="s">
        <v>187</v>
      </c>
      <c r="D717" s="394" t="s">
        <v>158</v>
      </c>
      <c r="E717" s="394" t="s">
        <v>772</v>
      </c>
      <c r="F717" s="394" t="s">
        <v>194</v>
      </c>
      <c r="G717" s="435">
        <v>2967</v>
      </c>
      <c r="H717" s="435">
        <v>2967</v>
      </c>
      <c r="I717" s="310"/>
      <c r="J717" s="302"/>
    </row>
    <row r="718" spans="1:10" ht="33" customHeight="1" x14ac:dyDescent="0.25">
      <c r="A718" s="409" t="s">
        <v>1117</v>
      </c>
      <c r="B718" s="491">
        <v>906</v>
      </c>
      <c r="C718" s="406" t="s">
        <v>187</v>
      </c>
      <c r="D718" s="406" t="s">
        <v>158</v>
      </c>
      <c r="E718" s="406" t="s">
        <v>774</v>
      </c>
      <c r="F718" s="406"/>
      <c r="G718" s="438">
        <f t="shared" ref="G718:H720" si="54">G719</f>
        <v>5421.41</v>
      </c>
      <c r="H718" s="438">
        <f t="shared" si="54"/>
        <v>5486.8099999999995</v>
      </c>
      <c r="I718" s="310"/>
      <c r="J718" s="302"/>
    </row>
    <row r="719" spans="1:10" ht="31.5" x14ac:dyDescent="0.25">
      <c r="A719" s="391" t="s">
        <v>1118</v>
      </c>
      <c r="B719" s="492">
        <v>906</v>
      </c>
      <c r="C719" s="394" t="s">
        <v>187</v>
      </c>
      <c r="D719" s="394" t="s">
        <v>158</v>
      </c>
      <c r="E719" s="394" t="s">
        <v>1119</v>
      </c>
      <c r="F719" s="394"/>
      <c r="G719" s="435">
        <f t="shared" si="54"/>
        <v>5421.41</v>
      </c>
      <c r="H719" s="435">
        <f t="shared" si="54"/>
        <v>5486.8099999999995</v>
      </c>
      <c r="I719" s="310"/>
      <c r="J719" s="302"/>
    </row>
    <row r="720" spans="1:10" ht="31.5" x14ac:dyDescent="0.25">
      <c r="A720" s="391" t="s">
        <v>191</v>
      </c>
      <c r="B720" s="492">
        <v>906</v>
      </c>
      <c r="C720" s="394" t="s">
        <v>187</v>
      </c>
      <c r="D720" s="394" t="s">
        <v>158</v>
      </c>
      <c r="E720" s="394" t="s">
        <v>1119</v>
      </c>
      <c r="F720" s="394" t="s">
        <v>192</v>
      </c>
      <c r="G720" s="435">
        <f t="shared" si="54"/>
        <v>5421.41</v>
      </c>
      <c r="H720" s="435">
        <f t="shared" si="54"/>
        <v>5486.8099999999995</v>
      </c>
      <c r="I720" s="310"/>
      <c r="J720" s="302"/>
    </row>
    <row r="721" spans="1:10" ht="15.75" x14ac:dyDescent="0.25">
      <c r="A721" s="391" t="s">
        <v>193</v>
      </c>
      <c r="B721" s="492">
        <v>906</v>
      </c>
      <c r="C721" s="394" t="s">
        <v>187</v>
      </c>
      <c r="D721" s="394" t="s">
        <v>158</v>
      </c>
      <c r="E721" s="394" t="s">
        <v>1119</v>
      </c>
      <c r="F721" s="394" t="s">
        <v>194</v>
      </c>
      <c r="G721" s="585">
        <f>3235.41+158.95-297.85+2373.8-48.9</f>
        <v>5421.41</v>
      </c>
      <c r="H721" s="585">
        <f>3235.41+158.95-297.85+2446.1-55.8</f>
        <v>5486.8099999999995</v>
      </c>
      <c r="I721" s="310" t="s">
        <v>1248</v>
      </c>
      <c r="J721" s="302"/>
    </row>
    <row r="722" spans="1:10" ht="34.5" hidden="1" customHeight="1" x14ac:dyDescent="0.25">
      <c r="A722" s="409" t="s">
        <v>1120</v>
      </c>
      <c r="B722" s="491">
        <v>906</v>
      </c>
      <c r="C722" s="406" t="s">
        <v>187</v>
      </c>
      <c r="D722" s="406" t="s">
        <v>158</v>
      </c>
      <c r="E722" s="406" t="s">
        <v>782</v>
      </c>
      <c r="F722" s="406"/>
      <c r="G722" s="442">
        <f t="shared" ref="G722:H724" si="55">G723</f>
        <v>0</v>
      </c>
      <c r="H722" s="442">
        <f t="shared" si="55"/>
        <v>0</v>
      </c>
      <c r="I722" s="310"/>
      <c r="J722" s="302"/>
    </row>
    <row r="723" spans="1:10" ht="15.75" hidden="1" x14ac:dyDescent="0.25">
      <c r="A723" s="391"/>
      <c r="B723" s="492">
        <v>906</v>
      </c>
      <c r="C723" s="394" t="s">
        <v>187</v>
      </c>
      <c r="D723" s="394" t="s">
        <v>158</v>
      </c>
      <c r="E723" s="394"/>
      <c r="F723" s="394"/>
      <c r="G723" s="435">
        <f t="shared" si="55"/>
        <v>0</v>
      </c>
      <c r="H723" s="435">
        <f t="shared" si="55"/>
        <v>0</v>
      </c>
      <c r="I723" s="310"/>
      <c r="J723" s="302"/>
    </row>
    <row r="724" spans="1:10" ht="31.5" hidden="1" x14ac:dyDescent="0.25">
      <c r="A724" s="391" t="s">
        <v>191</v>
      </c>
      <c r="B724" s="492">
        <v>906</v>
      </c>
      <c r="C724" s="394" t="s">
        <v>187</v>
      </c>
      <c r="D724" s="394" t="s">
        <v>158</v>
      </c>
      <c r="E724" s="394"/>
      <c r="F724" s="394" t="s">
        <v>192</v>
      </c>
      <c r="G724" s="435">
        <f t="shared" si="55"/>
        <v>0</v>
      </c>
      <c r="H724" s="435">
        <f t="shared" si="55"/>
        <v>0</v>
      </c>
      <c r="I724" s="310"/>
      <c r="J724" s="302"/>
    </row>
    <row r="725" spans="1:10" ht="15.75" hidden="1" x14ac:dyDescent="0.25">
      <c r="A725" s="391" t="s">
        <v>193</v>
      </c>
      <c r="B725" s="492">
        <v>906</v>
      </c>
      <c r="C725" s="394" t="s">
        <v>187</v>
      </c>
      <c r="D725" s="394" t="s">
        <v>158</v>
      </c>
      <c r="E725" s="394"/>
      <c r="F725" s="394" t="s">
        <v>194</v>
      </c>
      <c r="G725" s="435"/>
      <c r="H725" s="435"/>
      <c r="I725" s="310"/>
      <c r="J725" s="302"/>
    </row>
    <row r="726" spans="1:10" ht="15.75" hidden="1" x14ac:dyDescent="0.25">
      <c r="A726" s="477" t="s">
        <v>1121</v>
      </c>
      <c r="B726" s="453">
        <v>906</v>
      </c>
      <c r="C726" s="406" t="s">
        <v>187</v>
      </c>
      <c r="D726" s="406" t="s">
        <v>158</v>
      </c>
      <c r="E726" s="406" t="s">
        <v>785</v>
      </c>
      <c r="F726" s="406"/>
      <c r="G726" s="438">
        <f t="shared" ref="G726:H728" si="56">G727</f>
        <v>0</v>
      </c>
      <c r="H726" s="438">
        <f t="shared" si="56"/>
        <v>0</v>
      </c>
      <c r="I726" s="310"/>
      <c r="J726" s="302"/>
    </row>
    <row r="727" spans="1:10" ht="15.75" hidden="1" x14ac:dyDescent="0.25">
      <c r="A727" s="487"/>
      <c r="B727" s="454">
        <v>906</v>
      </c>
      <c r="C727" s="394" t="s">
        <v>187</v>
      </c>
      <c r="D727" s="394" t="s">
        <v>158</v>
      </c>
      <c r="E727" s="394"/>
      <c r="F727" s="394"/>
      <c r="G727" s="435">
        <f t="shared" si="56"/>
        <v>0</v>
      </c>
      <c r="H727" s="435">
        <f t="shared" si="56"/>
        <v>0</v>
      </c>
      <c r="I727" s="310"/>
      <c r="J727" s="302"/>
    </row>
    <row r="728" spans="1:10" ht="31.5" hidden="1" x14ac:dyDescent="0.25">
      <c r="A728" s="393" t="s">
        <v>191</v>
      </c>
      <c r="B728" s="454">
        <v>906</v>
      </c>
      <c r="C728" s="394" t="s">
        <v>187</v>
      </c>
      <c r="D728" s="394" t="s">
        <v>158</v>
      </c>
      <c r="E728" s="394"/>
      <c r="F728" s="394" t="s">
        <v>192</v>
      </c>
      <c r="G728" s="435">
        <f t="shared" si="56"/>
        <v>0</v>
      </c>
      <c r="H728" s="435">
        <f t="shared" si="56"/>
        <v>0</v>
      </c>
      <c r="I728" s="310"/>
      <c r="J728" s="302"/>
    </row>
    <row r="729" spans="1:10" ht="15.75" hidden="1" x14ac:dyDescent="0.25">
      <c r="A729" s="393" t="s">
        <v>193</v>
      </c>
      <c r="B729" s="454">
        <v>906</v>
      </c>
      <c r="C729" s="394" t="s">
        <v>187</v>
      </c>
      <c r="D729" s="394" t="s">
        <v>158</v>
      </c>
      <c r="E729" s="394"/>
      <c r="F729" s="394" t="s">
        <v>194</v>
      </c>
      <c r="G729" s="435"/>
      <c r="H729" s="435"/>
      <c r="I729" s="310"/>
      <c r="J729" s="302"/>
    </row>
    <row r="730" spans="1:10" ht="31.5" x14ac:dyDescent="0.25">
      <c r="A730" s="489" t="s">
        <v>900</v>
      </c>
      <c r="B730" s="453">
        <v>906</v>
      </c>
      <c r="C730" s="406" t="s">
        <v>187</v>
      </c>
      <c r="D730" s="406" t="s">
        <v>158</v>
      </c>
      <c r="E730" s="406" t="s">
        <v>899</v>
      </c>
      <c r="F730" s="406"/>
      <c r="G730" s="438">
        <f t="shared" ref="G730:H732" si="57">G731</f>
        <v>5302.8</v>
      </c>
      <c r="H730" s="438">
        <f t="shared" si="57"/>
        <v>5463.1</v>
      </c>
      <c r="I730" s="310"/>
      <c r="J730" s="302"/>
    </row>
    <row r="731" spans="1:10" ht="51" customHeight="1" x14ac:dyDescent="0.25">
      <c r="A731" s="490" t="s">
        <v>886</v>
      </c>
      <c r="B731" s="454">
        <v>906</v>
      </c>
      <c r="C731" s="394" t="s">
        <v>187</v>
      </c>
      <c r="D731" s="394" t="s">
        <v>158</v>
      </c>
      <c r="E731" s="394" t="s">
        <v>938</v>
      </c>
      <c r="F731" s="394"/>
      <c r="G731" s="435">
        <f t="shared" si="57"/>
        <v>5302.8</v>
      </c>
      <c r="H731" s="435">
        <f t="shared" si="57"/>
        <v>5463.1</v>
      </c>
      <c r="I731" s="310"/>
      <c r="J731" s="302"/>
    </row>
    <row r="732" spans="1:10" ht="31.5" x14ac:dyDescent="0.25">
      <c r="A732" s="393" t="s">
        <v>191</v>
      </c>
      <c r="B732" s="454">
        <v>906</v>
      </c>
      <c r="C732" s="394" t="s">
        <v>187</v>
      </c>
      <c r="D732" s="394" t="s">
        <v>158</v>
      </c>
      <c r="E732" s="394" t="s">
        <v>938</v>
      </c>
      <c r="F732" s="394" t="s">
        <v>192</v>
      </c>
      <c r="G732" s="435">
        <f t="shared" si="57"/>
        <v>5302.8</v>
      </c>
      <c r="H732" s="435">
        <f t="shared" si="57"/>
        <v>5463.1</v>
      </c>
      <c r="I732" s="310"/>
      <c r="J732" s="302"/>
    </row>
    <row r="733" spans="1:10" ht="15.75" x14ac:dyDescent="0.25">
      <c r="A733" s="393" t="s">
        <v>193</v>
      </c>
      <c r="B733" s="454">
        <v>906</v>
      </c>
      <c r="C733" s="394" t="s">
        <v>187</v>
      </c>
      <c r="D733" s="394" t="s">
        <v>158</v>
      </c>
      <c r="E733" s="394" t="s">
        <v>938</v>
      </c>
      <c r="F733" s="394" t="s">
        <v>194</v>
      </c>
      <c r="G733" s="586">
        <f>4931.6+493.7-122.5</f>
        <v>5302.8</v>
      </c>
      <c r="H733" s="586">
        <f>5080.6+508.6-126.1</f>
        <v>5463.1</v>
      </c>
      <c r="I733" s="310" t="s">
        <v>1235</v>
      </c>
      <c r="J733" s="302"/>
    </row>
    <row r="734" spans="1:10" ht="31.5" hidden="1" x14ac:dyDescent="0.25">
      <c r="A734" s="489" t="s">
        <v>918</v>
      </c>
      <c r="B734" s="453">
        <v>906</v>
      </c>
      <c r="C734" s="406" t="s">
        <v>187</v>
      </c>
      <c r="D734" s="406" t="s">
        <v>158</v>
      </c>
      <c r="E734" s="406" t="s">
        <v>906</v>
      </c>
      <c r="F734" s="406"/>
      <c r="G734" s="438">
        <f t="shared" ref="G734:H736" si="58">G735</f>
        <v>0</v>
      </c>
      <c r="H734" s="438">
        <f t="shared" si="58"/>
        <v>0</v>
      </c>
      <c r="I734" s="310"/>
      <c r="J734" s="302"/>
    </row>
    <row r="735" spans="1:10" ht="15.75" hidden="1" x14ac:dyDescent="0.25">
      <c r="A735" s="490" t="s">
        <v>907</v>
      </c>
      <c r="B735" s="454">
        <v>906</v>
      </c>
      <c r="C735" s="394" t="s">
        <v>187</v>
      </c>
      <c r="D735" s="394" t="s">
        <v>158</v>
      </c>
      <c r="E735" s="394" t="s">
        <v>909</v>
      </c>
      <c r="F735" s="394"/>
      <c r="G735" s="435">
        <f t="shared" si="58"/>
        <v>0</v>
      </c>
      <c r="H735" s="435">
        <f t="shared" si="58"/>
        <v>0</v>
      </c>
      <c r="I735" s="310"/>
      <c r="J735" s="302"/>
    </row>
    <row r="736" spans="1:10" ht="31.5" hidden="1" x14ac:dyDescent="0.25">
      <c r="A736" s="393" t="s">
        <v>191</v>
      </c>
      <c r="B736" s="454">
        <v>906</v>
      </c>
      <c r="C736" s="394" t="s">
        <v>187</v>
      </c>
      <c r="D736" s="394" t="s">
        <v>158</v>
      </c>
      <c r="E736" s="394" t="s">
        <v>909</v>
      </c>
      <c r="F736" s="394" t="s">
        <v>192</v>
      </c>
      <c r="G736" s="435">
        <f t="shared" si="58"/>
        <v>0</v>
      </c>
      <c r="H736" s="435">
        <f t="shared" si="58"/>
        <v>0</v>
      </c>
      <c r="I736" s="310"/>
      <c r="J736" s="302"/>
    </row>
    <row r="737" spans="1:13" ht="15.75" hidden="1" x14ac:dyDescent="0.25">
      <c r="A737" s="393" t="s">
        <v>193</v>
      </c>
      <c r="B737" s="454">
        <v>906</v>
      </c>
      <c r="C737" s="394" t="s">
        <v>187</v>
      </c>
      <c r="D737" s="394" t="s">
        <v>158</v>
      </c>
      <c r="E737" s="394" t="s">
        <v>909</v>
      </c>
      <c r="F737" s="394" t="s">
        <v>194</v>
      </c>
      <c r="G737" s="435"/>
      <c r="H737" s="435"/>
      <c r="I737" s="310"/>
      <c r="J737" s="302"/>
    </row>
    <row r="738" spans="1:13" ht="31.5" hidden="1" x14ac:dyDescent="0.25">
      <c r="A738" s="489" t="s">
        <v>1022</v>
      </c>
      <c r="B738" s="453">
        <v>906</v>
      </c>
      <c r="C738" s="406" t="s">
        <v>187</v>
      </c>
      <c r="D738" s="406" t="s">
        <v>158</v>
      </c>
      <c r="E738" s="406" t="s">
        <v>1023</v>
      </c>
      <c r="F738" s="406"/>
      <c r="G738" s="438">
        <f t="shared" ref="G738:H740" si="59">G739</f>
        <v>0</v>
      </c>
      <c r="H738" s="438">
        <f t="shared" si="59"/>
        <v>0</v>
      </c>
      <c r="I738" s="310"/>
      <c r="J738" s="302"/>
    </row>
    <row r="739" spans="1:13" s="131" customFormat="1" ht="31.5" hidden="1" x14ac:dyDescent="0.25">
      <c r="A739" s="490" t="s">
        <v>243</v>
      </c>
      <c r="B739" s="454">
        <v>906</v>
      </c>
      <c r="C739" s="394" t="s">
        <v>187</v>
      </c>
      <c r="D739" s="394" t="s">
        <v>158</v>
      </c>
      <c r="E739" s="394" t="s">
        <v>1024</v>
      </c>
      <c r="F739" s="394"/>
      <c r="G739" s="435">
        <f t="shared" si="59"/>
        <v>0</v>
      </c>
      <c r="H739" s="435">
        <f t="shared" si="59"/>
        <v>0</v>
      </c>
      <c r="I739" s="313"/>
      <c r="J739" s="75"/>
    </row>
    <row r="740" spans="1:13" ht="31.5" hidden="1" x14ac:dyDescent="0.25">
      <c r="A740" s="393" t="s">
        <v>191</v>
      </c>
      <c r="B740" s="454">
        <v>906</v>
      </c>
      <c r="C740" s="394" t="s">
        <v>187</v>
      </c>
      <c r="D740" s="394" t="s">
        <v>158</v>
      </c>
      <c r="E740" s="394" t="s">
        <v>1024</v>
      </c>
      <c r="F740" s="394" t="s">
        <v>192</v>
      </c>
      <c r="G740" s="435">
        <f t="shared" si="59"/>
        <v>0</v>
      </c>
      <c r="H740" s="435">
        <f t="shared" si="59"/>
        <v>0</v>
      </c>
      <c r="I740" s="310"/>
      <c r="J740" s="302"/>
    </row>
    <row r="741" spans="1:13" ht="15.75" hidden="1" x14ac:dyDescent="0.25">
      <c r="A741" s="393" t="s">
        <v>193</v>
      </c>
      <c r="B741" s="454">
        <v>906</v>
      </c>
      <c r="C741" s="394" t="s">
        <v>187</v>
      </c>
      <c r="D741" s="394" t="s">
        <v>158</v>
      </c>
      <c r="E741" s="394" t="s">
        <v>1024</v>
      </c>
      <c r="F741" s="394" t="s">
        <v>194</v>
      </c>
      <c r="G741" s="435"/>
      <c r="H741" s="435"/>
      <c r="I741" s="315"/>
      <c r="J741" s="302"/>
    </row>
    <row r="742" spans="1:13" ht="34.5" hidden="1" customHeight="1" x14ac:dyDescent="0.25">
      <c r="A742" s="489" t="s">
        <v>1034</v>
      </c>
      <c r="B742" s="453">
        <v>906</v>
      </c>
      <c r="C742" s="406" t="s">
        <v>187</v>
      </c>
      <c r="D742" s="406" t="s">
        <v>158</v>
      </c>
      <c r="E742" s="406" t="s">
        <v>1036</v>
      </c>
      <c r="F742" s="406"/>
      <c r="G742" s="438">
        <f t="shared" ref="G742:H744" si="60">G743</f>
        <v>0</v>
      </c>
      <c r="H742" s="438">
        <f t="shared" si="60"/>
        <v>0</v>
      </c>
      <c r="I742" s="316"/>
      <c r="J742" s="302"/>
    </row>
    <row r="743" spans="1:13" ht="31.5" hidden="1" x14ac:dyDescent="0.25">
      <c r="A743" s="490" t="s">
        <v>1035</v>
      </c>
      <c r="B743" s="454">
        <v>906</v>
      </c>
      <c r="C743" s="394" t="s">
        <v>187</v>
      </c>
      <c r="D743" s="394" t="s">
        <v>158</v>
      </c>
      <c r="E743" s="394" t="s">
        <v>1037</v>
      </c>
      <c r="F743" s="394"/>
      <c r="G743" s="435">
        <f t="shared" si="60"/>
        <v>0</v>
      </c>
      <c r="H743" s="435">
        <f t="shared" si="60"/>
        <v>0</v>
      </c>
      <c r="I743" s="310"/>
      <c r="J743" s="302"/>
    </row>
    <row r="744" spans="1:13" ht="31.5" hidden="1" x14ac:dyDescent="0.25">
      <c r="A744" s="393" t="s">
        <v>191</v>
      </c>
      <c r="B744" s="454">
        <v>906</v>
      </c>
      <c r="C744" s="394" t="s">
        <v>187</v>
      </c>
      <c r="D744" s="394" t="s">
        <v>158</v>
      </c>
      <c r="E744" s="394" t="s">
        <v>1037</v>
      </c>
      <c r="F744" s="394" t="s">
        <v>192</v>
      </c>
      <c r="G744" s="435">
        <f t="shared" si="60"/>
        <v>0</v>
      </c>
      <c r="H744" s="435">
        <f t="shared" si="60"/>
        <v>0</v>
      </c>
      <c r="I744" s="317"/>
      <c r="J744" s="302"/>
    </row>
    <row r="745" spans="1:13" ht="15.75" hidden="1" x14ac:dyDescent="0.25">
      <c r="A745" s="393" t="s">
        <v>193</v>
      </c>
      <c r="B745" s="454">
        <v>906</v>
      </c>
      <c r="C745" s="394" t="s">
        <v>187</v>
      </c>
      <c r="D745" s="394" t="s">
        <v>158</v>
      </c>
      <c r="E745" s="394" t="s">
        <v>1037</v>
      </c>
      <c r="F745" s="394" t="s">
        <v>194</v>
      </c>
      <c r="G745" s="435"/>
      <c r="H745" s="435"/>
      <c r="I745" s="310"/>
      <c r="J745" s="308"/>
      <c r="K745" s="308"/>
      <c r="L745" s="305"/>
      <c r="M745" s="306"/>
    </row>
    <row r="746" spans="1:13" ht="36" hidden="1" customHeight="1" x14ac:dyDescent="0.25">
      <c r="A746" s="477" t="s">
        <v>720</v>
      </c>
      <c r="B746" s="453">
        <v>906</v>
      </c>
      <c r="C746" s="406" t="s">
        <v>187</v>
      </c>
      <c r="D746" s="406" t="s">
        <v>158</v>
      </c>
      <c r="E746" s="406" t="s">
        <v>829</v>
      </c>
      <c r="F746" s="406"/>
      <c r="G746" s="438">
        <f t="shared" ref="G746:H748" si="61">G747</f>
        <v>0</v>
      </c>
      <c r="H746" s="438">
        <f t="shared" si="61"/>
        <v>0</v>
      </c>
      <c r="I746" s="317"/>
      <c r="J746" s="291"/>
      <c r="K746" s="291"/>
      <c r="L746" s="291"/>
      <c r="M746" s="292"/>
    </row>
    <row r="747" spans="1:13" ht="63" hidden="1" x14ac:dyDescent="0.25">
      <c r="A747" s="487" t="s">
        <v>979</v>
      </c>
      <c r="B747" s="454">
        <v>906</v>
      </c>
      <c r="C747" s="394" t="s">
        <v>187</v>
      </c>
      <c r="D747" s="394" t="s">
        <v>158</v>
      </c>
      <c r="E747" s="394" t="s">
        <v>830</v>
      </c>
      <c r="F747" s="394"/>
      <c r="G747" s="435">
        <f t="shared" si="61"/>
        <v>0</v>
      </c>
      <c r="H747" s="435">
        <f t="shared" si="61"/>
        <v>0</v>
      </c>
      <c r="I747" s="310"/>
      <c r="J747" s="287"/>
    </row>
    <row r="748" spans="1:13" ht="31.5" hidden="1" x14ac:dyDescent="0.25">
      <c r="A748" s="393" t="s">
        <v>191</v>
      </c>
      <c r="B748" s="454">
        <v>906</v>
      </c>
      <c r="C748" s="394" t="s">
        <v>187</v>
      </c>
      <c r="D748" s="394" t="s">
        <v>158</v>
      </c>
      <c r="E748" s="394" t="s">
        <v>830</v>
      </c>
      <c r="F748" s="394" t="s">
        <v>192</v>
      </c>
      <c r="G748" s="435">
        <f t="shared" si="61"/>
        <v>0</v>
      </c>
      <c r="H748" s="435">
        <f t="shared" si="61"/>
        <v>0</v>
      </c>
      <c r="I748" s="310"/>
      <c r="J748" s="302"/>
    </row>
    <row r="749" spans="1:13" ht="15.75" hidden="1" x14ac:dyDescent="0.25">
      <c r="A749" s="393" t="s">
        <v>193</v>
      </c>
      <c r="B749" s="454">
        <v>906</v>
      </c>
      <c r="C749" s="394" t="s">
        <v>187</v>
      </c>
      <c r="D749" s="394" t="s">
        <v>158</v>
      </c>
      <c r="E749" s="394" t="s">
        <v>830</v>
      </c>
      <c r="F749" s="394" t="s">
        <v>194</v>
      </c>
      <c r="G749" s="435"/>
      <c r="H749" s="435"/>
      <c r="I749" s="310"/>
      <c r="J749" s="302"/>
    </row>
    <row r="750" spans="1:13" ht="31.5" hidden="1" x14ac:dyDescent="0.25">
      <c r="A750" s="405" t="s">
        <v>952</v>
      </c>
      <c r="B750" s="453">
        <v>906</v>
      </c>
      <c r="C750" s="406" t="s">
        <v>187</v>
      </c>
      <c r="D750" s="406" t="s">
        <v>158</v>
      </c>
      <c r="E750" s="406" t="s">
        <v>953</v>
      </c>
      <c r="F750" s="394"/>
      <c r="G750" s="438">
        <f t="shared" ref="G750:H752" si="62">G751</f>
        <v>0</v>
      </c>
      <c r="H750" s="438">
        <f t="shared" si="62"/>
        <v>0</v>
      </c>
      <c r="I750" s="310"/>
      <c r="J750" s="302"/>
    </row>
    <row r="751" spans="1:13" ht="56.25" hidden="1" customHeight="1" x14ac:dyDescent="0.25">
      <c r="A751" s="393" t="s">
        <v>980</v>
      </c>
      <c r="B751" s="454">
        <v>906</v>
      </c>
      <c r="C751" s="394" t="s">
        <v>187</v>
      </c>
      <c r="D751" s="394" t="s">
        <v>158</v>
      </c>
      <c r="E751" s="394" t="s">
        <v>954</v>
      </c>
      <c r="F751" s="394"/>
      <c r="G751" s="435">
        <f t="shared" si="62"/>
        <v>0</v>
      </c>
      <c r="H751" s="435">
        <f t="shared" si="62"/>
        <v>0</v>
      </c>
      <c r="I751" s="310"/>
      <c r="J751" s="302"/>
      <c r="L751" s="255"/>
    </row>
    <row r="752" spans="1:13" ht="31.5" hidden="1" x14ac:dyDescent="0.25">
      <c r="A752" s="393" t="s">
        <v>191</v>
      </c>
      <c r="B752" s="454">
        <v>906</v>
      </c>
      <c r="C752" s="394" t="s">
        <v>187</v>
      </c>
      <c r="D752" s="394" t="s">
        <v>158</v>
      </c>
      <c r="E752" s="394" t="s">
        <v>954</v>
      </c>
      <c r="F752" s="394" t="s">
        <v>192</v>
      </c>
      <c r="G752" s="435">
        <f t="shared" si="62"/>
        <v>0</v>
      </c>
      <c r="H752" s="435">
        <f t="shared" si="62"/>
        <v>0</v>
      </c>
      <c r="I752" s="310"/>
      <c r="J752" s="302"/>
    </row>
    <row r="753" spans="1:11" ht="15.75" hidden="1" x14ac:dyDescent="0.25">
      <c r="A753" s="393" t="s">
        <v>193</v>
      </c>
      <c r="B753" s="454">
        <v>906</v>
      </c>
      <c r="C753" s="394" t="s">
        <v>187</v>
      </c>
      <c r="D753" s="394" t="s">
        <v>158</v>
      </c>
      <c r="E753" s="394" t="s">
        <v>954</v>
      </c>
      <c r="F753" s="394" t="s">
        <v>194</v>
      </c>
      <c r="G753" s="435"/>
      <c r="H753" s="435"/>
      <c r="I753" s="313"/>
      <c r="J753" s="75"/>
      <c r="K753" s="131"/>
    </row>
    <row r="754" spans="1:11" ht="31.5" x14ac:dyDescent="0.25">
      <c r="A754" s="405" t="s">
        <v>959</v>
      </c>
      <c r="B754" s="453">
        <v>906</v>
      </c>
      <c r="C754" s="406" t="s">
        <v>187</v>
      </c>
      <c r="D754" s="406" t="s">
        <v>158</v>
      </c>
      <c r="E754" s="406" t="s">
        <v>957</v>
      </c>
      <c r="F754" s="406"/>
      <c r="G754" s="435">
        <f t="shared" ref="G754:H756" si="63">G755</f>
        <v>2414</v>
      </c>
      <c r="H754" s="435">
        <f t="shared" si="63"/>
        <v>0</v>
      </c>
      <c r="I754" s="313"/>
      <c r="J754" s="75"/>
      <c r="K754" s="131"/>
    </row>
    <row r="755" spans="1:11" ht="47.25" x14ac:dyDescent="0.25">
      <c r="A755" s="589" t="s">
        <v>1278</v>
      </c>
      <c r="B755" s="454">
        <v>906</v>
      </c>
      <c r="C755" s="394" t="s">
        <v>187</v>
      </c>
      <c r="D755" s="394" t="s">
        <v>158</v>
      </c>
      <c r="E755" s="394" t="s">
        <v>958</v>
      </c>
      <c r="F755" s="394"/>
      <c r="G755" s="435">
        <f t="shared" si="63"/>
        <v>2414</v>
      </c>
      <c r="H755" s="435">
        <f t="shared" si="63"/>
        <v>0</v>
      </c>
      <c r="I755" s="313"/>
      <c r="J755" s="75"/>
      <c r="K755" s="131"/>
    </row>
    <row r="756" spans="1:11" ht="31.5" x14ac:dyDescent="0.25">
      <c r="A756" s="393" t="s">
        <v>191</v>
      </c>
      <c r="B756" s="454">
        <v>906</v>
      </c>
      <c r="C756" s="394" t="s">
        <v>187</v>
      </c>
      <c r="D756" s="394" t="s">
        <v>158</v>
      </c>
      <c r="E756" s="394" t="s">
        <v>958</v>
      </c>
      <c r="F756" s="394" t="s">
        <v>192</v>
      </c>
      <c r="G756" s="435">
        <f t="shared" si="63"/>
        <v>2414</v>
      </c>
      <c r="H756" s="435">
        <f t="shared" si="63"/>
        <v>0</v>
      </c>
      <c r="I756" s="313"/>
      <c r="J756" s="75"/>
      <c r="K756" s="131"/>
    </row>
    <row r="757" spans="1:11" ht="15.75" x14ac:dyDescent="0.25">
      <c r="A757" s="393" t="s">
        <v>193</v>
      </c>
      <c r="B757" s="454">
        <v>906</v>
      </c>
      <c r="C757" s="394" t="s">
        <v>187</v>
      </c>
      <c r="D757" s="394" t="s">
        <v>158</v>
      </c>
      <c r="E757" s="394" t="s">
        <v>958</v>
      </c>
      <c r="F757" s="394" t="s">
        <v>194</v>
      </c>
      <c r="G757" s="586">
        <f>2245.1-0.1+169</f>
        <v>2414</v>
      </c>
      <c r="H757" s="435">
        <v>0</v>
      </c>
      <c r="I757" s="313" t="s">
        <v>1234</v>
      </c>
      <c r="J757" s="75"/>
      <c r="K757" s="131"/>
    </row>
    <row r="758" spans="1:11" ht="47.25" x14ac:dyDescent="0.25">
      <c r="A758" s="405" t="s">
        <v>860</v>
      </c>
      <c r="B758" s="453">
        <v>906</v>
      </c>
      <c r="C758" s="406" t="s">
        <v>187</v>
      </c>
      <c r="D758" s="406" t="s">
        <v>158</v>
      </c>
      <c r="E758" s="406" t="s">
        <v>206</v>
      </c>
      <c r="F758" s="406"/>
      <c r="G758" s="438">
        <f>G759</f>
        <v>60</v>
      </c>
      <c r="H758" s="438">
        <f>H759</f>
        <v>60</v>
      </c>
      <c r="I758" s="310"/>
      <c r="J758" s="302"/>
    </row>
    <row r="759" spans="1:11" ht="47.25" x14ac:dyDescent="0.25">
      <c r="A759" s="405" t="s">
        <v>585</v>
      </c>
      <c r="B759" s="453">
        <v>906</v>
      </c>
      <c r="C759" s="406" t="s">
        <v>187</v>
      </c>
      <c r="D759" s="406" t="s">
        <v>158</v>
      </c>
      <c r="E759" s="406" t="s">
        <v>502</v>
      </c>
      <c r="F759" s="406"/>
      <c r="G759" s="438">
        <f t="shared" ref="G759:H761" si="64">G760</f>
        <v>60</v>
      </c>
      <c r="H759" s="438">
        <f t="shared" si="64"/>
        <v>60</v>
      </c>
      <c r="I759" s="310"/>
      <c r="J759" s="302"/>
    </row>
    <row r="760" spans="1:11" ht="47.25" x14ac:dyDescent="0.25">
      <c r="A760" s="393" t="s">
        <v>633</v>
      </c>
      <c r="B760" s="454">
        <v>906</v>
      </c>
      <c r="C760" s="394" t="s">
        <v>187</v>
      </c>
      <c r="D760" s="394" t="s">
        <v>158</v>
      </c>
      <c r="E760" s="394" t="s">
        <v>503</v>
      </c>
      <c r="F760" s="394"/>
      <c r="G760" s="435">
        <f t="shared" si="64"/>
        <v>60</v>
      </c>
      <c r="H760" s="435">
        <f t="shared" si="64"/>
        <v>60</v>
      </c>
      <c r="I760" s="310"/>
      <c r="J760" s="302"/>
    </row>
    <row r="761" spans="1:11" ht="31.5" x14ac:dyDescent="0.25">
      <c r="A761" s="393" t="s">
        <v>191</v>
      </c>
      <c r="B761" s="454">
        <v>906</v>
      </c>
      <c r="C761" s="394" t="s">
        <v>187</v>
      </c>
      <c r="D761" s="394" t="s">
        <v>158</v>
      </c>
      <c r="E761" s="394" t="s">
        <v>503</v>
      </c>
      <c r="F761" s="394" t="s">
        <v>192</v>
      </c>
      <c r="G761" s="435">
        <f t="shared" si="64"/>
        <v>60</v>
      </c>
      <c r="H761" s="435">
        <f t="shared" si="64"/>
        <v>60</v>
      </c>
      <c r="I761" s="310"/>
      <c r="J761" s="302"/>
    </row>
    <row r="762" spans="1:11" ht="15.75" x14ac:dyDescent="0.25">
      <c r="A762" s="393" t="s">
        <v>193</v>
      </c>
      <c r="B762" s="454">
        <v>906</v>
      </c>
      <c r="C762" s="394" t="s">
        <v>187</v>
      </c>
      <c r="D762" s="394" t="s">
        <v>158</v>
      </c>
      <c r="E762" s="394" t="s">
        <v>503</v>
      </c>
      <c r="F762" s="394" t="s">
        <v>194</v>
      </c>
      <c r="G762" s="435">
        <v>60</v>
      </c>
      <c r="H762" s="435">
        <v>60</v>
      </c>
      <c r="I762" s="310"/>
      <c r="J762" s="302"/>
    </row>
    <row r="763" spans="1:11" ht="47.25" x14ac:dyDescent="0.25">
      <c r="A763" s="462" t="s">
        <v>845</v>
      </c>
      <c r="B763" s="453">
        <v>906</v>
      </c>
      <c r="C763" s="406" t="s">
        <v>187</v>
      </c>
      <c r="D763" s="406" t="s">
        <v>158</v>
      </c>
      <c r="E763" s="406" t="s">
        <v>339</v>
      </c>
      <c r="F763" s="463"/>
      <c r="G763" s="438">
        <f t="shared" ref="G763:H766" si="65">G764</f>
        <v>870.84</v>
      </c>
      <c r="H763" s="438">
        <f t="shared" si="65"/>
        <v>870.84</v>
      </c>
      <c r="I763" s="310"/>
      <c r="J763" s="302"/>
    </row>
    <row r="764" spans="1:11" ht="47.25" x14ac:dyDescent="0.25">
      <c r="A764" s="462" t="s">
        <v>461</v>
      </c>
      <c r="B764" s="453">
        <v>906</v>
      </c>
      <c r="C764" s="406" t="s">
        <v>187</v>
      </c>
      <c r="D764" s="406" t="s">
        <v>158</v>
      </c>
      <c r="E764" s="406" t="s">
        <v>459</v>
      </c>
      <c r="F764" s="463"/>
      <c r="G764" s="438">
        <f t="shared" si="65"/>
        <v>870.84</v>
      </c>
      <c r="H764" s="438">
        <f t="shared" si="65"/>
        <v>870.84</v>
      </c>
      <c r="I764" s="310"/>
      <c r="J764" s="302"/>
    </row>
    <row r="765" spans="1:11" ht="35.450000000000003" customHeight="1" x14ac:dyDescent="0.25">
      <c r="A765" s="465" t="s">
        <v>357</v>
      </c>
      <c r="B765" s="454">
        <v>906</v>
      </c>
      <c r="C765" s="394" t="s">
        <v>187</v>
      </c>
      <c r="D765" s="394" t="s">
        <v>158</v>
      </c>
      <c r="E765" s="394" t="s">
        <v>504</v>
      </c>
      <c r="F765" s="466"/>
      <c r="G765" s="435">
        <f t="shared" si="65"/>
        <v>870.84</v>
      </c>
      <c r="H765" s="435">
        <f t="shared" si="65"/>
        <v>870.84</v>
      </c>
      <c r="I765" s="310"/>
      <c r="J765" s="302"/>
    </row>
    <row r="766" spans="1:11" ht="39.75" customHeight="1" x14ac:dyDescent="0.25">
      <c r="A766" s="458" t="s">
        <v>191</v>
      </c>
      <c r="B766" s="454">
        <v>906</v>
      </c>
      <c r="C766" s="394" t="s">
        <v>187</v>
      </c>
      <c r="D766" s="394" t="s">
        <v>158</v>
      </c>
      <c r="E766" s="394" t="s">
        <v>504</v>
      </c>
      <c r="F766" s="466" t="s">
        <v>192</v>
      </c>
      <c r="G766" s="435">
        <f t="shared" si="65"/>
        <v>870.84</v>
      </c>
      <c r="H766" s="435">
        <f t="shared" si="65"/>
        <v>870.84</v>
      </c>
      <c r="I766" s="310"/>
      <c r="J766" s="302"/>
    </row>
    <row r="767" spans="1:11" ht="15.75" x14ac:dyDescent="0.25">
      <c r="A767" s="487" t="s">
        <v>193</v>
      </c>
      <c r="B767" s="454">
        <v>906</v>
      </c>
      <c r="C767" s="394" t="s">
        <v>187</v>
      </c>
      <c r="D767" s="394" t="s">
        <v>158</v>
      </c>
      <c r="E767" s="394" t="s">
        <v>504</v>
      </c>
      <c r="F767" s="466" t="s">
        <v>194</v>
      </c>
      <c r="G767" s="435">
        <v>870.84</v>
      </c>
      <c r="H767" s="435">
        <v>870.84</v>
      </c>
      <c r="I767" s="310"/>
      <c r="J767" s="302"/>
    </row>
    <row r="768" spans="1:11" ht="15.75" x14ac:dyDescent="0.25">
      <c r="A768" s="409" t="s">
        <v>188</v>
      </c>
      <c r="B768" s="453">
        <v>906</v>
      </c>
      <c r="C768" s="406" t="s">
        <v>187</v>
      </c>
      <c r="D768" s="406" t="s">
        <v>159</v>
      </c>
      <c r="E768" s="406"/>
      <c r="F768" s="406"/>
      <c r="G768" s="442">
        <f>G769+G796</f>
        <v>42236</v>
      </c>
      <c r="H768" s="442">
        <f>H769+H796</f>
        <v>42236</v>
      </c>
      <c r="I768" s="310"/>
      <c r="J768" s="302"/>
    </row>
    <row r="769" spans="1:10" ht="36.75" customHeight="1" x14ac:dyDescent="0.25">
      <c r="A769" s="409" t="s">
        <v>859</v>
      </c>
      <c r="B769" s="453">
        <v>906</v>
      </c>
      <c r="C769" s="406" t="s">
        <v>187</v>
      </c>
      <c r="D769" s="406" t="s">
        <v>159</v>
      </c>
      <c r="E769" s="406" t="s">
        <v>237</v>
      </c>
      <c r="F769" s="406"/>
      <c r="G769" s="442">
        <f>G770+G777+G788+G792</f>
        <v>41933.599999999999</v>
      </c>
      <c r="H769" s="442">
        <f>H770+H777+H788+H792</f>
        <v>41933.599999999999</v>
      </c>
      <c r="I769" s="310"/>
      <c r="J769" s="302"/>
    </row>
    <row r="770" spans="1:10" ht="36.75" customHeight="1" x14ac:dyDescent="0.25">
      <c r="A770" s="409" t="s">
        <v>505</v>
      </c>
      <c r="B770" s="453">
        <v>906</v>
      </c>
      <c r="C770" s="406" t="s">
        <v>187</v>
      </c>
      <c r="D770" s="406" t="s">
        <v>159</v>
      </c>
      <c r="E770" s="406" t="s">
        <v>764</v>
      </c>
      <c r="F770" s="406"/>
      <c r="G770" s="442">
        <f>G771+G774</f>
        <v>38490</v>
      </c>
      <c r="H770" s="442">
        <f>H771+H774</f>
        <v>38490</v>
      </c>
      <c r="I770" s="310"/>
      <c r="J770" s="302"/>
    </row>
    <row r="771" spans="1:10" ht="31.5" x14ac:dyDescent="0.25">
      <c r="A771" s="391" t="s">
        <v>190</v>
      </c>
      <c r="B771" s="454">
        <v>906</v>
      </c>
      <c r="C771" s="394" t="s">
        <v>187</v>
      </c>
      <c r="D771" s="394" t="s">
        <v>159</v>
      </c>
      <c r="E771" s="394" t="s">
        <v>786</v>
      </c>
      <c r="F771" s="394"/>
      <c r="G771" s="436">
        <f>G772</f>
        <v>38490</v>
      </c>
      <c r="H771" s="436">
        <f>H772</f>
        <v>38490</v>
      </c>
      <c r="I771" s="310"/>
      <c r="J771" s="302"/>
    </row>
    <row r="772" spans="1:10" ht="36.75" customHeight="1" x14ac:dyDescent="0.25">
      <c r="A772" s="391" t="s">
        <v>191</v>
      </c>
      <c r="B772" s="454">
        <v>906</v>
      </c>
      <c r="C772" s="394" t="s">
        <v>187</v>
      </c>
      <c r="D772" s="394" t="s">
        <v>159</v>
      </c>
      <c r="E772" s="394" t="s">
        <v>786</v>
      </c>
      <c r="F772" s="394" t="s">
        <v>192</v>
      </c>
      <c r="G772" s="436">
        <f>G773</f>
        <v>38490</v>
      </c>
      <c r="H772" s="436">
        <f>H773</f>
        <v>38490</v>
      </c>
      <c r="I772" s="310"/>
      <c r="J772" s="302"/>
    </row>
    <row r="773" spans="1:10" ht="15.75" x14ac:dyDescent="0.25">
      <c r="A773" s="391" t="s">
        <v>193</v>
      </c>
      <c r="B773" s="454">
        <v>906</v>
      </c>
      <c r="C773" s="394" t="s">
        <v>187</v>
      </c>
      <c r="D773" s="394" t="s">
        <v>159</v>
      </c>
      <c r="E773" s="394" t="s">
        <v>786</v>
      </c>
      <c r="F773" s="394" t="s">
        <v>194</v>
      </c>
      <c r="G773" s="436">
        <f>38990-500</f>
        <v>38490</v>
      </c>
      <c r="H773" s="436">
        <f>G773</f>
        <v>38490</v>
      </c>
      <c r="I773" s="310"/>
      <c r="J773" s="302"/>
    </row>
    <row r="774" spans="1:10" ht="31.5" hidden="1" x14ac:dyDescent="0.25">
      <c r="A774" s="393" t="s">
        <v>974</v>
      </c>
      <c r="B774" s="454">
        <v>906</v>
      </c>
      <c r="C774" s="394" t="s">
        <v>187</v>
      </c>
      <c r="D774" s="394" t="s">
        <v>159</v>
      </c>
      <c r="E774" s="394" t="s">
        <v>973</v>
      </c>
      <c r="F774" s="394"/>
      <c r="G774" s="436">
        <f>G775</f>
        <v>0</v>
      </c>
      <c r="H774" s="436">
        <f>H775</f>
        <v>0</v>
      </c>
      <c r="I774" s="310"/>
      <c r="J774" s="302"/>
    </row>
    <row r="775" spans="1:10" ht="31.5" hidden="1" x14ac:dyDescent="0.25">
      <c r="A775" s="391" t="s">
        <v>191</v>
      </c>
      <c r="B775" s="454">
        <v>906</v>
      </c>
      <c r="C775" s="394" t="s">
        <v>187</v>
      </c>
      <c r="D775" s="394" t="s">
        <v>159</v>
      </c>
      <c r="E775" s="394" t="s">
        <v>973</v>
      </c>
      <c r="F775" s="394" t="s">
        <v>192</v>
      </c>
      <c r="G775" s="436">
        <f>G776</f>
        <v>0</v>
      </c>
      <c r="H775" s="436">
        <f>H776</f>
        <v>0</v>
      </c>
      <c r="I775" s="310"/>
      <c r="J775" s="302"/>
    </row>
    <row r="776" spans="1:10" ht="15.75" hidden="1" x14ac:dyDescent="0.25">
      <c r="A776" s="393" t="s">
        <v>193</v>
      </c>
      <c r="B776" s="454">
        <v>906</v>
      </c>
      <c r="C776" s="394" t="s">
        <v>187</v>
      </c>
      <c r="D776" s="394" t="s">
        <v>159</v>
      </c>
      <c r="E776" s="394" t="s">
        <v>973</v>
      </c>
      <c r="F776" s="394" t="s">
        <v>194</v>
      </c>
      <c r="G776" s="436"/>
      <c r="H776" s="436"/>
      <c r="I776" s="310"/>
      <c r="J776" s="302"/>
    </row>
    <row r="777" spans="1:10" ht="36" customHeight="1" x14ac:dyDescent="0.25">
      <c r="A777" s="409" t="s">
        <v>469</v>
      </c>
      <c r="B777" s="453">
        <v>906</v>
      </c>
      <c r="C777" s="406" t="s">
        <v>187</v>
      </c>
      <c r="D777" s="406" t="s">
        <v>159</v>
      </c>
      <c r="E777" s="406" t="s">
        <v>766</v>
      </c>
      <c r="F777" s="406"/>
      <c r="G777" s="442">
        <f>G778+G781</f>
        <v>2239.6</v>
      </c>
      <c r="H777" s="442">
        <f>H778+H781</f>
        <v>2239.6</v>
      </c>
      <c r="I777" s="310"/>
      <c r="J777" s="302"/>
    </row>
    <row r="778" spans="1:10" ht="91.15" customHeight="1" x14ac:dyDescent="0.25">
      <c r="A778" s="393" t="s">
        <v>200</v>
      </c>
      <c r="B778" s="454">
        <v>906</v>
      </c>
      <c r="C778" s="394" t="s">
        <v>187</v>
      </c>
      <c r="D778" s="394" t="s">
        <v>159</v>
      </c>
      <c r="E778" s="394" t="s">
        <v>885</v>
      </c>
      <c r="F778" s="394"/>
      <c r="G778" s="436">
        <f>G779</f>
        <v>1480</v>
      </c>
      <c r="H778" s="436">
        <f>H779</f>
        <v>1480</v>
      </c>
      <c r="I778" s="310"/>
      <c r="J778" s="302"/>
    </row>
    <row r="779" spans="1:10" ht="36" customHeight="1" x14ac:dyDescent="0.25">
      <c r="A779" s="391" t="s">
        <v>191</v>
      </c>
      <c r="B779" s="454">
        <v>906</v>
      </c>
      <c r="C779" s="394" t="s">
        <v>187</v>
      </c>
      <c r="D779" s="394" t="s">
        <v>159</v>
      </c>
      <c r="E779" s="394" t="s">
        <v>885</v>
      </c>
      <c r="F779" s="394" t="s">
        <v>192</v>
      </c>
      <c r="G779" s="436">
        <f>G780</f>
        <v>1480</v>
      </c>
      <c r="H779" s="436">
        <f>H780</f>
        <v>1480</v>
      </c>
      <c r="I779" s="310"/>
      <c r="J779" s="302"/>
    </row>
    <row r="780" spans="1:10" ht="23.1" customHeight="1" x14ac:dyDescent="0.25">
      <c r="A780" s="391" t="s">
        <v>193</v>
      </c>
      <c r="B780" s="454">
        <v>906</v>
      </c>
      <c r="C780" s="394" t="s">
        <v>187</v>
      </c>
      <c r="D780" s="394" t="s">
        <v>159</v>
      </c>
      <c r="E780" s="394" t="s">
        <v>885</v>
      </c>
      <c r="F780" s="394" t="s">
        <v>194</v>
      </c>
      <c r="G780" s="585">
        <f>1350+130</f>
        <v>1480</v>
      </c>
      <c r="H780" s="585">
        <f>1350+130</f>
        <v>1480</v>
      </c>
      <c r="I780" s="310" t="s">
        <v>1270</v>
      </c>
      <c r="J780" s="302"/>
    </row>
    <row r="781" spans="1:10" ht="31.5" x14ac:dyDescent="0.25">
      <c r="A781" s="391" t="s">
        <v>1165</v>
      </c>
      <c r="B781" s="454">
        <v>906</v>
      </c>
      <c r="C781" s="394" t="s">
        <v>187</v>
      </c>
      <c r="D781" s="394" t="s">
        <v>159</v>
      </c>
      <c r="E781" s="394" t="s">
        <v>1166</v>
      </c>
      <c r="F781" s="394"/>
      <c r="G781" s="436">
        <f>G782</f>
        <v>759.59999999999991</v>
      </c>
      <c r="H781" s="436">
        <f>H782</f>
        <v>759.59999999999991</v>
      </c>
      <c r="I781" s="310"/>
      <c r="J781" s="302"/>
    </row>
    <row r="782" spans="1:10" ht="31.5" x14ac:dyDescent="0.25">
      <c r="A782" s="391" t="s">
        <v>191</v>
      </c>
      <c r="B782" s="454">
        <v>906</v>
      </c>
      <c r="C782" s="394" t="s">
        <v>187</v>
      </c>
      <c r="D782" s="394" t="s">
        <v>159</v>
      </c>
      <c r="E782" s="394" t="s">
        <v>1166</v>
      </c>
      <c r="F782" s="394" t="s">
        <v>192</v>
      </c>
      <c r="G782" s="436">
        <f>G783</f>
        <v>759.59999999999991</v>
      </c>
      <c r="H782" s="436">
        <f>H783</f>
        <v>759.59999999999991</v>
      </c>
      <c r="I782" s="310"/>
      <c r="J782" s="302"/>
    </row>
    <row r="783" spans="1:10" ht="15.75" x14ac:dyDescent="0.25">
      <c r="A783" s="391" t="s">
        <v>193</v>
      </c>
      <c r="B783" s="454">
        <v>906</v>
      </c>
      <c r="C783" s="394" t="s">
        <v>187</v>
      </c>
      <c r="D783" s="394" t="s">
        <v>159</v>
      </c>
      <c r="E783" s="394" t="s">
        <v>1166</v>
      </c>
      <c r="F783" s="394" t="s">
        <v>194</v>
      </c>
      <c r="G783" s="585">
        <f>743.8+15.8</f>
        <v>759.59999999999991</v>
      </c>
      <c r="H783" s="585">
        <f>743.8+15.8</f>
        <v>759.59999999999991</v>
      </c>
      <c r="I783" s="310" t="s">
        <v>1264</v>
      </c>
      <c r="J783" s="302"/>
    </row>
    <row r="784" spans="1:10" ht="30.75" hidden="1" customHeight="1" x14ac:dyDescent="0.25">
      <c r="A784" s="409" t="s">
        <v>810</v>
      </c>
      <c r="B784" s="453">
        <v>906</v>
      </c>
      <c r="C784" s="406" t="s">
        <v>187</v>
      </c>
      <c r="D784" s="406" t="s">
        <v>159</v>
      </c>
      <c r="E784" s="406" t="s">
        <v>768</v>
      </c>
      <c r="F784" s="406"/>
      <c r="G784" s="442">
        <f t="shared" ref="G784:H786" si="66">G785</f>
        <v>0</v>
      </c>
      <c r="H784" s="442">
        <f t="shared" si="66"/>
        <v>0</v>
      </c>
      <c r="I784" s="310"/>
      <c r="J784" s="302"/>
    </row>
    <row r="785" spans="1:10" ht="31.5" hidden="1" x14ac:dyDescent="0.25">
      <c r="A785" s="398" t="s">
        <v>344</v>
      </c>
      <c r="B785" s="454">
        <v>906</v>
      </c>
      <c r="C785" s="394" t="s">
        <v>187</v>
      </c>
      <c r="D785" s="394" t="s">
        <v>159</v>
      </c>
      <c r="E785" s="394" t="s">
        <v>836</v>
      </c>
      <c r="F785" s="394"/>
      <c r="G785" s="436">
        <f t="shared" si="66"/>
        <v>0</v>
      </c>
      <c r="H785" s="436">
        <f t="shared" si="66"/>
        <v>0</v>
      </c>
      <c r="I785" s="310"/>
      <c r="J785" s="302"/>
    </row>
    <row r="786" spans="1:10" ht="31.5" hidden="1" x14ac:dyDescent="0.25">
      <c r="A786" s="393" t="s">
        <v>191</v>
      </c>
      <c r="B786" s="454">
        <v>906</v>
      </c>
      <c r="C786" s="394" t="s">
        <v>187</v>
      </c>
      <c r="D786" s="394" t="s">
        <v>159</v>
      </c>
      <c r="E786" s="394" t="s">
        <v>836</v>
      </c>
      <c r="F786" s="394" t="s">
        <v>192</v>
      </c>
      <c r="G786" s="436">
        <f t="shared" si="66"/>
        <v>0</v>
      </c>
      <c r="H786" s="436">
        <f t="shared" si="66"/>
        <v>0</v>
      </c>
      <c r="I786" s="310"/>
      <c r="J786" s="302"/>
    </row>
    <row r="787" spans="1:10" ht="15.75" hidden="1" x14ac:dyDescent="0.25">
      <c r="A787" s="393" t="s">
        <v>193</v>
      </c>
      <c r="B787" s="454">
        <v>906</v>
      </c>
      <c r="C787" s="394" t="s">
        <v>187</v>
      </c>
      <c r="D787" s="394" t="s">
        <v>159</v>
      </c>
      <c r="E787" s="394" t="s">
        <v>836</v>
      </c>
      <c r="F787" s="394" t="s">
        <v>194</v>
      </c>
      <c r="G787" s="436">
        <v>0</v>
      </c>
      <c r="H787" s="436">
        <v>0</v>
      </c>
      <c r="I787" s="310"/>
      <c r="J787" s="302"/>
    </row>
    <row r="788" spans="1:10" ht="31.5" x14ac:dyDescent="0.25">
      <c r="A788" s="485" t="s">
        <v>513</v>
      </c>
      <c r="B788" s="453">
        <v>906</v>
      </c>
      <c r="C788" s="406" t="s">
        <v>187</v>
      </c>
      <c r="D788" s="406" t="s">
        <v>159</v>
      </c>
      <c r="E788" s="406" t="s">
        <v>771</v>
      </c>
      <c r="F788" s="406"/>
      <c r="G788" s="442">
        <f t="shared" ref="G788:H790" si="67">G789</f>
        <v>203.10000000000002</v>
      </c>
      <c r="H788" s="442">
        <f t="shared" si="67"/>
        <v>203.10000000000002</v>
      </c>
      <c r="I788" s="310"/>
      <c r="J788" s="302"/>
    </row>
    <row r="789" spans="1:10" ht="37.5" customHeight="1" x14ac:dyDescent="0.25">
      <c r="A789" s="398" t="s">
        <v>342</v>
      </c>
      <c r="B789" s="454">
        <v>906</v>
      </c>
      <c r="C789" s="394" t="s">
        <v>187</v>
      </c>
      <c r="D789" s="394" t="s">
        <v>159</v>
      </c>
      <c r="E789" s="394" t="s">
        <v>772</v>
      </c>
      <c r="F789" s="394"/>
      <c r="G789" s="436">
        <f t="shared" si="67"/>
        <v>203.10000000000002</v>
      </c>
      <c r="H789" s="436">
        <f t="shared" si="67"/>
        <v>203.10000000000002</v>
      </c>
      <c r="I789" s="310"/>
      <c r="J789" s="302"/>
    </row>
    <row r="790" spans="1:10" ht="32.25" customHeight="1" x14ac:dyDescent="0.25">
      <c r="A790" s="391" t="s">
        <v>191</v>
      </c>
      <c r="B790" s="454">
        <v>906</v>
      </c>
      <c r="C790" s="394" t="s">
        <v>187</v>
      </c>
      <c r="D790" s="394" t="s">
        <v>159</v>
      </c>
      <c r="E790" s="394" t="s">
        <v>772</v>
      </c>
      <c r="F790" s="394" t="s">
        <v>192</v>
      </c>
      <c r="G790" s="436">
        <f t="shared" si="67"/>
        <v>203.10000000000002</v>
      </c>
      <c r="H790" s="436">
        <f t="shared" si="67"/>
        <v>203.10000000000002</v>
      </c>
      <c r="I790" s="310"/>
      <c r="J790" s="302"/>
    </row>
    <row r="791" spans="1:10" ht="15.75" x14ac:dyDescent="0.25">
      <c r="A791" s="393" t="s">
        <v>193</v>
      </c>
      <c r="B791" s="454">
        <v>906</v>
      </c>
      <c r="C791" s="394" t="s">
        <v>187</v>
      </c>
      <c r="D791" s="394" t="s">
        <v>159</v>
      </c>
      <c r="E791" s="394" t="s">
        <v>772</v>
      </c>
      <c r="F791" s="394" t="s">
        <v>194</v>
      </c>
      <c r="G791" s="585">
        <f>1204-1000.9</f>
        <v>203.10000000000002</v>
      </c>
      <c r="H791" s="585">
        <f>1204-1000.9</f>
        <v>203.10000000000002</v>
      </c>
      <c r="I791" s="310" t="s">
        <v>1305</v>
      </c>
      <c r="J791" s="302"/>
    </row>
    <row r="792" spans="1:10" ht="47.25" x14ac:dyDescent="0.25">
      <c r="A792" s="405" t="s">
        <v>1102</v>
      </c>
      <c r="B792" s="453">
        <v>906</v>
      </c>
      <c r="C792" s="406" t="s">
        <v>187</v>
      </c>
      <c r="D792" s="406" t="s">
        <v>159</v>
      </c>
      <c r="E792" s="406" t="s">
        <v>1103</v>
      </c>
      <c r="F792" s="406"/>
      <c r="G792" s="442">
        <f t="shared" ref="G792:H793" si="68">G793</f>
        <v>1000.9</v>
      </c>
      <c r="H792" s="442">
        <f t="shared" si="68"/>
        <v>1000.9</v>
      </c>
      <c r="I792" s="310"/>
      <c r="J792" s="302"/>
    </row>
    <row r="793" spans="1:10" ht="31.5" x14ac:dyDescent="0.25">
      <c r="A793" s="393" t="s">
        <v>1122</v>
      </c>
      <c r="B793" s="454">
        <v>906</v>
      </c>
      <c r="C793" s="394" t="s">
        <v>187</v>
      </c>
      <c r="D793" s="394" t="s">
        <v>159</v>
      </c>
      <c r="E793" s="394" t="s">
        <v>1217</v>
      </c>
      <c r="F793" s="394"/>
      <c r="G793" s="436">
        <f t="shared" si="68"/>
        <v>1000.9</v>
      </c>
      <c r="H793" s="436">
        <f t="shared" si="68"/>
        <v>1000.9</v>
      </c>
      <c r="I793" s="310"/>
      <c r="J793" s="302"/>
    </row>
    <row r="794" spans="1:10" ht="31.15" customHeight="1" x14ac:dyDescent="0.25">
      <c r="A794" s="391" t="s">
        <v>191</v>
      </c>
      <c r="B794" s="454">
        <v>906</v>
      </c>
      <c r="C794" s="394" t="s">
        <v>187</v>
      </c>
      <c r="D794" s="394" t="s">
        <v>159</v>
      </c>
      <c r="E794" s="394" t="s">
        <v>1217</v>
      </c>
      <c r="F794" s="394" t="s">
        <v>192</v>
      </c>
      <c r="G794" s="436">
        <f>G795</f>
        <v>1000.9</v>
      </c>
      <c r="H794" s="436">
        <f>H795</f>
        <v>1000.9</v>
      </c>
      <c r="I794" s="310"/>
      <c r="J794" s="302"/>
    </row>
    <row r="795" spans="1:10" ht="14.45" customHeight="1" x14ac:dyDescent="0.25">
      <c r="A795" s="603" t="s">
        <v>1104</v>
      </c>
      <c r="B795" s="596">
        <v>906</v>
      </c>
      <c r="C795" s="597" t="s">
        <v>187</v>
      </c>
      <c r="D795" s="597" t="s">
        <v>159</v>
      </c>
      <c r="E795" s="597" t="s">
        <v>1217</v>
      </c>
      <c r="F795" s="597" t="s">
        <v>1105</v>
      </c>
      <c r="G795" s="585">
        <v>1000.9</v>
      </c>
      <c r="H795" s="585">
        <v>1000.9</v>
      </c>
      <c r="I795" s="310" t="s">
        <v>1306</v>
      </c>
      <c r="J795" s="302"/>
    </row>
    <row r="796" spans="1:10" ht="54.75" customHeight="1" x14ac:dyDescent="0.25">
      <c r="A796" s="462" t="s">
        <v>845</v>
      </c>
      <c r="B796" s="453">
        <v>906</v>
      </c>
      <c r="C796" s="406" t="s">
        <v>187</v>
      </c>
      <c r="D796" s="406" t="s">
        <v>159</v>
      </c>
      <c r="E796" s="406" t="s">
        <v>339</v>
      </c>
      <c r="F796" s="463"/>
      <c r="G796" s="442">
        <f>G798</f>
        <v>302.39999999999998</v>
      </c>
      <c r="H796" s="442">
        <f>H798</f>
        <v>302.39999999999998</v>
      </c>
      <c r="I796" s="310"/>
      <c r="J796" s="302"/>
    </row>
    <row r="797" spans="1:10" ht="54.75" customHeight="1" x14ac:dyDescent="0.25">
      <c r="A797" s="462" t="s">
        <v>461</v>
      </c>
      <c r="B797" s="453">
        <v>906</v>
      </c>
      <c r="C797" s="406" t="s">
        <v>187</v>
      </c>
      <c r="D797" s="406" t="s">
        <v>508</v>
      </c>
      <c r="E797" s="406" t="s">
        <v>459</v>
      </c>
      <c r="F797" s="463"/>
      <c r="G797" s="442">
        <f t="shared" ref="G797:H799" si="69">G798</f>
        <v>302.39999999999998</v>
      </c>
      <c r="H797" s="442">
        <f t="shared" si="69"/>
        <v>302.39999999999998</v>
      </c>
      <c r="I797" s="310"/>
      <c r="J797" s="302"/>
    </row>
    <row r="798" spans="1:10" ht="38.25" customHeight="1" x14ac:dyDescent="0.25">
      <c r="A798" s="465" t="s">
        <v>357</v>
      </c>
      <c r="B798" s="454">
        <v>906</v>
      </c>
      <c r="C798" s="394" t="s">
        <v>187</v>
      </c>
      <c r="D798" s="394" t="s">
        <v>159</v>
      </c>
      <c r="E798" s="394" t="s">
        <v>504</v>
      </c>
      <c r="F798" s="466"/>
      <c r="G798" s="436">
        <f t="shared" si="69"/>
        <v>302.39999999999998</v>
      </c>
      <c r="H798" s="436">
        <f t="shared" si="69"/>
        <v>302.39999999999998</v>
      </c>
      <c r="I798" s="310"/>
      <c r="J798" s="302"/>
    </row>
    <row r="799" spans="1:10" ht="34.5" customHeight="1" x14ac:dyDescent="0.25">
      <c r="A799" s="458" t="s">
        <v>191</v>
      </c>
      <c r="B799" s="454">
        <v>906</v>
      </c>
      <c r="C799" s="394" t="s">
        <v>187</v>
      </c>
      <c r="D799" s="394" t="s">
        <v>159</v>
      </c>
      <c r="E799" s="394" t="s">
        <v>504</v>
      </c>
      <c r="F799" s="466" t="s">
        <v>192</v>
      </c>
      <c r="G799" s="436">
        <f t="shared" si="69"/>
        <v>302.39999999999998</v>
      </c>
      <c r="H799" s="436">
        <f t="shared" si="69"/>
        <v>302.39999999999998</v>
      </c>
      <c r="I799" s="310"/>
      <c r="J799" s="302"/>
    </row>
    <row r="800" spans="1:10" ht="15.75" x14ac:dyDescent="0.25">
      <c r="A800" s="487" t="s">
        <v>193</v>
      </c>
      <c r="B800" s="454">
        <v>906</v>
      </c>
      <c r="C800" s="394" t="s">
        <v>187</v>
      </c>
      <c r="D800" s="394" t="s">
        <v>159</v>
      </c>
      <c r="E800" s="394" t="s">
        <v>504</v>
      </c>
      <c r="F800" s="466" t="s">
        <v>194</v>
      </c>
      <c r="G800" s="436">
        <v>302.39999999999998</v>
      </c>
      <c r="H800" s="436">
        <v>302.39999999999998</v>
      </c>
      <c r="I800" s="310"/>
      <c r="J800" s="302"/>
    </row>
    <row r="801" spans="1:10" ht="21.2" customHeight="1" x14ac:dyDescent="0.25">
      <c r="A801" s="409" t="s">
        <v>246</v>
      </c>
      <c r="B801" s="453">
        <v>906</v>
      </c>
      <c r="C801" s="406" t="s">
        <v>187</v>
      </c>
      <c r="D801" s="406" t="s">
        <v>187</v>
      </c>
      <c r="E801" s="406"/>
      <c r="F801" s="406"/>
      <c r="G801" s="438">
        <f t="shared" ref="G801:H805" si="70">G802</f>
        <v>7678.5</v>
      </c>
      <c r="H801" s="438">
        <f t="shared" si="70"/>
        <v>7849.6</v>
      </c>
      <c r="I801" s="310"/>
      <c r="J801" s="302"/>
    </row>
    <row r="802" spans="1:10" ht="31.5" x14ac:dyDescent="0.25">
      <c r="A802" s="409" t="s">
        <v>861</v>
      </c>
      <c r="B802" s="453">
        <v>906</v>
      </c>
      <c r="C802" s="406" t="s">
        <v>187</v>
      </c>
      <c r="D802" s="406" t="s">
        <v>187</v>
      </c>
      <c r="E802" s="406" t="s">
        <v>237</v>
      </c>
      <c r="F802" s="406"/>
      <c r="G802" s="438">
        <f t="shared" si="70"/>
        <v>7678.5</v>
      </c>
      <c r="H802" s="438">
        <f t="shared" si="70"/>
        <v>7849.6</v>
      </c>
      <c r="I802" s="310"/>
      <c r="J802" s="302"/>
    </row>
    <row r="803" spans="1:10" ht="31.5" x14ac:dyDescent="0.25">
      <c r="A803" s="409" t="s">
        <v>509</v>
      </c>
      <c r="B803" s="453">
        <v>906</v>
      </c>
      <c r="C803" s="406" t="s">
        <v>187</v>
      </c>
      <c r="D803" s="406" t="s">
        <v>187</v>
      </c>
      <c r="E803" s="406" t="s">
        <v>770</v>
      </c>
      <c r="F803" s="406"/>
      <c r="G803" s="438">
        <f t="shared" si="70"/>
        <v>7678.5</v>
      </c>
      <c r="H803" s="438">
        <f t="shared" si="70"/>
        <v>7849.6</v>
      </c>
      <c r="I803" s="310"/>
      <c r="J803" s="302"/>
    </row>
    <row r="804" spans="1:10" ht="31.5" x14ac:dyDescent="0.25">
      <c r="A804" s="393" t="s">
        <v>615</v>
      </c>
      <c r="B804" s="454">
        <v>906</v>
      </c>
      <c r="C804" s="394" t="s">
        <v>187</v>
      </c>
      <c r="D804" s="394" t="s">
        <v>187</v>
      </c>
      <c r="E804" s="394" t="s">
        <v>787</v>
      </c>
      <c r="F804" s="394"/>
      <c r="G804" s="435">
        <f t="shared" si="70"/>
        <v>7678.5</v>
      </c>
      <c r="H804" s="435">
        <f t="shared" si="70"/>
        <v>7849.6</v>
      </c>
      <c r="I804" s="310"/>
      <c r="J804" s="302"/>
    </row>
    <row r="805" spans="1:10" ht="36" customHeight="1" x14ac:dyDescent="0.25">
      <c r="A805" s="391" t="s">
        <v>191</v>
      </c>
      <c r="B805" s="454">
        <v>906</v>
      </c>
      <c r="C805" s="394" t="s">
        <v>187</v>
      </c>
      <c r="D805" s="394" t="s">
        <v>187</v>
      </c>
      <c r="E805" s="394" t="s">
        <v>787</v>
      </c>
      <c r="F805" s="394" t="s">
        <v>192</v>
      </c>
      <c r="G805" s="435">
        <f t="shared" si="70"/>
        <v>7678.5</v>
      </c>
      <c r="H805" s="435">
        <f t="shared" si="70"/>
        <v>7849.6</v>
      </c>
      <c r="I805" s="321"/>
      <c r="J805" s="302"/>
    </row>
    <row r="806" spans="1:10" ht="15.75" x14ac:dyDescent="0.25">
      <c r="A806" s="391" t="s">
        <v>193</v>
      </c>
      <c r="B806" s="454">
        <v>906</v>
      </c>
      <c r="C806" s="394" t="s">
        <v>187</v>
      </c>
      <c r="D806" s="394" t="s">
        <v>187</v>
      </c>
      <c r="E806" s="394" t="s">
        <v>787</v>
      </c>
      <c r="F806" s="394" t="s">
        <v>194</v>
      </c>
      <c r="G806" s="436">
        <f>4278.5+3400</f>
        <v>7678.5</v>
      </c>
      <c r="H806" s="436">
        <f>4449.6+3400</f>
        <v>7849.6</v>
      </c>
      <c r="I806" s="326"/>
      <c r="J806" s="302"/>
    </row>
    <row r="807" spans="1:10" ht="15.75" x14ac:dyDescent="0.25">
      <c r="A807" s="409" t="s">
        <v>201</v>
      </c>
      <c r="B807" s="453">
        <v>906</v>
      </c>
      <c r="C807" s="406" t="s">
        <v>187</v>
      </c>
      <c r="D807" s="406" t="s">
        <v>161</v>
      </c>
      <c r="E807" s="406"/>
      <c r="F807" s="406"/>
      <c r="G807" s="438">
        <f>G808+G825</f>
        <v>22178.25</v>
      </c>
      <c r="H807" s="438">
        <f>H808+H825</f>
        <v>22339.95</v>
      </c>
      <c r="I807" s="310"/>
      <c r="J807" s="302"/>
    </row>
    <row r="808" spans="1:10" ht="31.5" x14ac:dyDescent="0.25">
      <c r="A808" s="409" t="s">
        <v>486</v>
      </c>
      <c r="B808" s="453">
        <v>906</v>
      </c>
      <c r="C808" s="406" t="s">
        <v>187</v>
      </c>
      <c r="D808" s="406" t="s">
        <v>161</v>
      </c>
      <c r="E808" s="406" t="s">
        <v>432</v>
      </c>
      <c r="F808" s="406"/>
      <c r="G808" s="438">
        <f>G809</f>
        <v>21678.25</v>
      </c>
      <c r="H808" s="438">
        <f>H809</f>
        <v>21839.95</v>
      </c>
      <c r="I808" s="310"/>
      <c r="J808" s="302"/>
    </row>
    <row r="809" spans="1:10" ht="15.75" x14ac:dyDescent="0.25">
      <c r="A809" s="409" t="s">
        <v>487</v>
      </c>
      <c r="B809" s="453">
        <v>906</v>
      </c>
      <c r="C809" s="406" t="s">
        <v>187</v>
      </c>
      <c r="D809" s="406" t="s">
        <v>161</v>
      </c>
      <c r="E809" s="406" t="s">
        <v>433</v>
      </c>
      <c r="F809" s="406"/>
      <c r="G809" s="438">
        <f>G810+G822+G815</f>
        <v>21678.25</v>
      </c>
      <c r="H809" s="438">
        <f>H810+H822+H815</f>
        <v>21839.95</v>
      </c>
      <c r="I809" s="310"/>
      <c r="J809" s="302"/>
    </row>
    <row r="810" spans="1:10" ht="34.700000000000003" customHeight="1" x14ac:dyDescent="0.25">
      <c r="A810" s="391" t="s">
        <v>466</v>
      </c>
      <c r="B810" s="454">
        <v>906</v>
      </c>
      <c r="C810" s="394" t="s">
        <v>187</v>
      </c>
      <c r="D810" s="394" t="s">
        <v>161</v>
      </c>
      <c r="E810" s="394" t="s">
        <v>434</v>
      </c>
      <c r="F810" s="394"/>
      <c r="G810" s="435">
        <f>G811+G813</f>
        <v>6215.4</v>
      </c>
      <c r="H810" s="435">
        <f>H811+H813</f>
        <v>6334.1</v>
      </c>
      <c r="I810" s="310"/>
      <c r="J810" s="302"/>
    </row>
    <row r="811" spans="1:10" ht="72" customHeight="1" x14ac:dyDescent="0.25">
      <c r="A811" s="391" t="s">
        <v>119</v>
      </c>
      <c r="B811" s="454">
        <v>906</v>
      </c>
      <c r="C811" s="394" t="s">
        <v>187</v>
      </c>
      <c r="D811" s="394" t="s">
        <v>161</v>
      </c>
      <c r="E811" s="394" t="s">
        <v>434</v>
      </c>
      <c r="F811" s="394" t="s">
        <v>120</v>
      </c>
      <c r="G811" s="435">
        <f>G812</f>
        <v>5965.4</v>
      </c>
      <c r="H811" s="435">
        <f>H812</f>
        <v>6084.1</v>
      </c>
      <c r="I811" s="310"/>
      <c r="J811" s="302"/>
    </row>
    <row r="812" spans="1:10" ht="31.5" x14ac:dyDescent="0.25">
      <c r="A812" s="391" t="s">
        <v>121</v>
      </c>
      <c r="B812" s="454">
        <v>906</v>
      </c>
      <c r="C812" s="394" t="s">
        <v>187</v>
      </c>
      <c r="D812" s="394" t="s">
        <v>161</v>
      </c>
      <c r="E812" s="394" t="s">
        <v>434</v>
      </c>
      <c r="F812" s="394" t="s">
        <v>122</v>
      </c>
      <c r="G812" s="436">
        <v>5965.4</v>
      </c>
      <c r="H812" s="436">
        <v>6084.1</v>
      </c>
      <c r="I812" s="310"/>
      <c r="J812" s="302"/>
    </row>
    <row r="813" spans="1:10" ht="31.5" x14ac:dyDescent="0.25">
      <c r="A813" s="391" t="s">
        <v>123</v>
      </c>
      <c r="B813" s="454">
        <v>906</v>
      </c>
      <c r="C813" s="394" t="s">
        <v>187</v>
      </c>
      <c r="D813" s="394" t="s">
        <v>161</v>
      </c>
      <c r="E813" s="394" t="s">
        <v>434</v>
      </c>
      <c r="F813" s="394" t="s">
        <v>124</v>
      </c>
      <c r="G813" s="435">
        <f>G814</f>
        <v>250</v>
      </c>
      <c r="H813" s="435">
        <f>H814</f>
        <v>250</v>
      </c>
      <c r="I813" s="310"/>
      <c r="J813" s="302"/>
    </row>
    <row r="814" spans="1:10" ht="31.5" x14ac:dyDescent="0.25">
      <c r="A814" s="391" t="s">
        <v>125</v>
      </c>
      <c r="B814" s="454">
        <v>906</v>
      </c>
      <c r="C814" s="394" t="s">
        <v>187</v>
      </c>
      <c r="D814" s="394" t="s">
        <v>161</v>
      </c>
      <c r="E814" s="394" t="s">
        <v>434</v>
      </c>
      <c r="F814" s="394" t="s">
        <v>126</v>
      </c>
      <c r="G814" s="435">
        <v>250</v>
      </c>
      <c r="H814" s="435">
        <v>250</v>
      </c>
      <c r="I814" s="310"/>
      <c r="J814" s="302"/>
    </row>
    <row r="815" spans="1:10" ht="31.5" x14ac:dyDescent="0.25">
      <c r="A815" s="391" t="s">
        <v>415</v>
      </c>
      <c r="B815" s="454">
        <v>906</v>
      </c>
      <c r="C815" s="394" t="s">
        <v>187</v>
      </c>
      <c r="D815" s="394" t="s">
        <v>161</v>
      </c>
      <c r="E815" s="394" t="s">
        <v>435</v>
      </c>
      <c r="F815" s="394"/>
      <c r="G815" s="435">
        <f>G816+G818+G820</f>
        <v>14987.85</v>
      </c>
      <c r="H815" s="435">
        <f>H816+H818+H820</f>
        <v>14987.85</v>
      </c>
      <c r="I815" s="310"/>
      <c r="J815" s="302"/>
    </row>
    <row r="816" spans="1:10" ht="63" x14ac:dyDescent="0.25">
      <c r="A816" s="391" t="s">
        <v>119</v>
      </c>
      <c r="B816" s="454">
        <v>906</v>
      </c>
      <c r="C816" s="394" t="s">
        <v>187</v>
      </c>
      <c r="D816" s="394" t="s">
        <v>161</v>
      </c>
      <c r="E816" s="394" t="s">
        <v>435</v>
      </c>
      <c r="F816" s="394" t="s">
        <v>120</v>
      </c>
      <c r="G816" s="435">
        <f>G817</f>
        <v>13536.2</v>
      </c>
      <c r="H816" s="435">
        <f>H817</f>
        <v>13536.2</v>
      </c>
      <c r="I816" s="310"/>
      <c r="J816" s="302"/>
    </row>
    <row r="817" spans="1:10" ht="31.5" x14ac:dyDescent="0.25">
      <c r="A817" s="391" t="s">
        <v>121</v>
      </c>
      <c r="B817" s="454">
        <v>906</v>
      </c>
      <c r="C817" s="394" t="s">
        <v>187</v>
      </c>
      <c r="D817" s="394" t="s">
        <v>161</v>
      </c>
      <c r="E817" s="394" t="s">
        <v>435</v>
      </c>
      <c r="F817" s="394" t="s">
        <v>122</v>
      </c>
      <c r="G817" s="436">
        <v>13536.2</v>
      </c>
      <c r="H817" s="436">
        <v>13536.2</v>
      </c>
      <c r="I817" s="310"/>
      <c r="J817" s="302"/>
    </row>
    <row r="818" spans="1:10" ht="31.5" x14ac:dyDescent="0.25">
      <c r="A818" s="391" t="s">
        <v>123</v>
      </c>
      <c r="B818" s="454">
        <v>906</v>
      </c>
      <c r="C818" s="394" t="s">
        <v>187</v>
      </c>
      <c r="D818" s="394" t="s">
        <v>161</v>
      </c>
      <c r="E818" s="394" t="s">
        <v>435</v>
      </c>
      <c r="F818" s="394" t="s">
        <v>124</v>
      </c>
      <c r="G818" s="435">
        <f>G819</f>
        <v>1437.65</v>
      </c>
      <c r="H818" s="435">
        <f>H819</f>
        <v>1437.65</v>
      </c>
      <c r="I818" s="310"/>
      <c r="J818" s="302"/>
    </row>
    <row r="819" spans="1:10" ht="31.5" x14ac:dyDescent="0.25">
      <c r="A819" s="391" t="s">
        <v>125</v>
      </c>
      <c r="B819" s="454">
        <v>906</v>
      </c>
      <c r="C819" s="394" t="s">
        <v>187</v>
      </c>
      <c r="D819" s="394" t="s">
        <v>161</v>
      </c>
      <c r="E819" s="394" t="s">
        <v>435</v>
      </c>
      <c r="F819" s="394" t="s">
        <v>126</v>
      </c>
      <c r="G819" s="435">
        <f>1437.65</f>
        <v>1437.65</v>
      </c>
      <c r="H819" s="435">
        <f>1437.65</f>
        <v>1437.65</v>
      </c>
      <c r="I819" s="310"/>
      <c r="J819" s="302"/>
    </row>
    <row r="820" spans="1:10" ht="15.75" x14ac:dyDescent="0.25">
      <c r="A820" s="391" t="s">
        <v>127</v>
      </c>
      <c r="B820" s="454">
        <v>906</v>
      </c>
      <c r="C820" s="394" t="s">
        <v>187</v>
      </c>
      <c r="D820" s="394" t="s">
        <v>161</v>
      </c>
      <c r="E820" s="394" t="s">
        <v>435</v>
      </c>
      <c r="F820" s="394" t="s">
        <v>134</v>
      </c>
      <c r="G820" s="435">
        <f>G821</f>
        <v>14</v>
      </c>
      <c r="H820" s="435">
        <f>H821</f>
        <v>14</v>
      </c>
      <c r="I820" s="310"/>
      <c r="J820" s="302"/>
    </row>
    <row r="821" spans="1:10" ht="15.75" x14ac:dyDescent="0.25">
      <c r="A821" s="391" t="s">
        <v>280</v>
      </c>
      <c r="B821" s="454">
        <v>906</v>
      </c>
      <c r="C821" s="394" t="s">
        <v>187</v>
      </c>
      <c r="D821" s="394" t="s">
        <v>161</v>
      </c>
      <c r="E821" s="394" t="s">
        <v>435</v>
      </c>
      <c r="F821" s="394" t="s">
        <v>130</v>
      </c>
      <c r="G821" s="435">
        <v>14</v>
      </c>
      <c r="H821" s="435">
        <v>14</v>
      </c>
      <c r="I821" s="310"/>
      <c r="J821" s="302"/>
    </row>
    <row r="822" spans="1:10" ht="31.5" x14ac:dyDescent="0.25">
      <c r="A822" s="391" t="s">
        <v>414</v>
      </c>
      <c r="B822" s="454">
        <v>906</v>
      </c>
      <c r="C822" s="394" t="s">
        <v>187</v>
      </c>
      <c r="D822" s="394" t="s">
        <v>161</v>
      </c>
      <c r="E822" s="394" t="s">
        <v>436</v>
      </c>
      <c r="F822" s="394"/>
      <c r="G822" s="435">
        <f>G823</f>
        <v>475</v>
      </c>
      <c r="H822" s="435">
        <f>H823</f>
        <v>518</v>
      </c>
      <c r="I822" s="310"/>
      <c r="J822" s="302"/>
    </row>
    <row r="823" spans="1:10" ht="63" x14ac:dyDescent="0.25">
      <c r="A823" s="391" t="s">
        <v>119</v>
      </c>
      <c r="B823" s="454">
        <v>906</v>
      </c>
      <c r="C823" s="394" t="s">
        <v>187</v>
      </c>
      <c r="D823" s="394" t="s">
        <v>161</v>
      </c>
      <c r="E823" s="394" t="s">
        <v>436</v>
      </c>
      <c r="F823" s="394" t="s">
        <v>120</v>
      </c>
      <c r="G823" s="435">
        <f>G824</f>
        <v>475</v>
      </c>
      <c r="H823" s="435">
        <f>H824</f>
        <v>518</v>
      </c>
      <c r="I823" s="310"/>
      <c r="J823" s="302"/>
    </row>
    <row r="824" spans="1:10" ht="31.5" x14ac:dyDescent="0.25">
      <c r="A824" s="391" t="s">
        <v>121</v>
      </c>
      <c r="B824" s="454">
        <v>906</v>
      </c>
      <c r="C824" s="394" t="s">
        <v>187</v>
      </c>
      <c r="D824" s="394" t="s">
        <v>161</v>
      </c>
      <c r="E824" s="394" t="s">
        <v>436</v>
      </c>
      <c r="F824" s="394" t="s">
        <v>122</v>
      </c>
      <c r="G824" s="435">
        <f>43+432</f>
        <v>475</v>
      </c>
      <c r="H824" s="435">
        <f>86+432</f>
        <v>518</v>
      </c>
      <c r="I824" s="310"/>
      <c r="J824" s="302"/>
    </row>
    <row r="825" spans="1:10" ht="15.75" x14ac:dyDescent="0.25">
      <c r="A825" s="409" t="s">
        <v>133</v>
      </c>
      <c r="B825" s="453">
        <v>906</v>
      </c>
      <c r="C825" s="406" t="s">
        <v>187</v>
      </c>
      <c r="D825" s="406" t="s">
        <v>161</v>
      </c>
      <c r="E825" s="406" t="s">
        <v>440</v>
      </c>
      <c r="F825" s="406"/>
      <c r="G825" s="438">
        <f>G826+G832</f>
        <v>500</v>
      </c>
      <c r="H825" s="438">
        <f>H826+H832</f>
        <v>500</v>
      </c>
      <c r="I825" s="310"/>
      <c r="J825" s="302"/>
    </row>
    <row r="826" spans="1:10" ht="31.5" x14ac:dyDescent="0.25">
      <c r="A826" s="409" t="s">
        <v>444</v>
      </c>
      <c r="B826" s="453">
        <v>906</v>
      </c>
      <c r="C826" s="406" t="s">
        <v>187</v>
      </c>
      <c r="D826" s="406" t="s">
        <v>161</v>
      </c>
      <c r="E826" s="406" t="s">
        <v>439</v>
      </c>
      <c r="F826" s="406"/>
      <c r="G826" s="438">
        <f>G827</f>
        <v>500</v>
      </c>
      <c r="H826" s="438">
        <f>H827</f>
        <v>500</v>
      </c>
      <c r="I826" s="310"/>
      <c r="J826" s="302"/>
    </row>
    <row r="827" spans="1:10" ht="15.75" x14ac:dyDescent="0.25">
      <c r="A827" s="391" t="s">
        <v>247</v>
      </c>
      <c r="B827" s="454">
        <v>906</v>
      </c>
      <c r="C827" s="394" t="s">
        <v>187</v>
      </c>
      <c r="D827" s="394" t="s">
        <v>161</v>
      </c>
      <c r="E827" s="394" t="s">
        <v>510</v>
      </c>
      <c r="F827" s="394"/>
      <c r="G827" s="435">
        <f>G828+G830</f>
        <v>500</v>
      </c>
      <c r="H827" s="435">
        <f>H828+H830</f>
        <v>500</v>
      </c>
      <c r="I827" s="310"/>
      <c r="J827" s="302"/>
    </row>
    <row r="828" spans="1:10" ht="63" hidden="1" x14ac:dyDescent="0.25">
      <c r="A828" s="391" t="s">
        <v>119</v>
      </c>
      <c r="B828" s="454">
        <v>906</v>
      </c>
      <c r="C828" s="394" t="s">
        <v>187</v>
      </c>
      <c r="D828" s="394" t="s">
        <v>161</v>
      </c>
      <c r="E828" s="394" t="s">
        <v>510</v>
      </c>
      <c r="F828" s="394" t="s">
        <v>120</v>
      </c>
      <c r="G828" s="435">
        <f>G829</f>
        <v>0</v>
      </c>
      <c r="H828" s="435">
        <f>H829</f>
        <v>0</v>
      </c>
      <c r="I828" s="310"/>
      <c r="J828" s="302"/>
    </row>
    <row r="829" spans="1:10" ht="15.75" hidden="1" x14ac:dyDescent="0.25">
      <c r="A829" s="391" t="s">
        <v>212</v>
      </c>
      <c r="B829" s="454">
        <v>906</v>
      </c>
      <c r="C829" s="394" t="s">
        <v>187</v>
      </c>
      <c r="D829" s="394" t="s">
        <v>161</v>
      </c>
      <c r="E829" s="394" t="s">
        <v>510</v>
      </c>
      <c r="F829" s="394" t="s">
        <v>156</v>
      </c>
      <c r="G829" s="435">
        <v>0</v>
      </c>
      <c r="H829" s="435">
        <v>0</v>
      </c>
      <c r="I829" s="310"/>
      <c r="J829" s="302"/>
    </row>
    <row r="830" spans="1:10" ht="31.5" x14ac:dyDescent="0.25">
      <c r="A830" s="391" t="s">
        <v>123</v>
      </c>
      <c r="B830" s="454">
        <v>906</v>
      </c>
      <c r="C830" s="394" t="s">
        <v>187</v>
      </c>
      <c r="D830" s="394" t="s">
        <v>161</v>
      </c>
      <c r="E830" s="394" t="s">
        <v>510</v>
      </c>
      <c r="F830" s="394" t="s">
        <v>124</v>
      </c>
      <c r="G830" s="435">
        <f>G831</f>
        <v>500</v>
      </c>
      <c r="H830" s="435">
        <f>H831</f>
        <v>500</v>
      </c>
      <c r="I830" s="310"/>
      <c r="J830" s="302"/>
    </row>
    <row r="831" spans="1:10" ht="31.5" x14ac:dyDescent="0.25">
      <c r="A831" s="391" t="s">
        <v>125</v>
      </c>
      <c r="B831" s="454">
        <v>906</v>
      </c>
      <c r="C831" s="394" t="s">
        <v>187</v>
      </c>
      <c r="D831" s="394" t="s">
        <v>161</v>
      </c>
      <c r="E831" s="394" t="s">
        <v>510</v>
      </c>
      <c r="F831" s="394" t="s">
        <v>126</v>
      </c>
      <c r="G831" s="435">
        <v>500</v>
      </c>
      <c r="H831" s="435">
        <v>500</v>
      </c>
      <c r="I831" s="310"/>
      <c r="J831" s="302"/>
    </row>
    <row r="832" spans="1:10" ht="31.5" hidden="1" x14ac:dyDescent="0.25">
      <c r="A832" s="409" t="s">
        <v>498</v>
      </c>
      <c r="B832" s="453">
        <v>906</v>
      </c>
      <c r="C832" s="406" t="s">
        <v>187</v>
      </c>
      <c r="D832" s="406" t="s">
        <v>161</v>
      </c>
      <c r="E832" s="406" t="s">
        <v>483</v>
      </c>
      <c r="F832" s="406"/>
      <c r="G832" s="438">
        <f>G833+G840</f>
        <v>0</v>
      </c>
      <c r="H832" s="438">
        <f>H833+H840</f>
        <v>0</v>
      </c>
      <c r="I832" s="310"/>
      <c r="J832" s="302"/>
    </row>
    <row r="833" spans="1:10" ht="31.5" hidden="1" x14ac:dyDescent="0.25">
      <c r="A833" s="391" t="s">
        <v>635</v>
      </c>
      <c r="B833" s="454">
        <v>906</v>
      </c>
      <c r="C833" s="394" t="s">
        <v>187</v>
      </c>
      <c r="D833" s="394" t="s">
        <v>161</v>
      </c>
      <c r="E833" s="394" t="s">
        <v>484</v>
      </c>
      <c r="F833" s="394"/>
      <c r="G833" s="435">
        <f>G834+G836+G838</f>
        <v>0</v>
      </c>
      <c r="H833" s="435">
        <f>H834+H836+H838</f>
        <v>0</v>
      </c>
      <c r="I833" s="310"/>
      <c r="J833" s="302"/>
    </row>
    <row r="834" spans="1:10" ht="61.5" hidden="1" customHeight="1" x14ac:dyDescent="0.25">
      <c r="A834" s="391" t="s">
        <v>119</v>
      </c>
      <c r="B834" s="454">
        <v>906</v>
      </c>
      <c r="C834" s="394" t="s">
        <v>187</v>
      </c>
      <c r="D834" s="394" t="s">
        <v>161</v>
      </c>
      <c r="E834" s="394" t="s">
        <v>484</v>
      </c>
      <c r="F834" s="394" t="s">
        <v>120</v>
      </c>
      <c r="G834" s="435">
        <f>G835</f>
        <v>0</v>
      </c>
      <c r="H834" s="435">
        <f>H835</f>
        <v>0</v>
      </c>
      <c r="I834" s="310"/>
      <c r="J834" s="302"/>
    </row>
    <row r="835" spans="1:10" ht="15.75" hidden="1" x14ac:dyDescent="0.25">
      <c r="A835" s="391" t="s">
        <v>212</v>
      </c>
      <c r="B835" s="454">
        <v>906</v>
      </c>
      <c r="C835" s="394" t="s">
        <v>187</v>
      </c>
      <c r="D835" s="394" t="s">
        <v>161</v>
      </c>
      <c r="E835" s="394" t="s">
        <v>484</v>
      </c>
      <c r="F835" s="394" t="s">
        <v>156</v>
      </c>
      <c r="G835" s="436"/>
      <c r="H835" s="436"/>
      <c r="I835" s="310"/>
      <c r="J835" s="302"/>
    </row>
    <row r="836" spans="1:10" ht="31.5" hidden="1" x14ac:dyDescent="0.25">
      <c r="A836" s="391" t="s">
        <v>123</v>
      </c>
      <c r="B836" s="454">
        <v>906</v>
      </c>
      <c r="C836" s="394" t="s">
        <v>187</v>
      </c>
      <c r="D836" s="394" t="s">
        <v>161</v>
      </c>
      <c r="E836" s="394" t="s">
        <v>484</v>
      </c>
      <c r="F836" s="394" t="s">
        <v>124</v>
      </c>
      <c r="G836" s="435">
        <f>G837</f>
        <v>0</v>
      </c>
      <c r="H836" s="435">
        <f>H837</f>
        <v>0</v>
      </c>
      <c r="I836" s="310"/>
      <c r="J836" s="302"/>
    </row>
    <row r="837" spans="1:10" ht="33" hidden="1" customHeight="1" x14ac:dyDescent="0.25">
      <c r="A837" s="391" t="s">
        <v>125</v>
      </c>
      <c r="B837" s="454">
        <v>906</v>
      </c>
      <c r="C837" s="394" t="s">
        <v>187</v>
      </c>
      <c r="D837" s="394" t="s">
        <v>161</v>
      </c>
      <c r="E837" s="394" t="s">
        <v>484</v>
      </c>
      <c r="F837" s="394" t="s">
        <v>126</v>
      </c>
      <c r="G837" s="435"/>
      <c r="H837" s="435"/>
      <c r="I837" s="310"/>
      <c r="J837" s="302"/>
    </row>
    <row r="838" spans="1:10" ht="15.75" hidden="1" x14ac:dyDescent="0.25">
      <c r="A838" s="391" t="s">
        <v>127</v>
      </c>
      <c r="B838" s="454">
        <v>906</v>
      </c>
      <c r="C838" s="394" t="s">
        <v>187</v>
      </c>
      <c r="D838" s="394" t="s">
        <v>161</v>
      </c>
      <c r="E838" s="394" t="s">
        <v>484</v>
      </c>
      <c r="F838" s="394" t="s">
        <v>134</v>
      </c>
      <c r="G838" s="435">
        <f>G839</f>
        <v>0</v>
      </c>
      <c r="H838" s="435">
        <f>H839</f>
        <v>0</v>
      </c>
      <c r="I838" s="310"/>
      <c r="J838" s="302"/>
    </row>
    <row r="839" spans="1:10" ht="15.75" hidden="1" x14ac:dyDescent="0.25">
      <c r="A839" s="391" t="s">
        <v>280</v>
      </c>
      <c r="B839" s="454">
        <v>906</v>
      </c>
      <c r="C839" s="394" t="s">
        <v>187</v>
      </c>
      <c r="D839" s="394" t="s">
        <v>161</v>
      </c>
      <c r="E839" s="394" t="s">
        <v>484</v>
      </c>
      <c r="F839" s="394" t="s">
        <v>130</v>
      </c>
      <c r="G839" s="435"/>
      <c r="H839" s="435"/>
      <c r="I839" s="310"/>
      <c r="J839" s="302"/>
    </row>
    <row r="840" spans="1:10" ht="31.5" hidden="1" x14ac:dyDescent="0.25">
      <c r="A840" s="391" t="s">
        <v>414</v>
      </c>
      <c r="B840" s="454">
        <v>906</v>
      </c>
      <c r="C840" s="394" t="s">
        <v>187</v>
      </c>
      <c r="D840" s="394" t="s">
        <v>161</v>
      </c>
      <c r="E840" s="394" t="s">
        <v>485</v>
      </c>
      <c r="F840" s="394"/>
      <c r="G840" s="435">
        <f>G841</f>
        <v>0</v>
      </c>
      <c r="H840" s="435">
        <f>H841</f>
        <v>0</v>
      </c>
      <c r="I840" s="310"/>
      <c r="J840" s="302"/>
    </row>
    <row r="841" spans="1:10" ht="63" hidden="1" x14ac:dyDescent="0.25">
      <c r="A841" s="391" t="s">
        <v>119</v>
      </c>
      <c r="B841" s="454">
        <v>906</v>
      </c>
      <c r="C841" s="394" t="s">
        <v>187</v>
      </c>
      <c r="D841" s="394" t="s">
        <v>161</v>
      </c>
      <c r="E841" s="394" t="s">
        <v>485</v>
      </c>
      <c r="F841" s="394" t="s">
        <v>120</v>
      </c>
      <c r="G841" s="435">
        <f>G842</f>
        <v>0</v>
      </c>
      <c r="H841" s="435">
        <f>H842</f>
        <v>0</v>
      </c>
      <c r="I841" s="310"/>
      <c r="J841" s="302"/>
    </row>
    <row r="842" spans="1:10" ht="15.75" hidden="1" x14ac:dyDescent="0.25">
      <c r="A842" s="391" t="s">
        <v>212</v>
      </c>
      <c r="B842" s="454">
        <v>906</v>
      </c>
      <c r="C842" s="394" t="s">
        <v>187</v>
      </c>
      <c r="D842" s="394" t="s">
        <v>161</v>
      </c>
      <c r="E842" s="394" t="s">
        <v>485</v>
      </c>
      <c r="F842" s="394" t="s">
        <v>156</v>
      </c>
      <c r="G842" s="435"/>
      <c r="H842" s="435"/>
      <c r="I842" s="310"/>
      <c r="J842" s="302"/>
    </row>
    <row r="843" spans="1:10" ht="36.75" customHeight="1" x14ac:dyDescent="0.25">
      <c r="A843" s="453" t="s">
        <v>248</v>
      </c>
      <c r="B843" s="453">
        <v>907</v>
      </c>
      <c r="C843" s="394"/>
      <c r="D843" s="394"/>
      <c r="E843" s="394"/>
      <c r="F843" s="394"/>
      <c r="G843" s="438">
        <f>G851+G844</f>
        <v>70328.3</v>
      </c>
      <c r="H843" s="438">
        <f>H851+H844</f>
        <v>70428.3</v>
      </c>
      <c r="I843" s="310"/>
      <c r="J843" s="302"/>
    </row>
    <row r="844" spans="1:10" ht="18.75" customHeight="1" x14ac:dyDescent="0.25">
      <c r="A844" s="409" t="s">
        <v>115</v>
      </c>
      <c r="B844" s="453">
        <v>907</v>
      </c>
      <c r="C844" s="406" t="s">
        <v>116</v>
      </c>
      <c r="D844" s="406"/>
      <c r="E844" s="406"/>
      <c r="F844" s="406"/>
      <c r="G844" s="438">
        <f t="shared" ref="G844:H849" si="71">G845</f>
        <v>0</v>
      </c>
      <c r="H844" s="438">
        <f t="shared" si="71"/>
        <v>100</v>
      </c>
      <c r="I844" s="310"/>
      <c r="J844" s="302"/>
    </row>
    <row r="845" spans="1:10" ht="21.75" customHeight="1" x14ac:dyDescent="0.25">
      <c r="A845" s="405" t="s">
        <v>131</v>
      </c>
      <c r="B845" s="453">
        <v>907</v>
      </c>
      <c r="C845" s="406" t="s">
        <v>116</v>
      </c>
      <c r="D845" s="406" t="s">
        <v>132</v>
      </c>
      <c r="E845" s="406"/>
      <c r="F845" s="406"/>
      <c r="G845" s="438">
        <f t="shared" si="71"/>
        <v>0</v>
      </c>
      <c r="H845" s="438">
        <f t="shared" si="71"/>
        <v>100</v>
      </c>
      <c r="I845" s="310"/>
      <c r="J845" s="302"/>
    </row>
    <row r="846" spans="1:10" ht="36.75" customHeight="1" x14ac:dyDescent="0.25">
      <c r="A846" s="409" t="s">
        <v>862</v>
      </c>
      <c r="B846" s="453">
        <v>907</v>
      </c>
      <c r="C846" s="406" t="s">
        <v>116</v>
      </c>
      <c r="D846" s="406" t="s">
        <v>132</v>
      </c>
      <c r="E846" s="406" t="s">
        <v>209</v>
      </c>
      <c r="F846" s="406"/>
      <c r="G846" s="438">
        <f t="shared" si="71"/>
        <v>0</v>
      </c>
      <c r="H846" s="438">
        <f t="shared" si="71"/>
        <v>100</v>
      </c>
      <c r="I846" s="310"/>
      <c r="J846" s="302"/>
    </row>
    <row r="847" spans="1:10" ht="36.75" customHeight="1" x14ac:dyDescent="0.25">
      <c r="A847" s="470" t="s">
        <v>608</v>
      </c>
      <c r="B847" s="453">
        <v>907</v>
      </c>
      <c r="C847" s="406" t="s">
        <v>116</v>
      </c>
      <c r="D847" s="406" t="s">
        <v>132</v>
      </c>
      <c r="E847" s="406" t="s">
        <v>609</v>
      </c>
      <c r="F847" s="406"/>
      <c r="G847" s="438">
        <f t="shared" si="71"/>
        <v>0</v>
      </c>
      <c r="H847" s="438">
        <f t="shared" si="71"/>
        <v>100</v>
      </c>
      <c r="I847" s="310"/>
      <c r="J847" s="302"/>
    </row>
    <row r="848" spans="1:10" ht="29.85" customHeight="1" x14ac:dyDescent="0.25">
      <c r="A848" s="471" t="s">
        <v>210</v>
      </c>
      <c r="B848" s="454">
        <v>907</v>
      </c>
      <c r="C848" s="394" t="s">
        <v>116</v>
      </c>
      <c r="D848" s="394" t="s">
        <v>132</v>
      </c>
      <c r="E848" s="394" t="s">
        <v>610</v>
      </c>
      <c r="F848" s="394"/>
      <c r="G848" s="435">
        <f t="shared" si="71"/>
        <v>0</v>
      </c>
      <c r="H848" s="435">
        <f t="shared" si="71"/>
        <v>100</v>
      </c>
      <c r="I848" s="310"/>
      <c r="J848" s="302"/>
    </row>
    <row r="849" spans="1:10" ht="29.85" customHeight="1" x14ac:dyDescent="0.25">
      <c r="A849" s="391" t="s">
        <v>123</v>
      </c>
      <c r="B849" s="454">
        <v>907</v>
      </c>
      <c r="C849" s="394" t="s">
        <v>116</v>
      </c>
      <c r="D849" s="394" t="s">
        <v>132</v>
      </c>
      <c r="E849" s="394" t="s">
        <v>610</v>
      </c>
      <c r="F849" s="394" t="s">
        <v>124</v>
      </c>
      <c r="G849" s="435">
        <f t="shared" si="71"/>
        <v>0</v>
      </c>
      <c r="H849" s="435">
        <f t="shared" si="71"/>
        <v>100</v>
      </c>
      <c r="I849" s="310"/>
      <c r="J849" s="302"/>
    </row>
    <row r="850" spans="1:10" ht="36.75" customHeight="1" x14ac:dyDescent="0.25">
      <c r="A850" s="391" t="s">
        <v>125</v>
      </c>
      <c r="B850" s="454">
        <v>907</v>
      </c>
      <c r="C850" s="394" t="s">
        <v>116</v>
      </c>
      <c r="D850" s="394" t="s">
        <v>132</v>
      </c>
      <c r="E850" s="394" t="s">
        <v>610</v>
      </c>
      <c r="F850" s="394" t="s">
        <v>126</v>
      </c>
      <c r="G850" s="435">
        <v>0</v>
      </c>
      <c r="H850" s="435">
        <v>100</v>
      </c>
      <c r="I850" s="310"/>
      <c r="J850" s="302"/>
    </row>
    <row r="851" spans="1:10" ht="15.75" x14ac:dyDescent="0.25">
      <c r="A851" s="409" t="s">
        <v>250</v>
      </c>
      <c r="B851" s="453">
        <v>907</v>
      </c>
      <c r="C851" s="406" t="s">
        <v>251</v>
      </c>
      <c r="D851" s="394"/>
      <c r="E851" s="394"/>
      <c r="F851" s="394"/>
      <c r="G851" s="438">
        <f>G852+G899</f>
        <v>70328.3</v>
      </c>
      <c r="H851" s="438">
        <f>H852+H899</f>
        <v>70328.3</v>
      </c>
      <c r="I851" s="310"/>
      <c r="J851" s="302"/>
    </row>
    <row r="852" spans="1:10" ht="15.75" x14ac:dyDescent="0.25">
      <c r="A852" s="409" t="s">
        <v>252</v>
      </c>
      <c r="B852" s="453">
        <v>907</v>
      </c>
      <c r="C852" s="406" t="s">
        <v>251</v>
      </c>
      <c r="D852" s="406" t="s">
        <v>116</v>
      </c>
      <c r="E852" s="394"/>
      <c r="F852" s="394"/>
      <c r="G852" s="438">
        <f>G853+G894</f>
        <v>56655.199999999997</v>
      </c>
      <c r="H852" s="438">
        <f>H853+H894</f>
        <v>56655.199999999997</v>
      </c>
      <c r="I852" s="310"/>
      <c r="J852" s="302"/>
    </row>
    <row r="853" spans="1:10" ht="31.5" x14ac:dyDescent="0.25">
      <c r="A853" s="409" t="s">
        <v>863</v>
      </c>
      <c r="B853" s="453">
        <v>907</v>
      </c>
      <c r="C853" s="406" t="s">
        <v>251</v>
      </c>
      <c r="D853" s="406" t="s">
        <v>116</v>
      </c>
      <c r="E853" s="406" t="s">
        <v>249</v>
      </c>
      <c r="F853" s="406"/>
      <c r="G853" s="438">
        <f>G854+G858+G871+G878+G890+G882+G886</f>
        <v>56076.1</v>
      </c>
      <c r="H853" s="438">
        <f>H854+H858+H871+H878+H890+H882+H886</f>
        <v>56076.1</v>
      </c>
      <c r="I853" s="310"/>
      <c r="J853" s="302"/>
    </row>
    <row r="854" spans="1:10" ht="31.5" x14ac:dyDescent="0.25">
      <c r="A854" s="409" t="s">
        <v>505</v>
      </c>
      <c r="B854" s="453">
        <v>907</v>
      </c>
      <c r="C854" s="406" t="s">
        <v>251</v>
      </c>
      <c r="D854" s="406" t="s">
        <v>116</v>
      </c>
      <c r="E854" s="406" t="s">
        <v>788</v>
      </c>
      <c r="F854" s="406"/>
      <c r="G854" s="438">
        <f t="shared" ref="G854:H856" si="72">G855</f>
        <v>53866.2</v>
      </c>
      <c r="H854" s="438">
        <f t="shared" si="72"/>
        <v>53866.2</v>
      </c>
      <c r="I854" s="310"/>
      <c r="J854" s="302"/>
    </row>
    <row r="855" spans="1:10" ht="31.5" x14ac:dyDescent="0.25">
      <c r="A855" s="391" t="s">
        <v>253</v>
      </c>
      <c r="B855" s="454">
        <v>907</v>
      </c>
      <c r="C855" s="394" t="s">
        <v>251</v>
      </c>
      <c r="D855" s="394" t="s">
        <v>116</v>
      </c>
      <c r="E855" s="394" t="s">
        <v>789</v>
      </c>
      <c r="F855" s="394"/>
      <c r="G855" s="435">
        <f t="shared" si="72"/>
        <v>53866.2</v>
      </c>
      <c r="H855" s="435">
        <f t="shared" si="72"/>
        <v>53866.2</v>
      </c>
      <c r="I855" s="310"/>
      <c r="J855" s="302"/>
    </row>
    <row r="856" spans="1:10" ht="36" customHeight="1" x14ac:dyDescent="0.25">
      <c r="A856" s="391" t="s">
        <v>191</v>
      </c>
      <c r="B856" s="454">
        <v>907</v>
      </c>
      <c r="C856" s="394" t="s">
        <v>251</v>
      </c>
      <c r="D856" s="394" t="s">
        <v>116</v>
      </c>
      <c r="E856" s="394" t="s">
        <v>789</v>
      </c>
      <c r="F856" s="394" t="s">
        <v>192</v>
      </c>
      <c r="G856" s="435">
        <f t="shared" si="72"/>
        <v>53866.2</v>
      </c>
      <c r="H856" s="435">
        <f t="shared" si="72"/>
        <v>53866.2</v>
      </c>
      <c r="I856" s="310"/>
      <c r="J856" s="302"/>
    </row>
    <row r="857" spans="1:10" ht="15.75" x14ac:dyDescent="0.25">
      <c r="A857" s="391" t="s">
        <v>193</v>
      </c>
      <c r="B857" s="454">
        <v>907</v>
      </c>
      <c r="C857" s="394" t="s">
        <v>251</v>
      </c>
      <c r="D857" s="394" t="s">
        <v>116</v>
      </c>
      <c r="E857" s="394" t="s">
        <v>789</v>
      </c>
      <c r="F857" s="394" t="s">
        <v>194</v>
      </c>
      <c r="G857" s="436">
        <f>56866.2-1000-2000</f>
        <v>53866.2</v>
      </c>
      <c r="H857" s="436">
        <f>G857</f>
        <v>53866.2</v>
      </c>
      <c r="I857" s="310"/>
      <c r="J857" s="302"/>
    </row>
    <row r="858" spans="1:10" ht="15.75" x14ac:dyDescent="0.25">
      <c r="A858" s="409" t="s">
        <v>511</v>
      </c>
      <c r="B858" s="453">
        <v>907</v>
      </c>
      <c r="C858" s="406" t="s">
        <v>251</v>
      </c>
      <c r="D858" s="406" t="s">
        <v>116</v>
      </c>
      <c r="E858" s="406" t="s">
        <v>790</v>
      </c>
      <c r="F858" s="406"/>
      <c r="G858" s="442">
        <f>G859+G862+G865+G868</f>
        <v>36</v>
      </c>
      <c r="H858" s="442">
        <f>H859+H862+H865+H868</f>
        <v>36</v>
      </c>
      <c r="I858" s="310"/>
      <c r="J858" s="302"/>
    </row>
    <row r="859" spans="1:10" ht="31.7" hidden="1" customHeight="1" x14ac:dyDescent="0.25">
      <c r="A859" s="391" t="s">
        <v>195</v>
      </c>
      <c r="B859" s="454">
        <v>907</v>
      </c>
      <c r="C859" s="394" t="s">
        <v>251</v>
      </c>
      <c r="D859" s="394" t="s">
        <v>116</v>
      </c>
      <c r="E859" s="394" t="s">
        <v>832</v>
      </c>
      <c r="F859" s="394"/>
      <c r="G859" s="435">
        <f>G860</f>
        <v>0</v>
      </c>
      <c r="H859" s="435">
        <f>H860</f>
        <v>0</v>
      </c>
      <c r="I859" s="310"/>
      <c r="J859" s="302"/>
    </row>
    <row r="860" spans="1:10" ht="31.7" hidden="1" customHeight="1" x14ac:dyDescent="0.25">
      <c r="A860" s="391" t="s">
        <v>191</v>
      </c>
      <c r="B860" s="454">
        <v>907</v>
      </c>
      <c r="C860" s="394" t="s">
        <v>251</v>
      </c>
      <c r="D860" s="394" t="s">
        <v>116</v>
      </c>
      <c r="E860" s="394" t="s">
        <v>832</v>
      </c>
      <c r="F860" s="394" t="s">
        <v>192</v>
      </c>
      <c r="G860" s="435">
        <f>G861</f>
        <v>0</v>
      </c>
      <c r="H860" s="435">
        <f>H861</f>
        <v>0</v>
      </c>
      <c r="I860" s="310"/>
      <c r="J860" s="302"/>
    </row>
    <row r="861" spans="1:10" ht="15.6" hidden="1" customHeight="1" x14ac:dyDescent="0.25">
      <c r="A861" s="391" t="s">
        <v>193</v>
      </c>
      <c r="B861" s="454">
        <v>907</v>
      </c>
      <c r="C861" s="394" t="s">
        <v>251</v>
      </c>
      <c r="D861" s="394" t="s">
        <v>116</v>
      </c>
      <c r="E861" s="394" t="s">
        <v>832</v>
      </c>
      <c r="F861" s="394" t="s">
        <v>194</v>
      </c>
      <c r="G861" s="435"/>
      <c r="H861" s="435"/>
      <c r="I861" s="310"/>
      <c r="J861" s="302"/>
    </row>
    <row r="862" spans="1:10" ht="33" hidden="1" customHeight="1" x14ac:dyDescent="0.25">
      <c r="A862" s="391" t="s">
        <v>196</v>
      </c>
      <c r="B862" s="454">
        <v>907</v>
      </c>
      <c r="C862" s="394" t="s">
        <v>251</v>
      </c>
      <c r="D862" s="394" t="s">
        <v>116</v>
      </c>
      <c r="E862" s="394" t="s">
        <v>833</v>
      </c>
      <c r="F862" s="394"/>
      <c r="G862" s="435">
        <f>G863</f>
        <v>0</v>
      </c>
      <c r="H862" s="435">
        <f>H863</f>
        <v>0</v>
      </c>
      <c r="I862" s="310"/>
      <c r="J862" s="302"/>
    </row>
    <row r="863" spans="1:10" ht="37.5" hidden="1" customHeight="1" x14ac:dyDescent="0.25">
      <c r="A863" s="391" t="s">
        <v>191</v>
      </c>
      <c r="B863" s="454">
        <v>907</v>
      </c>
      <c r="C863" s="394" t="s">
        <v>251</v>
      </c>
      <c r="D863" s="394" t="s">
        <v>116</v>
      </c>
      <c r="E863" s="394" t="s">
        <v>833</v>
      </c>
      <c r="F863" s="394" t="s">
        <v>192</v>
      </c>
      <c r="G863" s="435">
        <f>G864</f>
        <v>0</v>
      </c>
      <c r="H863" s="435">
        <f>H864</f>
        <v>0</v>
      </c>
      <c r="I863" s="310"/>
      <c r="J863" s="302"/>
    </row>
    <row r="864" spans="1:10" ht="15.75" hidden="1" customHeight="1" x14ac:dyDescent="0.25">
      <c r="A864" s="391" t="s">
        <v>193</v>
      </c>
      <c r="B864" s="454">
        <v>907</v>
      </c>
      <c r="C864" s="394" t="s">
        <v>251</v>
      </c>
      <c r="D864" s="394" t="s">
        <v>116</v>
      </c>
      <c r="E864" s="394" t="s">
        <v>833</v>
      </c>
      <c r="F864" s="394" t="s">
        <v>194</v>
      </c>
      <c r="G864" s="435"/>
      <c r="H864" s="435"/>
      <c r="I864" s="310"/>
      <c r="J864" s="302"/>
    </row>
    <row r="865" spans="1:10" ht="15.75" customHeight="1" x14ac:dyDescent="0.25">
      <c r="A865" s="391" t="s">
        <v>405</v>
      </c>
      <c r="B865" s="454">
        <v>907</v>
      </c>
      <c r="C865" s="394" t="s">
        <v>251</v>
      </c>
      <c r="D865" s="394" t="s">
        <v>116</v>
      </c>
      <c r="E865" s="394" t="s">
        <v>791</v>
      </c>
      <c r="F865" s="394"/>
      <c r="G865" s="435">
        <f>G866</f>
        <v>36</v>
      </c>
      <c r="H865" s="435">
        <f>H866</f>
        <v>36</v>
      </c>
      <c r="I865" s="310"/>
      <c r="J865" s="302"/>
    </row>
    <row r="866" spans="1:10" ht="41.25" customHeight="1" x14ac:dyDescent="0.25">
      <c r="A866" s="391" t="s">
        <v>191</v>
      </c>
      <c r="B866" s="454">
        <v>907</v>
      </c>
      <c r="C866" s="394" t="s">
        <v>251</v>
      </c>
      <c r="D866" s="394" t="s">
        <v>116</v>
      </c>
      <c r="E866" s="394" t="s">
        <v>791</v>
      </c>
      <c r="F866" s="394" t="s">
        <v>192</v>
      </c>
      <c r="G866" s="435">
        <f>G867</f>
        <v>36</v>
      </c>
      <c r="H866" s="435">
        <f>H867</f>
        <v>36</v>
      </c>
      <c r="I866" s="310"/>
      <c r="J866" s="302"/>
    </row>
    <row r="867" spans="1:10" ht="15.75" customHeight="1" x14ac:dyDescent="0.25">
      <c r="A867" s="391" t="s">
        <v>193</v>
      </c>
      <c r="B867" s="454">
        <v>907</v>
      </c>
      <c r="C867" s="394" t="s">
        <v>251</v>
      </c>
      <c r="D867" s="394" t="s">
        <v>116</v>
      </c>
      <c r="E867" s="394" t="s">
        <v>791</v>
      </c>
      <c r="F867" s="394" t="s">
        <v>194</v>
      </c>
      <c r="G867" s="435">
        <v>36</v>
      </c>
      <c r="H867" s="435">
        <v>36</v>
      </c>
      <c r="I867" s="310"/>
      <c r="J867" s="302"/>
    </row>
    <row r="868" spans="1:10" ht="33.75" hidden="1" customHeight="1" x14ac:dyDescent="0.25">
      <c r="A868" s="391" t="s">
        <v>199</v>
      </c>
      <c r="B868" s="454">
        <v>907</v>
      </c>
      <c r="C868" s="394" t="s">
        <v>251</v>
      </c>
      <c r="D868" s="394" t="s">
        <v>116</v>
      </c>
      <c r="E868" s="394" t="s">
        <v>1089</v>
      </c>
      <c r="F868" s="394"/>
      <c r="G868" s="435">
        <f>G870</f>
        <v>0</v>
      </c>
      <c r="H868" s="435">
        <f>H870</f>
        <v>0</v>
      </c>
      <c r="I868" s="310"/>
      <c r="J868" s="302"/>
    </row>
    <row r="869" spans="1:10" ht="15.75" hidden="1" customHeight="1" x14ac:dyDescent="0.25">
      <c r="A869" s="391" t="s">
        <v>191</v>
      </c>
      <c r="B869" s="454">
        <v>907</v>
      </c>
      <c r="C869" s="394" t="s">
        <v>251</v>
      </c>
      <c r="D869" s="394" t="s">
        <v>116</v>
      </c>
      <c r="E869" s="394" t="s">
        <v>1089</v>
      </c>
      <c r="F869" s="394" t="s">
        <v>192</v>
      </c>
      <c r="G869" s="435">
        <f>G870</f>
        <v>0</v>
      </c>
      <c r="H869" s="435">
        <f>H870</f>
        <v>0</v>
      </c>
      <c r="I869" s="310"/>
      <c r="J869" s="302"/>
    </row>
    <row r="870" spans="1:10" ht="15.75" hidden="1" customHeight="1" x14ac:dyDescent="0.25">
      <c r="A870" s="391" t="s">
        <v>193</v>
      </c>
      <c r="B870" s="454">
        <v>907</v>
      </c>
      <c r="C870" s="394" t="s">
        <v>251</v>
      </c>
      <c r="D870" s="394" t="s">
        <v>116</v>
      </c>
      <c r="E870" s="394" t="s">
        <v>1089</v>
      </c>
      <c r="F870" s="394" t="s">
        <v>194</v>
      </c>
      <c r="G870" s="435"/>
      <c r="H870" s="435"/>
      <c r="I870" s="310"/>
      <c r="J870" s="302"/>
    </row>
    <row r="871" spans="1:10" ht="35.450000000000003" customHeight="1" x14ac:dyDescent="0.25">
      <c r="A871" s="409" t="s">
        <v>512</v>
      </c>
      <c r="B871" s="453">
        <v>907</v>
      </c>
      <c r="C871" s="406" t="s">
        <v>251</v>
      </c>
      <c r="D871" s="406" t="s">
        <v>116</v>
      </c>
      <c r="E871" s="406" t="s">
        <v>792</v>
      </c>
      <c r="F871" s="406"/>
      <c r="G871" s="438">
        <f>G872+G875</f>
        <v>1290</v>
      </c>
      <c r="H871" s="438">
        <f>H872+H875</f>
        <v>1290</v>
      </c>
      <c r="I871" s="310"/>
      <c r="J871" s="302"/>
    </row>
    <row r="872" spans="1:10" ht="33.75" hidden="1" customHeight="1" x14ac:dyDescent="0.25">
      <c r="A872" s="391" t="s">
        <v>367</v>
      </c>
      <c r="B872" s="454">
        <v>907</v>
      </c>
      <c r="C872" s="394" t="s">
        <v>251</v>
      </c>
      <c r="D872" s="394" t="s">
        <v>116</v>
      </c>
      <c r="E872" s="394" t="s">
        <v>820</v>
      </c>
      <c r="F872" s="394"/>
      <c r="G872" s="435">
        <f>G873</f>
        <v>0</v>
      </c>
      <c r="H872" s="435">
        <f>H873</f>
        <v>0</v>
      </c>
      <c r="I872" s="310"/>
      <c r="J872" s="302"/>
    </row>
    <row r="873" spans="1:10" ht="31.5" hidden="1" x14ac:dyDescent="0.25">
      <c r="A873" s="391" t="s">
        <v>191</v>
      </c>
      <c r="B873" s="454">
        <v>907</v>
      </c>
      <c r="C873" s="394" t="s">
        <v>251</v>
      </c>
      <c r="D873" s="394" t="s">
        <v>116</v>
      </c>
      <c r="E873" s="394" t="s">
        <v>820</v>
      </c>
      <c r="F873" s="394" t="s">
        <v>192</v>
      </c>
      <c r="G873" s="435">
        <f>G874</f>
        <v>0</v>
      </c>
      <c r="H873" s="435">
        <f>H874</f>
        <v>0</v>
      </c>
      <c r="I873" s="310"/>
      <c r="J873" s="302"/>
    </row>
    <row r="874" spans="1:10" ht="15.75" hidden="1" customHeight="1" x14ac:dyDescent="0.25">
      <c r="A874" s="391" t="s">
        <v>193</v>
      </c>
      <c r="B874" s="454">
        <v>907</v>
      </c>
      <c r="C874" s="394" t="s">
        <v>251</v>
      </c>
      <c r="D874" s="394" t="s">
        <v>116</v>
      </c>
      <c r="E874" s="394" t="s">
        <v>820</v>
      </c>
      <c r="F874" s="394" t="s">
        <v>194</v>
      </c>
      <c r="G874" s="435"/>
      <c r="H874" s="435"/>
      <c r="I874" s="310"/>
      <c r="J874" s="302"/>
    </row>
    <row r="875" spans="1:10" ht="34.5" customHeight="1" x14ac:dyDescent="0.25">
      <c r="A875" s="398" t="s">
        <v>342</v>
      </c>
      <c r="B875" s="454">
        <v>907</v>
      </c>
      <c r="C875" s="394" t="s">
        <v>251</v>
      </c>
      <c r="D875" s="394" t="s">
        <v>116</v>
      </c>
      <c r="E875" s="394" t="s">
        <v>793</v>
      </c>
      <c r="F875" s="394"/>
      <c r="G875" s="435">
        <f>G876</f>
        <v>1290</v>
      </c>
      <c r="H875" s="435">
        <f>H876</f>
        <v>1290</v>
      </c>
      <c r="I875" s="310"/>
      <c r="J875" s="302"/>
    </row>
    <row r="876" spans="1:10" ht="33" customHeight="1" x14ac:dyDescent="0.25">
      <c r="A876" s="393" t="s">
        <v>191</v>
      </c>
      <c r="B876" s="454">
        <v>907</v>
      </c>
      <c r="C876" s="394" t="s">
        <v>251</v>
      </c>
      <c r="D876" s="394" t="s">
        <v>116</v>
      </c>
      <c r="E876" s="394" t="s">
        <v>793</v>
      </c>
      <c r="F876" s="394" t="s">
        <v>192</v>
      </c>
      <c r="G876" s="435">
        <f>G877</f>
        <v>1290</v>
      </c>
      <c r="H876" s="435">
        <f>H877</f>
        <v>1290</v>
      </c>
      <c r="I876" s="310"/>
      <c r="J876" s="302"/>
    </row>
    <row r="877" spans="1:10" ht="15.75" customHeight="1" x14ac:dyDescent="0.25">
      <c r="A877" s="393" t="s">
        <v>193</v>
      </c>
      <c r="B877" s="454">
        <v>907</v>
      </c>
      <c r="C877" s="394" t="s">
        <v>251</v>
      </c>
      <c r="D877" s="394" t="s">
        <v>116</v>
      </c>
      <c r="E877" s="394" t="s">
        <v>793</v>
      </c>
      <c r="F877" s="394" t="s">
        <v>194</v>
      </c>
      <c r="G877" s="435">
        <f>1204+86</f>
        <v>1290</v>
      </c>
      <c r="H877" s="435">
        <f>1204+86</f>
        <v>1290</v>
      </c>
      <c r="I877" s="310"/>
      <c r="J877" s="302"/>
    </row>
    <row r="878" spans="1:10" ht="40.700000000000003" customHeight="1" x14ac:dyDescent="0.25">
      <c r="A878" s="409" t="s">
        <v>469</v>
      </c>
      <c r="B878" s="453">
        <v>907</v>
      </c>
      <c r="C878" s="406" t="s">
        <v>251</v>
      </c>
      <c r="D878" s="406" t="s">
        <v>116</v>
      </c>
      <c r="E878" s="406" t="s">
        <v>794</v>
      </c>
      <c r="F878" s="406"/>
      <c r="G878" s="438">
        <f t="shared" ref="G878:H880" si="73">G879</f>
        <v>883.9</v>
      </c>
      <c r="H878" s="438">
        <f t="shared" si="73"/>
        <v>883.9</v>
      </c>
      <c r="I878" s="310"/>
      <c r="J878" s="302"/>
    </row>
    <row r="879" spans="1:10" ht="78.75" x14ac:dyDescent="0.25">
      <c r="A879" s="393" t="s">
        <v>245</v>
      </c>
      <c r="B879" s="454">
        <v>907</v>
      </c>
      <c r="C879" s="394" t="s">
        <v>251</v>
      </c>
      <c r="D879" s="394" t="s">
        <v>116</v>
      </c>
      <c r="E879" s="394" t="s">
        <v>897</v>
      </c>
      <c r="F879" s="394"/>
      <c r="G879" s="435">
        <f t="shared" si="73"/>
        <v>883.9</v>
      </c>
      <c r="H879" s="435">
        <f t="shared" si="73"/>
        <v>883.9</v>
      </c>
      <c r="I879" s="310"/>
      <c r="J879" s="302"/>
    </row>
    <row r="880" spans="1:10" ht="31.5" x14ac:dyDescent="0.25">
      <c r="A880" s="391" t="s">
        <v>191</v>
      </c>
      <c r="B880" s="454">
        <v>907</v>
      </c>
      <c r="C880" s="394" t="s">
        <v>251</v>
      </c>
      <c r="D880" s="394" t="s">
        <v>116</v>
      </c>
      <c r="E880" s="394" t="s">
        <v>897</v>
      </c>
      <c r="F880" s="394" t="s">
        <v>192</v>
      </c>
      <c r="G880" s="435">
        <f t="shared" si="73"/>
        <v>883.9</v>
      </c>
      <c r="H880" s="435">
        <f t="shared" si="73"/>
        <v>883.9</v>
      </c>
      <c r="I880" s="310"/>
      <c r="J880" s="302"/>
    </row>
    <row r="881" spans="1:12" ht="15.75" x14ac:dyDescent="0.25">
      <c r="A881" s="391" t="s">
        <v>193</v>
      </c>
      <c r="B881" s="454">
        <v>907</v>
      </c>
      <c r="C881" s="394" t="s">
        <v>251</v>
      </c>
      <c r="D881" s="394" t="s">
        <v>116</v>
      </c>
      <c r="E881" s="394" t="s">
        <v>897</v>
      </c>
      <c r="F881" s="394" t="s">
        <v>194</v>
      </c>
      <c r="G881" s="435">
        <v>883.9</v>
      </c>
      <c r="H881" s="435">
        <v>883.9</v>
      </c>
      <c r="I881" s="310"/>
      <c r="J881" s="302"/>
    </row>
    <row r="882" spans="1:12" ht="47.25" hidden="1" customHeight="1" x14ac:dyDescent="0.25">
      <c r="A882" s="409" t="s">
        <v>1070</v>
      </c>
      <c r="B882" s="453">
        <v>907</v>
      </c>
      <c r="C882" s="406" t="s">
        <v>251</v>
      </c>
      <c r="D882" s="406" t="s">
        <v>116</v>
      </c>
      <c r="E882" s="406" t="s">
        <v>1068</v>
      </c>
      <c r="F882" s="406"/>
      <c r="G882" s="438">
        <f t="shared" ref="G882:H883" si="74">G883</f>
        <v>0</v>
      </c>
      <c r="H882" s="438">
        <f t="shared" si="74"/>
        <v>0</v>
      </c>
      <c r="I882" s="310"/>
      <c r="J882" s="302"/>
    </row>
    <row r="883" spans="1:12" ht="31.5" hidden="1" x14ac:dyDescent="0.25">
      <c r="A883" s="393" t="s">
        <v>1071</v>
      </c>
      <c r="B883" s="454">
        <v>907</v>
      </c>
      <c r="C883" s="394" t="s">
        <v>251</v>
      </c>
      <c r="D883" s="394" t="s">
        <v>116</v>
      </c>
      <c r="E883" s="394" t="s">
        <v>1069</v>
      </c>
      <c r="F883" s="394"/>
      <c r="G883" s="435">
        <f t="shared" si="74"/>
        <v>0</v>
      </c>
      <c r="H883" s="435">
        <f t="shared" si="74"/>
        <v>0</v>
      </c>
      <c r="I883" s="310"/>
      <c r="J883" s="302"/>
    </row>
    <row r="884" spans="1:12" ht="31.5" hidden="1" x14ac:dyDescent="0.25">
      <c r="A884" s="391" t="s">
        <v>191</v>
      </c>
      <c r="B884" s="454">
        <v>907</v>
      </c>
      <c r="C884" s="394" t="s">
        <v>251</v>
      </c>
      <c r="D884" s="394" t="s">
        <v>116</v>
      </c>
      <c r="E884" s="394" t="s">
        <v>1069</v>
      </c>
      <c r="F884" s="394" t="s">
        <v>192</v>
      </c>
      <c r="G884" s="435">
        <f>G885</f>
        <v>0</v>
      </c>
      <c r="H884" s="435">
        <f>H885</f>
        <v>0</v>
      </c>
      <c r="I884" s="310"/>
      <c r="J884" s="302"/>
    </row>
    <row r="885" spans="1:12" ht="15.75" hidden="1" x14ac:dyDescent="0.25">
      <c r="A885" s="391" t="s">
        <v>193</v>
      </c>
      <c r="B885" s="454">
        <v>907</v>
      </c>
      <c r="C885" s="394" t="s">
        <v>251</v>
      </c>
      <c r="D885" s="394" t="s">
        <v>116</v>
      </c>
      <c r="E885" s="394" t="s">
        <v>1069</v>
      </c>
      <c r="F885" s="394" t="s">
        <v>194</v>
      </c>
      <c r="G885" s="435"/>
      <c r="H885" s="435"/>
      <c r="I885" s="310"/>
      <c r="J885" s="302"/>
    </row>
    <row r="886" spans="1:12" ht="31.5" hidden="1" x14ac:dyDescent="0.25">
      <c r="A886" s="462" t="s">
        <v>1139</v>
      </c>
      <c r="B886" s="453">
        <v>907</v>
      </c>
      <c r="C886" s="406" t="s">
        <v>251</v>
      </c>
      <c r="D886" s="406" t="s">
        <v>116</v>
      </c>
      <c r="E886" s="406" t="s">
        <v>1140</v>
      </c>
      <c r="F886" s="406"/>
      <c r="G886" s="438">
        <f t="shared" ref="G886:H888" si="75">G887</f>
        <v>0</v>
      </c>
      <c r="H886" s="438">
        <f t="shared" si="75"/>
        <v>0</v>
      </c>
      <c r="I886" s="310"/>
      <c r="J886" s="302"/>
    </row>
    <row r="887" spans="1:12" ht="31.5" hidden="1" x14ac:dyDescent="0.25">
      <c r="A887" s="458" t="s">
        <v>1142</v>
      </c>
      <c r="B887" s="454">
        <v>907</v>
      </c>
      <c r="C887" s="394" t="s">
        <v>251</v>
      </c>
      <c r="D887" s="394" t="s">
        <v>116</v>
      </c>
      <c r="E887" s="394" t="s">
        <v>1141</v>
      </c>
      <c r="F887" s="394"/>
      <c r="G887" s="435">
        <f t="shared" si="75"/>
        <v>0</v>
      </c>
      <c r="H887" s="435">
        <f t="shared" si="75"/>
        <v>0</v>
      </c>
      <c r="I887" s="310"/>
      <c r="J887" s="302"/>
    </row>
    <row r="888" spans="1:12" ht="31.5" hidden="1" x14ac:dyDescent="0.25">
      <c r="A888" s="391" t="s">
        <v>191</v>
      </c>
      <c r="B888" s="454">
        <v>907</v>
      </c>
      <c r="C888" s="394" t="s">
        <v>251</v>
      </c>
      <c r="D888" s="394" t="s">
        <v>116</v>
      </c>
      <c r="E888" s="394" t="s">
        <v>1141</v>
      </c>
      <c r="F888" s="394" t="s">
        <v>192</v>
      </c>
      <c r="G888" s="435">
        <f t="shared" si="75"/>
        <v>0</v>
      </c>
      <c r="H888" s="435">
        <f t="shared" si="75"/>
        <v>0</v>
      </c>
      <c r="I888" s="310"/>
      <c r="J888" s="302"/>
    </row>
    <row r="889" spans="1:12" ht="15.75" hidden="1" x14ac:dyDescent="0.25">
      <c r="A889" s="391" t="s">
        <v>193</v>
      </c>
      <c r="B889" s="454">
        <v>907</v>
      </c>
      <c r="C889" s="394" t="s">
        <v>251</v>
      </c>
      <c r="D889" s="394" t="s">
        <v>116</v>
      </c>
      <c r="E889" s="394" t="s">
        <v>1141</v>
      </c>
      <c r="F889" s="394" t="s">
        <v>194</v>
      </c>
      <c r="G889" s="435"/>
      <c r="H889" s="435"/>
      <c r="I889" s="310"/>
      <c r="J889" s="302"/>
    </row>
    <row r="890" spans="1:12" ht="47.25" hidden="1" x14ac:dyDescent="0.25">
      <c r="A890" s="409" t="s">
        <v>838</v>
      </c>
      <c r="B890" s="453">
        <v>907</v>
      </c>
      <c r="C890" s="406" t="s">
        <v>251</v>
      </c>
      <c r="D890" s="406" t="s">
        <v>116</v>
      </c>
      <c r="E890" s="406" t="s">
        <v>795</v>
      </c>
      <c r="F890" s="406"/>
      <c r="G890" s="438">
        <f t="shared" ref="G890:H892" si="76">G891</f>
        <v>0</v>
      </c>
      <c r="H890" s="438">
        <f t="shared" si="76"/>
        <v>0</v>
      </c>
      <c r="I890" s="310"/>
      <c r="J890" s="302"/>
    </row>
    <row r="891" spans="1:12" s="131" customFormat="1" ht="47.25" hidden="1" x14ac:dyDescent="0.25">
      <c r="A891" s="391" t="s">
        <v>731</v>
      </c>
      <c r="B891" s="454">
        <v>907</v>
      </c>
      <c r="C891" s="394" t="s">
        <v>251</v>
      </c>
      <c r="D891" s="394" t="s">
        <v>116</v>
      </c>
      <c r="E891" s="394" t="s">
        <v>834</v>
      </c>
      <c r="F891" s="394"/>
      <c r="G891" s="435">
        <f t="shared" si="76"/>
        <v>0</v>
      </c>
      <c r="H891" s="435">
        <f t="shared" si="76"/>
        <v>0</v>
      </c>
      <c r="I891" s="313"/>
      <c r="J891" s="75"/>
    </row>
    <row r="892" spans="1:12" s="131" customFormat="1" ht="31.5" hidden="1" x14ac:dyDescent="0.25">
      <c r="A892" s="391" t="s">
        <v>191</v>
      </c>
      <c r="B892" s="454">
        <v>907</v>
      </c>
      <c r="C892" s="394" t="s">
        <v>251</v>
      </c>
      <c r="D892" s="394" t="s">
        <v>116</v>
      </c>
      <c r="E892" s="394" t="s">
        <v>834</v>
      </c>
      <c r="F892" s="394" t="s">
        <v>192</v>
      </c>
      <c r="G892" s="435">
        <f t="shared" si="76"/>
        <v>0</v>
      </c>
      <c r="H892" s="435">
        <f t="shared" si="76"/>
        <v>0</v>
      </c>
      <c r="I892" s="313"/>
      <c r="J892" s="75"/>
    </row>
    <row r="893" spans="1:12" s="131" customFormat="1" ht="15.75" hidden="1" x14ac:dyDescent="0.25">
      <c r="A893" s="391" t="s">
        <v>193</v>
      </c>
      <c r="B893" s="454">
        <v>907</v>
      </c>
      <c r="C893" s="394" t="s">
        <v>251</v>
      </c>
      <c r="D893" s="394" t="s">
        <v>116</v>
      </c>
      <c r="E893" s="394" t="s">
        <v>834</v>
      </c>
      <c r="F893" s="394" t="s">
        <v>194</v>
      </c>
      <c r="G893" s="435"/>
      <c r="H893" s="435"/>
      <c r="I893" s="313"/>
      <c r="J893" s="75"/>
      <c r="L893" s="75"/>
    </row>
    <row r="894" spans="1:12" ht="47.25" x14ac:dyDescent="0.25">
      <c r="A894" s="462" t="s">
        <v>845</v>
      </c>
      <c r="B894" s="453">
        <v>907</v>
      </c>
      <c r="C894" s="406" t="s">
        <v>251</v>
      </c>
      <c r="D894" s="406" t="s">
        <v>116</v>
      </c>
      <c r="E894" s="406" t="s">
        <v>339</v>
      </c>
      <c r="F894" s="463"/>
      <c r="G894" s="438">
        <f t="shared" ref="G894:H897" si="77">G895</f>
        <v>579.1</v>
      </c>
      <c r="H894" s="438">
        <f t="shared" si="77"/>
        <v>579.1</v>
      </c>
      <c r="I894" s="310"/>
      <c r="J894" s="302"/>
    </row>
    <row r="895" spans="1:12" ht="47.25" x14ac:dyDescent="0.25">
      <c r="A895" s="462" t="s">
        <v>461</v>
      </c>
      <c r="B895" s="453">
        <v>907</v>
      </c>
      <c r="C895" s="406" t="s">
        <v>251</v>
      </c>
      <c r="D895" s="406" t="s">
        <v>116</v>
      </c>
      <c r="E895" s="406" t="s">
        <v>459</v>
      </c>
      <c r="F895" s="463"/>
      <c r="G895" s="438">
        <f t="shared" si="77"/>
        <v>579.1</v>
      </c>
      <c r="H895" s="438">
        <f t="shared" si="77"/>
        <v>579.1</v>
      </c>
      <c r="I895" s="310"/>
      <c r="J895" s="302"/>
    </row>
    <row r="896" spans="1:12" ht="39.200000000000003" customHeight="1" x14ac:dyDescent="0.25">
      <c r="A896" s="465" t="s">
        <v>357</v>
      </c>
      <c r="B896" s="454">
        <v>907</v>
      </c>
      <c r="C896" s="394" t="s">
        <v>251</v>
      </c>
      <c r="D896" s="394" t="s">
        <v>116</v>
      </c>
      <c r="E896" s="394" t="s">
        <v>504</v>
      </c>
      <c r="F896" s="466"/>
      <c r="G896" s="435">
        <f t="shared" si="77"/>
        <v>579.1</v>
      </c>
      <c r="H896" s="435">
        <f t="shared" si="77"/>
        <v>579.1</v>
      </c>
      <c r="I896" s="310"/>
      <c r="J896" s="302"/>
    </row>
    <row r="897" spans="1:10" ht="31.5" x14ac:dyDescent="0.25">
      <c r="A897" s="458" t="s">
        <v>191</v>
      </c>
      <c r="B897" s="454">
        <v>907</v>
      </c>
      <c r="C897" s="394" t="s">
        <v>251</v>
      </c>
      <c r="D897" s="394" t="s">
        <v>116</v>
      </c>
      <c r="E897" s="394" t="s">
        <v>504</v>
      </c>
      <c r="F897" s="466" t="s">
        <v>192</v>
      </c>
      <c r="G897" s="435">
        <f t="shared" si="77"/>
        <v>579.1</v>
      </c>
      <c r="H897" s="435">
        <f t="shared" si="77"/>
        <v>579.1</v>
      </c>
      <c r="I897" s="310"/>
      <c r="J897" s="302"/>
    </row>
    <row r="898" spans="1:10" ht="15.75" x14ac:dyDescent="0.25">
      <c r="A898" s="487" t="s">
        <v>193</v>
      </c>
      <c r="B898" s="454">
        <v>907</v>
      </c>
      <c r="C898" s="394" t="s">
        <v>251</v>
      </c>
      <c r="D898" s="394" t="s">
        <v>116</v>
      </c>
      <c r="E898" s="394" t="s">
        <v>504</v>
      </c>
      <c r="F898" s="466" t="s">
        <v>194</v>
      </c>
      <c r="G898" s="435">
        <v>579.1</v>
      </c>
      <c r="H898" s="435">
        <v>579.1</v>
      </c>
      <c r="I898" s="310"/>
      <c r="J898" s="302"/>
    </row>
    <row r="899" spans="1:10" ht="19.5" customHeight="1" x14ac:dyDescent="0.25">
      <c r="A899" s="409" t="s">
        <v>254</v>
      </c>
      <c r="B899" s="453">
        <v>907</v>
      </c>
      <c r="C899" s="406" t="s">
        <v>251</v>
      </c>
      <c r="D899" s="406" t="s">
        <v>168</v>
      </c>
      <c r="E899" s="406"/>
      <c r="F899" s="406"/>
      <c r="G899" s="438">
        <f>G900+G915+G927</f>
        <v>13673.1</v>
      </c>
      <c r="H899" s="438">
        <f>H900+H915+H927</f>
        <v>13673.1</v>
      </c>
      <c r="I899" s="310"/>
      <c r="J899" s="302"/>
    </row>
    <row r="900" spans="1:10" ht="31.5" x14ac:dyDescent="0.25">
      <c r="A900" s="409" t="s">
        <v>486</v>
      </c>
      <c r="B900" s="453">
        <v>907</v>
      </c>
      <c r="C900" s="406" t="s">
        <v>251</v>
      </c>
      <c r="D900" s="406" t="s">
        <v>168</v>
      </c>
      <c r="E900" s="406" t="s">
        <v>432</v>
      </c>
      <c r="F900" s="406"/>
      <c r="G900" s="438">
        <f>G901</f>
        <v>10973.1</v>
      </c>
      <c r="H900" s="438">
        <f>H901</f>
        <v>10973.1</v>
      </c>
      <c r="I900" s="310"/>
      <c r="J900" s="302"/>
    </row>
    <row r="901" spans="1:10" ht="15.75" x14ac:dyDescent="0.25">
      <c r="A901" s="409" t="s">
        <v>487</v>
      </c>
      <c r="B901" s="453">
        <v>907</v>
      </c>
      <c r="C901" s="406" t="s">
        <v>251</v>
      </c>
      <c r="D901" s="406" t="s">
        <v>168</v>
      </c>
      <c r="E901" s="406" t="s">
        <v>433</v>
      </c>
      <c r="F901" s="406"/>
      <c r="G901" s="438">
        <f>G902+G912+G905</f>
        <v>10973.1</v>
      </c>
      <c r="H901" s="438">
        <f>H902+H912+H905</f>
        <v>10973.1</v>
      </c>
      <c r="I901" s="310"/>
      <c r="J901" s="302"/>
    </row>
    <row r="902" spans="1:10" ht="28.15" customHeight="1" x14ac:dyDescent="0.25">
      <c r="A902" s="391" t="s">
        <v>466</v>
      </c>
      <c r="B902" s="454">
        <v>907</v>
      </c>
      <c r="C902" s="394" t="s">
        <v>251</v>
      </c>
      <c r="D902" s="394" t="s">
        <v>168</v>
      </c>
      <c r="E902" s="394" t="s">
        <v>434</v>
      </c>
      <c r="F902" s="394"/>
      <c r="G902" s="435">
        <f>G903</f>
        <v>5113.3</v>
      </c>
      <c r="H902" s="435">
        <f>H903</f>
        <v>5113.3</v>
      </c>
      <c r="I902" s="310"/>
      <c r="J902" s="302"/>
    </row>
    <row r="903" spans="1:10" ht="64.5" customHeight="1" x14ac:dyDescent="0.25">
      <c r="A903" s="391" t="s">
        <v>119</v>
      </c>
      <c r="B903" s="454">
        <v>907</v>
      </c>
      <c r="C903" s="394" t="s">
        <v>251</v>
      </c>
      <c r="D903" s="394" t="s">
        <v>168</v>
      </c>
      <c r="E903" s="394" t="s">
        <v>434</v>
      </c>
      <c r="F903" s="394" t="s">
        <v>120</v>
      </c>
      <c r="G903" s="435">
        <f>G904</f>
        <v>5113.3</v>
      </c>
      <c r="H903" s="435">
        <f>H904</f>
        <v>5113.3</v>
      </c>
      <c r="I903" s="310"/>
      <c r="J903" s="302"/>
    </row>
    <row r="904" spans="1:10" ht="31.5" x14ac:dyDescent="0.25">
      <c r="A904" s="391" t="s">
        <v>121</v>
      </c>
      <c r="B904" s="454">
        <v>907</v>
      </c>
      <c r="C904" s="394" t="s">
        <v>251</v>
      </c>
      <c r="D904" s="394" t="s">
        <v>168</v>
      </c>
      <c r="E904" s="394" t="s">
        <v>434</v>
      </c>
      <c r="F904" s="394" t="s">
        <v>122</v>
      </c>
      <c r="G904" s="436">
        <v>5113.3</v>
      </c>
      <c r="H904" s="436">
        <f>G904</f>
        <v>5113.3</v>
      </c>
      <c r="I904" s="310"/>
      <c r="J904" s="302"/>
    </row>
    <row r="905" spans="1:10" ht="31.5" x14ac:dyDescent="0.25">
      <c r="A905" s="391" t="s">
        <v>415</v>
      </c>
      <c r="B905" s="454">
        <v>907</v>
      </c>
      <c r="C905" s="394" t="s">
        <v>251</v>
      </c>
      <c r="D905" s="394" t="s">
        <v>168</v>
      </c>
      <c r="E905" s="394" t="s">
        <v>435</v>
      </c>
      <c r="F905" s="394"/>
      <c r="G905" s="436">
        <f>G906+G908+G910</f>
        <v>5214.8</v>
      </c>
      <c r="H905" s="436">
        <f>H906+H908+H910</f>
        <v>5214.8</v>
      </c>
      <c r="I905" s="310"/>
      <c r="J905" s="302"/>
    </row>
    <row r="906" spans="1:10" ht="63" x14ac:dyDescent="0.25">
      <c r="A906" s="391" t="s">
        <v>119</v>
      </c>
      <c r="B906" s="454">
        <v>907</v>
      </c>
      <c r="C906" s="394" t="s">
        <v>251</v>
      </c>
      <c r="D906" s="394" t="s">
        <v>168</v>
      </c>
      <c r="E906" s="394" t="s">
        <v>435</v>
      </c>
      <c r="F906" s="394" t="s">
        <v>120</v>
      </c>
      <c r="G906" s="436">
        <f>G907</f>
        <v>4888.5</v>
      </c>
      <c r="H906" s="436">
        <f>H907</f>
        <v>4888.5</v>
      </c>
      <c r="I906" s="310"/>
      <c r="J906" s="302"/>
    </row>
    <row r="907" spans="1:10" ht="31.5" x14ac:dyDescent="0.25">
      <c r="A907" s="391" t="s">
        <v>121</v>
      </c>
      <c r="B907" s="454">
        <v>907</v>
      </c>
      <c r="C907" s="394" t="s">
        <v>251</v>
      </c>
      <c r="D907" s="394" t="s">
        <v>168</v>
      </c>
      <c r="E907" s="394" t="s">
        <v>435</v>
      </c>
      <c r="F907" s="394" t="s">
        <v>122</v>
      </c>
      <c r="G907" s="436">
        <v>4888.5</v>
      </c>
      <c r="H907" s="436">
        <f>G907</f>
        <v>4888.5</v>
      </c>
      <c r="I907" s="310"/>
      <c r="J907" s="302"/>
    </row>
    <row r="908" spans="1:10" ht="31.5" x14ac:dyDescent="0.25">
      <c r="A908" s="391" t="s">
        <v>123</v>
      </c>
      <c r="B908" s="454">
        <v>907</v>
      </c>
      <c r="C908" s="394" t="s">
        <v>251</v>
      </c>
      <c r="D908" s="394" t="s">
        <v>168</v>
      </c>
      <c r="E908" s="394" t="s">
        <v>435</v>
      </c>
      <c r="F908" s="394" t="s">
        <v>124</v>
      </c>
      <c r="G908" s="436">
        <f>G909</f>
        <v>275.3</v>
      </c>
      <c r="H908" s="436">
        <f>H909</f>
        <v>275.3</v>
      </c>
      <c r="I908" s="310"/>
      <c r="J908" s="302"/>
    </row>
    <row r="909" spans="1:10" ht="31.5" x14ac:dyDescent="0.25">
      <c r="A909" s="391" t="s">
        <v>125</v>
      </c>
      <c r="B909" s="454">
        <v>907</v>
      </c>
      <c r="C909" s="394" t="s">
        <v>251</v>
      </c>
      <c r="D909" s="394" t="s">
        <v>168</v>
      </c>
      <c r="E909" s="394" t="s">
        <v>435</v>
      </c>
      <c r="F909" s="394" t="s">
        <v>126</v>
      </c>
      <c r="G909" s="436">
        <f>275.3</f>
        <v>275.3</v>
      </c>
      <c r="H909" s="436">
        <f>275.3</f>
        <v>275.3</v>
      </c>
      <c r="I909" s="310"/>
      <c r="J909" s="302"/>
    </row>
    <row r="910" spans="1:10" ht="15.75" x14ac:dyDescent="0.25">
      <c r="A910" s="391" t="s">
        <v>127</v>
      </c>
      <c r="B910" s="454">
        <v>907</v>
      </c>
      <c r="C910" s="394" t="s">
        <v>251</v>
      </c>
      <c r="D910" s="394" t="s">
        <v>168</v>
      </c>
      <c r="E910" s="394" t="s">
        <v>435</v>
      </c>
      <c r="F910" s="394" t="s">
        <v>134</v>
      </c>
      <c r="G910" s="436">
        <f>G911</f>
        <v>51</v>
      </c>
      <c r="H910" s="436">
        <f>H911</f>
        <v>51</v>
      </c>
      <c r="I910" s="310"/>
      <c r="J910" s="302"/>
    </row>
    <row r="911" spans="1:10" ht="15.75" x14ac:dyDescent="0.25">
      <c r="A911" s="391" t="s">
        <v>280</v>
      </c>
      <c r="B911" s="454">
        <v>907</v>
      </c>
      <c r="C911" s="394" t="s">
        <v>251</v>
      </c>
      <c r="D911" s="394" t="s">
        <v>168</v>
      </c>
      <c r="E911" s="394" t="s">
        <v>435</v>
      </c>
      <c r="F911" s="394" t="s">
        <v>130</v>
      </c>
      <c r="G911" s="435">
        <f>27.1+24.1-0.2</f>
        <v>51</v>
      </c>
      <c r="H911" s="435">
        <f>27.1+24.1-0.2</f>
        <v>51</v>
      </c>
      <c r="I911" s="310"/>
      <c r="J911" s="302"/>
    </row>
    <row r="912" spans="1:10" ht="36.75" customHeight="1" x14ac:dyDescent="0.25">
      <c r="A912" s="391" t="s">
        <v>414</v>
      </c>
      <c r="B912" s="454">
        <v>907</v>
      </c>
      <c r="C912" s="394" t="s">
        <v>251</v>
      </c>
      <c r="D912" s="394" t="s">
        <v>168</v>
      </c>
      <c r="E912" s="394" t="s">
        <v>436</v>
      </c>
      <c r="F912" s="394"/>
      <c r="G912" s="435">
        <f>G913</f>
        <v>645</v>
      </c>
      <c r="H912" s="435">
        <f>H913</f>
        <v>645</v>
      </c>
      <c r="I912" s="310"/>
      <c r="J912" s="302"/>
    </row>
    <row r="913" spans="1:10" ht="47.25" customHeight="1" x14ac:dyDescent="0.25">
      <c r="A913" s="391" t="s">
        <v>119</v>
      </c>
      <c r="B913" s="454">
        <v>907</v>
      </c>
      <c r="C913" s="394" t="s">
        <v>251</v>
      </c>
      <c r="D913" s="394" t="s">
        <v>168</v>
      </c>
      <c r="E913" s="394" t="s">
        <v>436</v>
      </c>
      <c r="F913" s="394" t="s">
        <v>120</v>
      </c>
      <c r="G913" s="435">
        <f>G914</f>
        <v>645</v>
      </c>
      <c r="H913" s="435">
        <f>H914</f>
        <v>645</v>
      </c>
      <c r="I913" s="310"/>
      <c r="J913" s="302"/>
    </row>
    <row r="914" spans="1:10" ht="34.5" customHeight="1" x14ac:dyDescent="0.25">
      <c r="A914" s="391" t="s">
        <v>121</v>
      </c>
      <c r="B914" s="454">
        <v>907</v>
      </c>
      <c r="C914" s="394" t="s">
        <v>251</v>
      </c>
      <c r="D914" s="394" t="s">
        <v>168</v>
      </c>
      <c r="E914" s="394" t="s">
        <v>436</v>
      </c>
      <c r="F914" s="394" t="s">
        <v>122</v>
      </c>
      <c r="G914" s="435">
        <f>258+387</f>
        <v>645</v>
      </c>
      <c r="H914" s="435">
        <f>258+387</f>
        <v>645</v>
      </c>
      <c r="I914" s="310"/>
      <c r="J914" s="302"/>
    </row>
    <row r="915" spans="1:10" ht="15.75" hidden="1" x14ac:dyDescent="0.25">
      <c r="A915" s="409" t="s">
        <v>133</v>
      </c>
      <c r="B915" s="453">
        <v>907</v>
      </c>
      <c r="C915" s="406" t="s">
        <v>251</v>
      </c>
      <c r="D915" s="406" t="s">
        <v>168</v>
      </c>
      <c r="E915" s="406" t="s">
        <v>440</v>
      </c>
      <c r="F915" s="406"/>
      <c r="G915" s="438">
        <f>G916</f>
        <v>0</v>
      </c>
      <c r="H915" s="438">
        <f>H916</f>
        <v>0</v>
      </c>
      <c r="I915" s="310"/>
      <c r="J915" s="302"/>
    </row>
    <row r="916" spans="1:10" ht="31.5" hidden="1" x14ac:dyDescent="0.25">
      <c r="A916" s="409" t="s">
        <v>498</v>
      </c>
      <c r="B916" s="453">
        <v>907</v>
      </c>
      <c r="C916" s="406" t="s">
        <v>251</v>
      </c>
      <c r="D916" s="406" t="s">
        <v>168</v>
      </c>
      <c r="E916" s="406" t="s">
        <v>483</v>
      </c>
      <c r="F916" s="406"/>
      <c r="G916" s="438">
        <f>G917+G924</f>
        <v>0</v>
      </c>
      <c r="H916" s="438">
        <f>H917+H924</f>
        <v>0</v>
      </c>
      <c r="I916" s="310"/>
      <c r="J916" s="302"/>
    </row>
    <row r="917" spans="1:10" ht="31.5" hidden="1" x14ac:dyDescent="0.25">
      <c r="A917" s="391" t="s">
        <v>472</v>
      </c>
      <c r="B917" s="454">
        <v>907</v>
      </c>
      <c r="C917" s="394" t="s">
        <v>251</v>
      </c>
      <c r="D917" s="394" t="s">
        <v>168</v>
      </c>
      <c r="E917" s="394" t="s">
        <v>484</v>
      </c>
      <c r="F917" s="394"/>
      <c r="G917" s="435">
        <f>G918+G920+G922</f>
        <v>0</v>
      </c>
      <c r="H917" s="435">
        <f>H918+H920+H922</f>
        <v>0</v>
      </c>
      <c r="I917" s="310"/>
      <c r="J917" s="302"/>
    </row>
    <row r="918" spans="1:10" ht="72.75" hidden="1" customHeight="1" x14ac:dyDescent="0.25">
      <c r="A918" s="391" t="s">
        <v>119</v>
      </c>
      <c r="B918" s="454">
        <v>907</v>
      </c>
      <c r="C918" s="394" t="s">
        <v>251</v>
      </c>
      <c r="D918" s="394" t="s">
        <v>168</v>
      </c>
      <c r="E918" s="394" t="s">
        <v>484</v>
      </c>
      <c r="F918" s="394" t="s">
        <v>120</v>
      </c>
      <c r="G918" s="435">
        <f>G919</f>
        <v>0</v>
      </c>
      <c r="H918" s="435">
        <f>H919</f>
        <v>0</v>
      </c>
      <c r="I918" s="310"/>
      <c r="J918" s="302"/>
    </row>
    <row r="919" spans="1:10" ht="25.5" hidden="1" customHeight="1" x14ac:dyDescent="0.25">
      <c r="A919" s="391" t="s">
        <v>212</v>
      </c>
      <c r="B919" s="454">
        <v>907</v>
      </c>
      <c r="C919" s="394" t="s">
        <v>251</v>
      </c>
      <c r="D919" s="394" t="s">
        <v>168</v>
      </c>
      <c r="E919" s="394" t="s">
        <v>484</v>
      </c>
      <c r="F919" s="394" t="s">
        <v>156</v>
      </c>
      <c r="G919" s="436"/>
      <c r="H919" s="436"/>
      <c r="I919" s="310"/>
      <c r="J919" s="302"/>
    </row>
    <row r="920" spans="1:10" ht="31.5" hidden="1" x14ac:dyDescent="0.25">
      <c r="A920" s="391" t="s">
        <v>123</v>
      </c>
      <c r="B920" s="454">
        <v>907</v>
      </c>
      <c r="C920" s="394" t="s">
        <v>251</v>
      </c>
      <c r="D920" s="394" t="s">
        <v>168</v>
      </c>
      <c r="E920" s="394" t="s">
        <v>484</v>
      </c>
      <c r="F920" s="394" t="s">
        <v>124</v>
      </c>
      <c r="G920" s="435">
        <f>G921</f>
        <v>0</v>
      </c>
      <c r="H920" s="435">
        <f>H921</f>
        <v>0</v>
      </c>
      <c r="I920" s="310"/>
      <c r="J920" s="302"/>
    </row>
    <row r="921" spans="1:10" ht="31.5" hidden="1" x14ac:dyDescent="0.25">
      <c r="A921" s="391" t="s">
        <v>125</v>
      </c>
      <c r="B921" s="454">
        <v>907</v>
      </c>
      <c r="C921" s="394" t="s">
        <v>251</v>
      </c>
      <c r="D921" s="394" t="s">
        <v>168</v>
      </c>
      <c r="E921" s="394" t="s">
        <v>484</v>
      </c>
      <c r="F921" s="394" t="s">
        <v>126</v>
      </c>
      <c r="G921" s="436"/>
      <c r="H921" s="436"/>
      <c r="I921" s="310"/>
      <c r="J921" s="302"/>
    </row>
    <row r="922" spans="1:10" ht="15.75" hidden="1" x14ac:dyDescent="0.25">
      <c r="A922" s="391" t="s">
        <v>127</v>
      </c>
      <c r="B922" s="454">
        <v>907</v>
      </c>
      <c r="C922" s="394" t="s">
        <v>251</v>
      </c>
      <c r="D922" s="394" t="s">
        <v>168</v>
      </c>
      <c r="E922" s="394" t="s">
        <v>484</v>
      </c>
      <c r="F922" s="394" t="s">
        <v>134</v>
      </c>
      <c r="G922" s="435">
        <f>G923</f>
        <v>0</v>
      </c>
      <c r="H922" s="435">
        <f>H923</f>
        <v>0</v>
      </c>
      <c r="I922" s="310"/>
      <c r="J922" s="302"/>
    </row>
    <row r="923" spans="1:10" ht="15.75" hidden="1" x14ac:dyDescent="0.25">
      <c r="A923" s="391" t="s">
        <v>280</v>
      </c>
      <c r="B923" s="454">
        <v>907</v>
      </c>
      <c r="C923" s="394" t="s">
        <v>251</v>
      </c>
      <c r="D923" s="394" t="s">
        <v>168</v>
      </c>
      <c r="E923" s="394" t="s">
        <v>484</v>
      </c>
      <c r="F923" s="394" t="s">
        <v>130</v>
      </c>
      <c r="G923" s="435"/>
      <c r="H923" s="435"/>
      <c r="I923" s="310"/>
      <c r="J923" s="302"/>
    </row>
    <row r="924" spans="1:10" ht="31.5" hidden="1" x14ac:dyDescent="0.25">
      <c r="A924" s="391" t="s">
        <v>414</v>
      </c>
      <c r="B924" s="454">
        <v>907</v>
      </c>
      <c r="C924" s="394" t="s">
        <v>251</v>
      </c>
      <c r="D924" s="394" t="s">
        <v>168</v>
      </c>
      <c r="E924" s="394" t="s">
        <v>485</v>
      </c>
      <c r="F924" s="394"/>
      <c r="G924" s="435">
        <f>G925</f>
        <v>0</v>
      </c>
      <c r="H924" s="435">
        <f>H925</f>
        <v>0</v>
      </c>
      <c r="I924" s="310"/>
      <c r="J924" s="302"/>
    </row>
    <row r="925" spans="1:10" ht="63" hidden="1" x14ac:dyDescent="0.25">
      <c r="A925" s="391" t="s">
        <v>119</v>
      </c>
      <c r="B925" s="454">
        <v>907</v>
      </c>
      <c r="C925" s="394" t="s">
        <v>251</v>
      </c>
      <c r="D925" s="394" t="s">
        <v>168</v>
      </c>
      <c r="E925" s="394" t="s">
        <v>485</v>
      </c>
      <c r="F925" s="394" t="s">
        <v>120</v>
      </c>
      <c r="G925" s="435">
        <f>G926</f>
        <v>0</v>
      </c>
      <c r="H925" s="435">
        <f>H926</f>
        <v>0</v>
      </c>
      <c r="I925" s="310"/>
      <c r="J925" s="302"/>
    </row>
    <row r="926" spans="1:10" ht="15.75" hidden="1" x14ac:dyDescent="0.25">
      <c r="A926" s="391" t="s">
        <v>212</v>
      </c>
      <c r="B926" s="454">
        <v>907</v>
      </c>
      <c r="C926" s="394" t="s">
        <v>251</v>
      </c>
      <c r="D926" s="394" t="s">
        <v>168</v>
      </c>
      <c r="E926" s="394" t="s">
        <v>485</v>
      </c>
      <c r="F926" s="394" t="s">
        <v>156</v>
      </c>
      <c r="G926" s="435"/>
      <c r="H926" s="435"/>
      <c r="I926" s="310"/>
      <c r="J926" s="302"/>
    </row>
    <row r="927" spans="1:10" ht="31.5" x14ac:dyDescent="0.25">
      <c r="A927" s="462" t="s">
        <v>863</v>
      </c>
      <c r="B927" s="453">
        <v>907</v>
      </c>
      <c r="C927" s="406" t="s">
        <v>251</v>
      </c>
      <c r="D927" s="406" t="s">
        <v>168</v>
      </c>
      <c r="E927" s="399" t="s">
        <v>249</v>
      </c>
      <c r="F927" s="406"/>
      <c r="G927" s="438">
        <f>G928</f>
        <v>2700</v>
      </c>
      <c r="H927" s="438">
        <f>H928</f>
        <v>2700</v>
      </c>
      <c r="I927" s="310"/>
      <c r="J927" s="302"/>
    </row>
    <row r="928" spans="1:10" ht="31.5" x14ac:dyDescent="0.25">
      <c r="A928" s="473" t="s">
        <v>514</v>
      </c>
      <c r="B928" s="453">
        <v>907</v>
      </c>
      <c r="C928" s="406" t="s">
        <v>251</v>
      </c>
      <c r="D928" s="406" t="s">
        <v>168</v>
      </c>
      <c r="E928" s="399" t="s">
        <v>796</v>
      </c>
      <c r="F928" s="406"/>
      <c r="G928" s="438">
        <f>G929</f>
        <v>2700</v>
      </c>
      <c r="H928" s="438">
        <f>H929</f>
        <v>2700</v>
      </c>
      <c r="I928" s="310"/>
      <c r="J928" s="302"/>
    </row>
    <row r="929" spans="1:10" ht="15.75" x14ac:dyDescent="0.25">
      <c r="A929" s="458" t="s">
        <v>515</v>
      </c>
      <c r="B929" s="454">
        <v>907</v>
      </c>
      <c r="C929" s="394" t="s">
        <v>251</v>
      </c>
      <c r="D929" s="394" t="s">
        <v>168</v>
      </c>
      <c r="E929" s="395" t="s">
        <v>797</v>
      </c>
      <c r="F929" s="394"/>
      <c r="G929" s="435">
        <f>G930+G932</f>
        <v>2700</v>
      </c>
      <c r="H929" s="435">
        <f>H930+H932</f>
        <v>2700</v>
      </c>
      <c r="I929" s="310"/>
      <c r="J929" s="302"/>
    </row>
    <row r="930" spans="1:10" ht="63" x14ac:dyDescent="0.25">
      <c r="A930" s="391" t="s">
        <v>119</v>
      </c>
      <c r="B930" s="454">
        <v>907</v>
      </c>
      <c r="C930" s="394" t="s">
        <v>251</v>
      </c>
      <c r="D930" s="394" t="s">
        <v>168</v>
      </c>
      <c r="E930" s="395" t="s">
        <v>797</v>
      </c>
      <c r="F930" s="394" t="s">
        <v>120</v>
      </c>
      <c r="G930" s="435">
        <f>G931</f>
        <v>2200</v>
      </c>
      <c r="H930" s="435">
        <f>H931</f>
        <v>2200</v>
      </c>
      <c r="I930" s="310"/>
      <c r="J930" s="302"/>
    </row>
    <row r="931" spans="1:10" ht="15.75" x14ac:dyDescent="0.25">
      <c r="A931" s="391" t="s">
        <v>212</v>
      </c>
      <c r="B931" s="454">
        <v>907</v>
      </c>
      <c r="C931" s="394" t="s">
        <v>251</v>
      </c>
      <c r="D931" s="394" t="s">
        <v>168</v>
      </c>
      <c r="E931" s="395" t="s">
        <v>797</v>
      </c>
      <c r="F931" s="394" t="s">
        <v>156</v>
      </c>
      <c r="G931" s="435">
        <f>2286-86</f>
        <v>2200</v>
      </c>
      <c r="H931" s="435">
        <f>2286-86</f>
        <v>2200</v>
      </c>
      <c r="I931" s="310"/>
      <c r="J931" s="302"/>
    </row>
    <row r="932" spans="1:10" ht="31.5" x14ac:dyDescent="0.25">
      <c r="A932" s="458" t="s">
        <v>123</v>
      </c>
      <c r="B932" s="454">
        <v>907</v>
      </c>
      <c r="C932" s="394" t="s">
        <v>251</v>
      </c>
      <c r="D932" s="394" t="s">
        <v>168</v>
      </c>
      <c r="E932" s="395" t="s">
        <v>797</v>
      </c>
      <c r="F932" s="394" t="s">
        <v>124</v>
      </c>
      <c r="G932" s="435">
        <f>G933</f>
        <v>500</v>
      </c>
      <c r="H932" s="435">
        <f>H933</f>
        <v>500</v>
      </c>
      <c r="I932" s="310"/>
      <c r="J932" s="302"/>
    </row>
    <row r="933" spans="1:10" ht="31.5" x14ac:dyDescent="0.25">
      <c r="A933" s="458" t="s">
        <v>125</v>
      </c>
      <c r="B933" s="454">
        <v>907</v>
      </c>
      <c r="C933" s="394" t="s">
        <v>251</v>
      </c>
      <c r="D933" s="394" t="s">
        <v>168</v>
      </c>
      <c r="E933" s="395" t="s">
        <v>797</v>
      </c>
      <c r="F933" s="394" t="s">
        <v>126</v>
      </c>
      <c r="G933" s="435">
        <f>414+86</f>
        <v>500</v>
      </c>
      <c r="H933" s="435">
        <f>414+86</f>
        <v>500</v>
      </c>
      <c r="I933" s="310"/>
      <c r="J933" s="302"/>
    </row>
    <row r="934" spans="1:10" ht="31.5" x14ac:dyDescent="0.25">
      <c r="A934" s="453" t="s">
        <v>255</v>
      </c>
      <c r="B934" s="453">
        <v>908</v>
      </c>
      <c r="C934" s="394"/>
      <c r="D934" s="394"/>
      <c r="E934" s="394"/>
      <c r="F934" s="394"/>
      <c r="G934" s="438">
        <f>G958+G974+G995+G1186+G935</f>
        <v>116514.31200000001</v>
      </c>
      <c r="H934" s="438">
        <f>H958+H974+H995+H1186+H935</f>
        <v>109263.87</v>
      </c>
      <c r="I934" s="310"/>
      <c r="J934" s="302"/>
    </row>
    <row r="935" spans="1:10" ht="15.75" x14ac:dyDescent="0.25">
      <c r="A935" s="405" t="s">
        <v>115</v>
      </c>
      <c r="B935" s="453">
        <v>908</v>
      </c>
      <c r="C935" s="406" t="s">
        <v>116</v>
      </c>
      <c r="D935" s="394"/>
      <c r="E935" s="394"/>
      <c r="F935" s="394"/>
      <c r="G935" s="438">
        <f t="shared" ref="G935:H936" si="78">G936</f>
        <v>48202.6</v>
      </c>
      <c r="H935" s="438">
        <f t="shared" si="78"/>
        <v>48025.1</v>
      </c>
      <c r="I935" s="310"/>
      <c r="J935" s="302"/>
    </row>
    <row r="936" spans="1:10" ht="15.75" x14ac:dyDescent="0.25">
      <c r="A936" s="405" t="s">
        <v>131</v>
      </c>
      <c r="B936" s="453">
        <v>908</v>
      </c>
      <c r="C936" s="406" t="s">
        <v>116</v>
      </c>
      <c r="D936" s="406" t="s">
        <v>132</v>
      </c>
      <c r="E936" s="394"/>
      <c r="F936" s="394"/>
      <c r="G936" s="438">
        <f t="shared" si="78"/>
        <v>48202.6</v>
      </c>
      <c r="H936" s="438">
        <f t="shared" si="78"/>
        <v>48025.1</v>
      </c>
      <c r="I936" s="310"/>
      <c r="J936" s="302"/>
    </row>
    <row r="937" spans="1:10" ht="21.2" customHeight="1" x14ac:dyDescent="0.25">
      <c r="A937" s="409" t="s">
        <v>133</v>
      </c>
      <c r="B937" s="453">
        <v>908</v>
      </c>
      <c r="C937" s="406" t="s">
        <v>116</v>
      </c>
      <c r="D937" s="406" t="s">
        <v>132</v>
      </c>
      <c r="E937" s="406" t="s">
        <v>440</v>
      </c>
      <c r="F937" s="406"/>
      <c r="G937" s="442">
        <f>G938+G949</f>
        <v>48202.6</v>
      </c>
      <c r="H937" s="442">
        <f>H938+H949</f>
        <v>48025.1</v>
      </c>
      <c r="I937" s="310"/>
      <c r="J937" s="302"/>
    </row>
    <row r="938" spans="1:10" ht="15.75" x14ac:dyDescent="0.25">
      <c r="A938" s="409" t="s">
        <v>517</v>
      </c>
      <c r="B938" s="453">
        <v>908</v>
      </c>
      <c r="C938" s="406" t="s">
        <v>116</v>
      </c>
      <c r="D938" s="406" t="s">
        <v>132</v>
      </c>
      <c r="E938" s="406" t="s">
        <v>516</v>
      </c>
      <c r="F938" s="406"/>
      <c r="G938" s="442">
        <f>G942+G939</f>
        <v>48202.6</v>
      </c>
      <c r="H938" s="442">
        <f>H942+H939</f>
        <v>48025.1</v>
      </c>
      <c r="I938" s="310"/>
      <c r="J938" s="302"/>
    </row>
    <row r="939" spans="1:10" ht="31.5" x14ac:dyDescent="0.25">
      <c r="A939" s="391" t="s">
        <v>414</v>
      </c>
      <c r="B939" s="454">
        <v>908</v>
      </c>
      <c r="C939" s="394" t="s">
        <v>116</v>
      </c>
      <c r="D939" s="394" t="s">
        <v>132</v>
      </c>
      <c r="E939" s="394" t="s">
        <v>519</v>
      </c>
      <c r="F939" s="394"/>
      <c r="G939" s="435">
        <f>G940</f>
        <v>1118</v>
      </c>
      <c r="H939" s="435">
        <f>H940</f>
        <v>1118</v>
      </c>
      <c r="I939" s="310"/>
      <c r="J939" s="302"/>
    </row>
    <row r="940" spans="1:10" ht="63" x14ac:dyDescent="0.25">
      <c r="A940" s="391" t="s">
        <v>119</v>
      </c>
      <c r="B940" s="454">
        <v>908</v>
      </c>
      <c r="C940" s="394" t="s">
        <v>116</v>
      </c>
      <c r="D940" s="394" t="s">
        <v>132</v>
      </c>
      <c r="E940" s="394" t="s">
        <v>519</v>
      </c>
      <c r="F940" s="394" t="s">
        <v>120</v>
      </c>
      <c r="G940" s="435">
        <f>G941</f>
        <v>1118</v>
      </c>
      <c r="H940" s="435">
        <f>H941</f>
        <v>1118</v>
      </c>
      <c r="I940" s="310"/>
      <c r="J940" s="302"/>
    </row>
    <row r="941" spans="1:10" ht="31.5" x14ac:dyDescent="0.25">
      <c r="A941" s="391" t="s">
        <v>121</v>
      </c>
      <c r="B941" s="454">
        <v>908</v>
      </c>
      <c r="C941" s="394" t="s">
        <v>116</v>
      </c>
      <c r="D941" s="394" t="s">
        <v>132</v>
      </c>
      <c r="E941" s="394" t="s">
        <v>519</v>
      </c>
      <c r="F941" s="394" t="s">
        <v>156</v>
      </c>
      <c r="G941" s="435">
        <v>1118</v>
      </c>
      <c r="H941" s="435">
        <v>1118</v>
      </c>
      <c r="I941" s="310"/>
      <c r="J941" s="302"/>
    </row>
    <row r="942" spans="1:10" ht="15.75" x14ac:dyDescent="0.25">
      <c r="A942" s="391" t="s">
        <v>377</v>
      </c>
      <c r="B942" s="454">
        <v>908</v>
      </c>
      <c r="C942" s="394" t="s">
        <v>116</v>
      </c>
      <c r="D942" s="394" t="s">
        <v>132</v>
      </c>
      <c r="E942" s="394" t="s">
        <v>518</v>
      </c>
      <c r="F942" s="394"/>
      <c r="G942" s="436">
        <f>G943+G945+G947</f>
        <v>47084.6</v>
      </c>
      <c r="H942" s="436">
        <f>H943+H945+H947</f>
        <v>46907.1</v>
      </c>
      <c r="I942" s="310"/>
      <c r="J942" s="302"/>
    </row>
    <row r="943" spans="1:10" ht="74.25" customHeight="1" x14ac:dyDescent="0.25">
      <c r="A943" s="391" t="s">
        <v>119</v>
      </c>
      <c r="B943" s="454">
        <v>908</v>
      </c>
      <c r="C943" s="394" t="s">
        <v>116</v>
      </c>
      <c r="D943" s="394" t="s">
        <v>132</v>
      </c>
      <c r="E943" s="394" t="s">
        <v>518</v>
      </c>
      <c r="F943" s="394" t="s">
        <v>120</v>
      </c>
      <c r="G943" s="436">
        <f>G944</f>
        <v>37603.599999999999</v>
      </c>
      <c r="H943" s="436">
        <f>H944</f>
        <v>37603.599999999999</v>
      </c>
      <c r="I943" s="310"/>
      <c r="J943" s="302"/>
    </row>
    <row r="944" spans="1:10" ht="15.75" x14ac:dyDescent="0.25">
      <c r="A944" s="480" t="s">
        <v>212</v>
      </c>
      <c r="B944" s="454">
        <v>908</v>
      </c>
      <c r="C944" s="394" t="s">
        <v>116</v>
      </c>
      <c r="D944" s="394" t="s">
        <v>132</v>
      </c>
      <c r="E944" s="394" t="s">
        <v>518</v>
      </c>
      <c r="F944" s="394" t="s">
        <v>156</v>
      </c>
      <c r="G944" s="436">
        <v>37603.599999999999</v>
      </c>
      <c r="H944" s="436">
        <f>G944</f>
        <v>37603.599999999999</v>
      </c>
      <c r="I944" s="310"/>
      <c r="J944" s="310"/>
    </row>
    <row r="945" spans="1:11" ht="31.5" x14ac:dyDescent="0.25">
      <c r="A945" s="391" t="s">
        <v>123</v>
      </c>
      <c r="B945" s="454">
        <v>908</v>
      </c>
      <c r="C945" s="394" t="s">
        <v>116</v>
      </c>
      <c r="D945" s="394" t="s">
        <v>132</v>
      </c>
      <c r="E945" s="394" t="s">
        <v>518</v>
      </c>
      <c r="F945" s="394" t="s">
        <v>124</v>
      </c>
      <c r="G945" s="436">
        <f>G946</f>
        <v>9059.9999999999982</v>
      </c>
      <c r="H945" s="436">
        <f>H946</f>
        <v>8882.4999999999982</v>
      </c>
      <c r="I945" s="310"/>
      <c r="J945" s="302"/>
    </row>
    <row r="946" spans="1:11" ht="31.5" x14ac:dyDescent="0.25">
      <c r="A946" s="391" t="s">
        <v>125</v>
      </c>
      <c r="B946" s="454">
        <v>908</v>
      </c>
      <c r="C946" s="394" t="s">
        <v>116</v>
      </c>
      <c r="D946" s="394" t="s">
        <v>132</v>
      </c>
      <c r="E946" s="394" t="s">
        <v>518</v>
      </c>
      <c r="F946" s="394" t="s">
        <v>126</v>
      </c>
      <c r="G946" s="436">
        <f>9244.3-207.2+22.9</f>
        <v>9059.9999999999982</v>
      </c>
      <c r="H946" s="436">
        <f>9244.3-207.2-154.6</f>
        <v>8882.4999999999982</v>
      </c>
      <c r="I946" s="318"/>
      <c r="J946" s="302"/>
      <c r="K946" s="315"/>
    </row>
    <row r="947" spans="1:11" ht="15.75" x14ac:dyDescent="0.25">
      <c r="A947" s="391" t="s">
        <v>127</v>
      </c>
      <c r="B947" s="454">
        <v>908</v>
      </c>
      <c r="C947" s="394" t="s">
        <v>116</v>
      </c>
      <c r="D947" s="394" t="s">
        <v>132</v>
      </c>
      <c r="E947" s="394" t="s">
        <v>518</v>
      </c>
      <c r="F947" s="394" t="s">
        <v>134</v>
      </c>
      <c r="G947" s="436">
        <f>G948</f>
        <v>421</v>
      </c>
      <c r="H947" s="436">
        <f>H948</f>
        <v>421</v>
      </c>
      <c r="I947" s="318"/>
      <c r="J947" s="302"/>
      <c r="K947" s="285"/>
    </row>
    <row r="948" spans="1:11" ht="15.75" x14ac:dyDescent="0.25">
      <c r="A948" s="391" t="s">
        <v>338</v>
      </c>
      <c r="B948" s="454">
        <v>908</v>
      </c>
      <c r="C948" s="394" t="s">
        <v>116</v>
      </c>
      <c r="D948" s="394" t="s">
        <v>132</v>
      </c>
      <c r="E948" s="394" t="s">
        <v>518</v>
      </c>
      <c r="F948" s="394" t="s">
        <v>130</v>
      </c>
      <c r="G948" s="436">
        <v>421</v>
      </c>
      <c r="H948" s="436">
        <v>421</v>
      </c>
      <c r="I948" s="318"/>
      <c r="J948" s="302"/>
      <c r="K948" s="285"/>
    </row>
    <row r="949" spans="1:11" ht="31.5" hidden="1" x14ac:dyDescent="0.25">
      <c r="A949" s="409" t="s">
        <v>491</v>
      </c>
      <c r="B949" s="453">
        <v>908</v>
      </c>
      <c r="C949" s="406" t="s">
        <v>116</v>
      </c>
      <c r="D949" s="406" t="s">
        <v>132</v>
      </c>
      <c r="E949" s="406" t="s">
        <v>441</v>
      </c>
      <c r="F949" s="406"/>
      <c r="G949" s="438">
        <f>G950+G955</f>
        <v>0</v>
      </c>
      <c r="H949" s="438">
        <f>H950+H955</f>
        <v>0</v>
      </c>
      <c r="I949" s="318"/>
      <c r="J949" s="302"/>
      <c r="K949" s="285"/>
    </row>
    <row r="950" spans="1:11" ht="31.5" hidden="1" x14ac:dyDescent="0.25">
      <c r="A950" s="391" t="s">
        <v>497</v>
      </c>
      <c r="B950" s="454">
        <v>908</v>
      </c>
      <c r="C950" s="394" t="s">
        <v>116</v>
      </c>
      <c r="D950" s="394" t="s">
        <v>132</v>
      </c>
      <c r="E950" s="394" t="s">
        <v>442</v>
      </c>
      <c r="F950" s="394"/>
      <c r="G950" s="435">
        <f>G951+G953</f>
        <v>0</v>
      </c>
      <c r="H950" s="435">
        <f>H951+H953</f>
        <v>0</v>
      </c>
      <c r="I950" s="318"/>
      <c r="J950" s="302"/>
      <c r="K950" s="285"/>
    </row>
    <row r="951" spans="1:11" ht="63" hidden="1" x14ac:dyDescent="0.25">
      <c r="A951" s="391" t="s">
        <v>119</v>
      </c>
      <c r="B951" s="454">
        <v>908</v>
      </c>
      <c r="C951" s="394" t="s">
        <v>116</v>
      </c>
      <c r="D951" s="394" t="s">
        <v>132</v>
      </c>
      <c r="E951" s="394" t="s">
        <v>442</v>
      </c>
      <c r="F951" s="394" t="s">
        <v>120</v>
      </c>
      <c r="G951" s="435">
        <f>G952</f>
        <v>0</v>
      </c>
      <c r="H951" s="435">
        <f>H952</f>
        <v>0</v>
      </c>
      <c r="I951" s="318"/>
      <c r="J951" s="302"/>
      <c r="K951" s="285"/>
    </row>
    <row r="952" spans="1:11" ht="15.75" hidden="1" x14ac:dyDescent="0.25">
      <c r="A952" s="480" t="s">
        <v>212</v>
      </c>
      <c r="B952" s="454">
        <v>908</v>
      </c>
      <c r="C952" s="394" t="s">
        <v>116</v>
      </c>
      <c r="D952" s="394" t="s">
        <v>132</v>
      </c>
      <c r="E952" s="394" t="s">
        <v>442</v>
      </c>
      <c r="F952" s="394" t="s">
        <v>156</v>
      </c>
      <c r="G952" s="436">
        <f>4703.3-4703.3</f>
        <v>0</v>
      </c>
      <c r="H952" s="436">
        <f>G952</f>
        <v>0</v>
      </c>
      <c r="I952" s="318"/>
      <c r="J952" s="302"/>
      <c r="K952" s="285"/>
    </row>
    <row r="953" spans="1:11" ht="31.5" hidden="1" x14ac:dyDescent="0.25">
      <c r="A953" s="391" t="s">
        <v>153</v>
      </c>
      <c r="B953" s="454">
        <v>908</v>
      </c>
      <c r="C953" s="394" t="s">
        <v>116</v>
      </c>
      <c r="D953" s="394" t="s">
        <v>132</v>
      </c>
      <c r="E953" s="394" t="s">
        <v>442</v>
      </c>
      <c r="F953" s="394" t="s">
        <v>124</v>
      </c>
      <c r="G953" s="435">
        <f>G954</f>
        <v>0</v>
      </c>
      <c r="H953" s="435">
        <f>H954</f>
        <v>0</v>
      </c>
      <c r="I953" s="318"/>
      <c r="J953" s="302"/>
      <c r="K953" s="285"/>
    </row>
    <row r="954" spans="1:11" ht="31.5" hidden="1" x14ac:dyDescent="0.25">
      <c r="A954" s="391" t="s">
        <v>125</v>
      </c>
      <c r="B954" s="454">
        <v>908</v>
      </c>
      <c r="C954" s="394" t="s">
        <v>116</v>
      </c>
      <c r="D954" s="394" t="s">
        <v>132</v>
      </c>
      <c r="E954" s="394" t="s">
        <v>442</v>
      </c>
      <c r="F954" s="394" t="s">
        <v>126</v>
      </c>
      <c r="G954" s="436">
        <f>1349.3-1349.3</f>
        <v>0</v>
      </c>
      <c r="H954" s="436">
        <f>1349.3-1349.3</f>
        <v>0</v>
      </c>
      <c r="I954" s="318"/>
      <c r="J954" s="302"/>
      <c r="K954" s="285"/>
    </row>
    <row r="955" spans="1:11" ht="31.5" hidden="1" x14ac:dyDescent="0.25">
      <c r="A955" s="391" t="s">
        <v>414</v>
      </c>
      <c r="B955" s="454">
        <v>908</v>
      </c>
      <c r="C955" s="394" t="s">
        <v>116</v>
      </c>
      <c r="D955" s="394" t="s">
        <v>132</v>
      </c>
      <c r="E955" s="394" t="s">
        <v>443</v>
      </c>
      <c r="F955" s="394"/>
      <c r="G955" s="435">
        <f>G956</f>
        <v>0</v>
      </c>
      <c r="H955" s="435">
        <f>H956</f>
        <v>0</v>
      </c>
      <c r="I955" s="318"/>
      <c r="J955" s="302"/>
      <c r="K955" s="285"/>
    </row>
    <row r="956" spans="1:11" ht="63" hidden="1" x14ac:dyDescent="0.25">
      <c r="A956" s="391" t="s">
        <v>119</v>
      </c>
      <c r="B956" s="454">
        <v>908</v>
      </c>
      <c r="C956" s="394" t="s">
        <v>116</v>
      </c>
      <c r="D956" s="394" t="s">
        <v>132</v>
      </c>
      <c r="E956" s="394" t="s">
        <v>443</v>
      </c>
      <c r="F956" s="394" t="s">
        <v>120</v>
      </c>
      <c r="G956" s="435">
        <f>G957</f>
        <v>0</v>
      </c>
      <c r="H956" s="435">
        <f>H957</f>
        <v>0</v>
      </c>
      <c r="I956" s="318"/>
      <c r="J956" s="302"/>
      <c r="K956" s="285"/>
    </row>
    <row r="957" spans="1:11" ht="15.75" hidden="1" x14ac:dyDescent="0.25">
      <c r="A957" s="480" t="s">
        <v>212</v>
      </c>
      <c r="B957" s="454">
        <v>908</v>
      </c>
      <c r="C957" s="394" t="s">
        <v>116</v>
      </c>
      <c r="D957" s="394" t="s">
        <v>132</v>
      </c>
      <c r="E957" s="394" t="s">
        <v>443</v>
      </c>
      <c r="F957" s="394" t="s">
        <v>156</v>
      </c>
      <c r="G957" s="435">
        <f>129-129</f>
        <v>0</v>
      </c>
      <c r="H957" s="435">
        <f>129-129</f>
        <v>0</v>
      </c>
      <c r="I957" s="318"/>
      <c r="J957" s="302"/>
      <c r="K957" s="285"/>
    </row>
    <row r="958" spans="1:11" ht="31.5" x14ac:dyDescent="0.25">
      <c r="A958" s="409" t="s">
        <v>163</v>
      </c>
      <c r="B958" s="453">
        <v>908</v>
      </c>
      <c r="C958" s="406" t="s">
        <v>159</v>
      </c>
      <c r="D958" s="406"/>
      <c r="E958" s="406"/>
      <c r="F958" s="406"/>
      <c r="G958" s="438">
        <f t="shared" ref="G958:H963" si="79">G959</f>
        <v>107</v>
      </c>
      <c r="H958" s="438">
        <f t="shared" si="79"/>
        <v>107</v>
      </c>
      <c r="I958" s="318"/>
      <c r="J958" s="302"/>
      <c r="K958" s="286"/>
    </row>
    <row r="959" spans="1:11" ht="47.85" customHeight="1" x14ac:dyDescent="0.25">
      <c r="A959" s="409" t="s">
        <v>849</v>
      </c>
      <c r="B959" s="453">
        <v>908</v>
      </c>
      <c r="C959" s="406" t="s">
        <v>159</v>
      </c>
      <c r="D959" s="406" t="s">
        <v>174</v>
      </c>
      <c r="E959" s="406"/>
      <c r="F959" s="406"/>
      <c r="G959" s="438">
        <f t="shared" si="79"/>
        <v>107</v>
      </c>
      <c r="H959" s="438">
        <f t="shared" si="79"/>
        <v>107</v>
      </c>
      <c r="I959" s="310"/>
      <c r="J959" s="302"/>
    </row>
    <row r="960" spans="1:11" ht="21.75" customHeight="1" x14ac:dyDescent="0.25">
      <c r="A960" s="409" t="s">
        <v>133</v>
      </c>
      <c r="B960" s="453">
        <v>908</v>
      </c>
      <c r="C960" s="406" t="s">
        <v>159</v>
      </c>
      <c r="D960" s="406" t="s">
        <v>174</v>
      </c>
      <c r="E960" s="406" t="s">
        <v>440</v>
      </c>
      <c r="F960" s="406"/>
      <c r="G960" s="438">
        <f>G961+G965</f>
        <v>107</v>
      </c>
      <c r="H960" s="438">
        <f>H961+H965</f>
        <v>107</v>
      </c>
      <c r="I960" s="310"/>
      <c r="J960" s="302"/>
    </row>
    <row r="961" spans="1:10" ht="31.5" x14ac:dyDescent="0.25">
      <c r="A961" s="409" t="s">
        <v>444</v>
      </c>
      <c r="B961" s="453">
        <v>908</v>
      </c>
      <c r="C961" s="406" t="s">
        <v>159</v>
      </c>
      <c r="D961" s="406" t="s">
        <v>174</v>
      </c>
      <c r="E961" s="406" t="s">
        <v>439</v>
      </c>
      <c r="F961" s="406"/>
      <c r="G961" s="438">
        <f t="shared" si="79"/>
        <v>107</v>
      </c>
      <c r="H961" s="438">
        <f t="shared" si="79"/>
        <v>107</v>
      </c>
      <c r="I961" s="310"/>
      <c r="J961" s="302"/>
    </row>
    <row r="962" spans="1:10" ht="15.75" x14ac:dyDescent="0.25">
      <c r="A962" s="391" t="s">
        <v>165</v>
      </c>
      <c r="B962" s="454">
        <v>908</v>
      </c>
      <c r="C962" s="394" t="s">
        <v>159</v>
      </c>
      <c r="D962" s="394" t="s">
        <v>174</v>
      </c>
      <c r="E962" s="394" t="s">
        <v>450</v>
      </c>
      <c r="F962" s="394"/>
      <c r="G962" s="435">
        <f t="shared" si="79"/>
        <v>107</v>
      </c>
      <c r="H962" s="435">
        <f t="shared" si="79"/>
        <v>107</v>
      </c>
      <c r="I962" s="310"/>
      <c r="J962" s="302"/>
    </row>
    <row r="963" spans="1:10" ht="31.5" x14ac:dyDescent="0.25">
      <c r="A963" s="391" t="s">
        <v>123</v>
      </c>
      <c r="B963" s="454">
        <v>908</v>
      </c>
      <c r="C963" s="394" t="s">
        <v>159</v>
      </c>
      <c r="D963" s="394" t="s">
        <v>174</v>
      </c>
      <c r="E963" s="394" t="s">
        <v>450</v>
      </c>
      <c r="F963" s="394" t="s">
        <v>124</v>
      </c>
      <c r="G963" s="435">
        <f t="shared" si="79"/>
        <v>107</v>
      </c>
      <c r="H963" s="435">
        <f t="shared" si="79"/>
        <v>107</v>
      </c>
      <c r="I963" s="310"/>
      <c r="J963" s="302"/>
    </row>
    <row r="964" spans="1:10" ht="31.5" x14ac:dyDescent="0.25">
      <c r="A964" s="391" t="s">
        <v>125</v>
      </c>
      <c r="B964" s="454">
        <v>908</v>
      </c>
      <c r="C964" s="394" t="s">
        <v>159</v>
      </c>
      <c r="D964" s="394" t="s">
        <v>174</v>
      </c>
      <c r="E964" s="394" t="s">
        <v>450</v>
      </c>
      <c r="F964" s="394" t="s">
        <v>126</v>
      </c>
      <c r="G964" s="435">
        <v>107</v>
      </c>
      <c r="H964" s="435">
        <v>107</v>
      </c>
      <c r="I964" s="310"/>
      <c r="J964" s="302"/>
    </row>
    <row r="965" spans="1:10" ht="31.5" hidden="1" x14ac:dyDescent="0.25">
      <c r="A965" s="409" t="s">
        <v>492</v>
      </c>
      <c r="B965" s="453">
        <v>908</v>
      </c>
      <c r="C965" s="406" t="s">
        <v>159</v>
      </c>
      <c r="D965" s="406" t="s">
        <v>174</v>
      </c>
      <c r="E965" s="406" t="s">
        <v>446</v>
      </c>
      <c r="F965" s="406"/>
      <c r="G965" s="438">
        <f>G966+G971</f>
        <v>0</v>
      </c>
      <c r="H965" s="438">
        <f>H966+H971</f>
        <v>0</v>
      </c>
      <c r="I965" s="310"/>
      <c r="J965" s="302"/>
    </row>
    <row r="966" spans="1:10" ht="31.5" hidden="1" x14ac:dyDescent="0.25">
      <c r="A966" s="391" t="s">
        <v>496</v>
      </c>
      <c r="B966" s="454">
        <v>908</v>
      </c>
      <c r="C966" s="394" t="s">
        <v>159</v>
      </c>
      <c r="D966" s="394" t="s">
        <v>174</v>
      </c>
      <c r="E966" s="394" t="s">
        <v>447</v>
      </c>
      <c r="F966" s="394"/>
      <c r="G966" s="435">
        <f>G967+G969</f>
        <v>0</v>
      </c>
      <c r="H966" s="435">
        <f>H967+H969</f>
        <v>0</v>
      </c>
      <c r="I966" s="310"/>
      <c r="J966" s="302"/>
    </row>
    <row r="967" spans="1:10" ht="63" hidden="1" x14ac:dyDescent="0.25">
      <c r="A967" s="391" t="s">
        <v>119</v>
      </c>
      <c r="B967" s="454">
        <v>908</v>
      </c>
      <c r="C967" s="394" t="s">
        <v>159</v>
      </c>
      <c r="D967" s="394" t="s">
        <v>174</v>
      </c>
      <c r="E967" s="394" t="s">
        <v>447</v>
      </c>
      <c r="F967" s="394" t="s">
        <v>120</v>
      </c>
      <c r="G967" s="435">
        <f>G968</f>
        <v>0</v>
      </c>
      <c r="H967" s="435">
        <f>H968</f>
        <v>0</v>
      </c>
      <c r="I967" s="310"/>
      <c r="J967" s="302"/>
    </row>
    <row r="968" spans="1:10" ht="15.75" hidden="1" x14ac:dyDescent="0.25">
      <c r="A968" s="391" t="s">
        <v>155</v>
      </c>
      <c r="B968" s="454">
        <v>908</v>
      </c>
      <c r="C968" s="394" t="s">
        <v>159</v>
      </c>
      <c r="D968" s="394" t="s">
        <v>174</v>
      </c>
      <c r="E968" s="394" t="s">
        <v>447</v>
      </c>
      <c r="F968" s="394" t="s">
        <v>156</v>
      </c>
      <c r="G968" s="436">
        <f>6282.4-163-6119.4</f>
        <v>0</v>
      </c>
      <c r="H968" s="436">
        <f>G968</f>
        <v>0</v>
      </c>
      <c r="I968" s="310"/>
      <c r="J968" s="302"/>
    </row>
    <row r="969" spans="1:10" ht="31.5" hidden="1" x14ac:dyDescent="0.25">
      <c r="A969" s="391" t="s">
        <v>153</v>
      </c>
      <c r="B969" s="454">
        <v>908</v>
      </c>
      <c r="C969" s="394" t="s">
        <v>159</v>
      </c>
      <c r="D969" s="394" t="s">
        <v>174</v>
      </c>
      <c r="E969" s="394" t="s">
        <v>447</v>
      </c>
      <c r="F969" s="394" t="s">
        <v>124</v>
      </c>
      <c r="G969" s="435">
        <f>G970</f>
        <v>0</v>
      </c>
      <c r="H969" s="435">
        <f>H970</f>
        <v>0</v>
      </c>
      <c r="I969" s="310"/>
      <c r="J969" s="302"/>
    </row>
    <row r="970" spans="1:10" ht="31.5" hidden="1" x14ac:dyDescent="0.25">
      <c r="A970" s="391" t="s">
        <v>125</v>
      </c>
      <c r="B970" s="454">
        <v>908</v>
      </c>
      <c r="C970" s="394" t="s">
        <v>159</v>
      </c>
      <c r="D970" s="394" t="s">
        <v>174</v>
      </c>
      <c r="E970" s="394" t="s">
        <v>447</v>
      </c>
      <c r="F970" s="394" t="s">
        <v>126</v>
      </c>
      <c r="G970" s="436">
        <f>326-326</f>
        <v>0</v>
      </c>
      <c r="H970" s="436">
        <f>326-326</f>
        <v>0</v>
      </c>
      <c r="I970" s="310"/>
      <c r="J970" s="302"/>
    </row>
    <row r="971" spans="1:10" ht="31.5" hidden="1" x14ac:dyDescent="0.25">
      <c r="A971" s="391" t="s">
        <v>414</v>
      </c>
      <c r="B971" s="454">
        <v>908</v>
      </c>
      <c r="C971" s="394" t="s">
        <v>159</v>
      </c>
      <c r="D971" s="394" t="s">
        <v>174</v>
      </c>
      <c r="E971" s="394" t="s">
        <v>448</v>
      </c>
      <c r="F971" s="394"/>
      <c r="G971" s="435">
        <f>G972</f>
        <v>0</v>
      </c>
      <c r="H971" s="435">
        <f>H972</f>
        <v>0</v>
      </c>
      <c r="I971" s="310"/>
      <c r="J971" s="302"/>
    </row>
    <row r="972" spans="1:10" ht="63" hidden="1" x14ac:dyDescent="0.25">
      <c r="A972" s="391" t="s">
        <v>119</v>
      </c>
      <c r="B972" s="454">
        <v>908</v>
      </c>
      <c r="C972" s="394" t="s">
        <v>159</v>
      </c>
      <c r="D972" s="394" t="s">
        <v>174</v>
      </c>
      <c r="E972" s="394" t="s">
        <v>448</v>
      </c>
      <c r="F972" s="394" t="s">
        <v>120</v>
      </c>
      <c r="G972" s="435">
        <f>G973</f>
        <v>0</v>
      </c>
      <c r="H972" s="435">
        <f>H973</f>
        <v>0</v>
      </c>
      <c r="I972" s="310"/>
      <c r="J972" s="302"/>
    </row>
    <row r="973" spans="1:10" ht="15.75" hidden="1" x14ac:dyDescent="0.25">
      <c r="A973" s="391" t="s">
        <v>155</v>
      </c>
      <c r="B973" s="454">
        <v>908</v>
      </c>
      <c r="C973" s="394" t="s">
        <v>159</v>
      </c>
      <c r="D973" s="394" t="s">
        <v>174</v>
      </c>
      <c r="E973" s="394" t="s">
        <v>448</v>
      </c>
      <c r="F973" s="394" t="s">
        <v>156</v>
      </c>
      <c r="G973" s="435">
        <f>258-258</f>
        <v>0</v>
      </c>
      <c r="H973" s="435">
        <f>258-258</f>
        <v>0</v>
      </c>
      <c r="I973" s="310"/>
      <c r="J973" s="302"/>
    </row>
    <row r="974" spans="1:10" ht="15.75" x14ac:dyDescent="0.25">
      <c r="A974" s="409" t="s">
        <v>166</v>
      </c>
      <c r="B974" s="453">
        <v>908</v>
      </c>
      <c r="C974" s="406" t="s">
        <v>139</v>
      </c>
      <c r="D974" s="406"/>
      <c r="E974" s="406"/>
      <c r="F974" s="406"/>
      <c r="G974" s="438">
        <f>G975+G981</f>
        <v>6306.7</v>
      </c>
      <c r="H974" s="438">
        <f>H975+H981</f>
        <v>6484.2</v>
      </c>
      <c r="I974" s="310"/>
      <c r="J974" s="302"/>
    </row>
    <row r="975" spans="1:10" ht="15.75" x14ac:dyDescent="0.25">
      <c r="A975" s="409" t="s">
        <v>256</v>
      </c>
      <c r="B975" s="453">
        <v>908</v>
      </c>
      <c r="C975" s="406" t="s">
        <v>139</v>
      </c>
      <c r="D975" s="406" t="s">
        <v>203</v>
      </c>
      <c r="E975" s="406"/>
      <c r="F975" s="406"/>
      <c r="G975" s="438">
        <f t="shared" ref="G975:H979" si="80">G976</f>
        <v>3258</v>
      </c>
      <c r="H975" s="438">
        <f t="shared" si="80"/>
        <v>3258</v>
      </c>
      <c r="I975" s="310"/>
      <c r="J975" s="302"/>
    </row>
    <row r="976" spans="1:10" ht="15.75" x14ac:dyDescent="0.25">
      <c r="A976" s="409" t="s">
        <v>133</v>
      </c>
      <c r="B976" s="453">
        <v>908</v>
      </c>
      <c r="C976" s="406" t="s">
        <v>139</v>
      </c>
      <c r="D976" s="406" t="s">
        <v>203</v>
      </c>
      <c r="E976" s="406" t="s">
        <v>440</v>
      </c>
      <c r="F976" s="406"/>
      <c r="G976" s="438">
        <f t="shared" si="80"/>
        <v>3258</v>
      </c>
      <c r="H976" s="438">
        <f t="shared" si="80"/>
        <v>3258</v>
      </c>
      <c r="I976" s="310"/>
      <c r="J976" s="302"/>
    </row>
    <row r="977" spans="1:10" ht="31.5" x14ac:dyDescent="0.25">
      <c r="A977" s="409" t="s">
        <v>444</v>
      </c>
      <c r="B977" s="453">
        <v>908</v>
      </c>
      <c r="C977" s="406" t="s">
        <v>139</v>
      </c>
      <c r="D977" s="406" t="s">
        <v>203</v>
      </c>
      <c r="E977" s="406" t="s">
        <v>439</v>
      </c>
      <c r="F977" s="406"/>
      <c r="G977" s="438">
        <f t="shared" si="80"/>
        <v>3258</v>
      </c>
      <c r="H977" s="438">
        <f t="shared" si="80"/>
        <v>3258</v>
      </c>
      <c r="I977" s="310"/>
      <c r="J977" s="302"/>
    </row>
    <row r="978" spans="1:10" ht="18" customHeight="1" x14ac:dyDescent="0.25">
      <c r="A978" s="391" t="s">
        <v>257</v>
      </c>
      <c r="B978" s="454">
        <v>908</v>
      </c>
      <c r="C978" s="394" t="s">
        <v>139</v>
      </c>
      <c r="D978" s="394" t="s">
        <v>203</v>
      </c>
      <c r="E978" s="394" t="s">
        <v>520</v>
      </c>
      <c r="F978" s="394"/>
      <c r="G978" s="435">
        <f t="shared" si="80"/>
        <v>3258</v>
      </c>
      <c r="H978" s="435">
        <f t="shared" si="80"/>
        <v>3258</v>
      </c>
      <c r="I978" s="310"/>
      <c r="J978" s="302"/>
    </row>
    <row r="979" spans="1:10" ht="31.5" x14ac:dyDescent="0.25">
      <c r="A979" s="391" t="s">
        <v>123</v>
      </c>
      <c r="B979" s="454">
        <v>908</v>
      </c>
      <c r="C979" s="394" t="s">
        <v>139</v>
      </c>
      <c r="D979" s="394" t="s">
        <v>203</v>
      </c>
      <c r="E979" s="394" t="s">
        <v>520</v>
      </c>
      <c r="F979" s="394" t="s">
        <v>124</v>
      </c>
      <c r="G979" s="435">
        <f t="shared" si="80"/>
        <v>3258</v>
      </c>
      <c r="H979" s="435">
        <f t="shared" si="80"/>
        <v>3258</v>
      </c>
      <c r="I979" s="310"/>
      <c r="J979" s="302"/>
    </row>
    <row r="980" spans="1:10" ht="31.5" x14ac:dyDescent="0.25">
      <c r="A980" s="391" t="s">
        <v>125</v>
      </c>
      <c r="B980" s="454">
        <v>908</v>
      </c>
      <c r="C980" s="394" t="s">
        <v>139</v>
      </c>
      <c r="D980" s="394" t="s">
        <v>203</v>
      </c>
      <c r="E980" s="394" t="s">
        <v>520</v>
      </c>
      <c r="F980" s="394" t="s">
        <v>126</v>
      </c>
      <c r="G980" s="435">
        <v>3258</v>
      </c>
      <c r="H980" s="435">
        <v>3258</v>
      </c>
      <c r="I980" s="310"/>
      <c r="J980" s="302"/>
    </row>
    <row r="981" spans="1:10" ht="15.75" x14ac:dyDescent="0.25">
      <c r="A981" s="409" t="s">
        <v>258</v>
      </c>
      <c r="B981" s="453">
        <v>908</v>
      </c>
      <c r="C981" s="406" t="s">
        <v>139</v>
      </c>
      <c r="D981" s="406" t="s">
        <v>161</v>
      </c>
      <c r="E981" s="394"/>
      <c r="F981" s="406"/>
      <c r="G981" s="438">
        <f>G982</f>
        <v>3048.7</v>
      </c>
      <c r="H981" s="438">
        <f>H982</f>
        <v>3226.2</v>
      </c>
      <c r="I981" s="310"/>
      <c r="J981" s="302"/>
    </row>
    <row r="982" spans="1:10" ht="36.75" customHeight="1" x14ac:dyDescent="0.25">
      <c r="A982" s="405" t="s">
        <v>864</v>
      </c>
      <c r="B982" s="453">
        <v>908</v>
      </c>
      <c r="C982" s="406" t="s">
        <v>139</v>
      </c>
      <c r="D982" s="406" t="s">
        <v>161</v>
      </c>
      <c r="E982" s="406" t="s">
        <v>259</v>
      </c>
      <c r="F982" s="406"/>
      <c r="G982" s="438">
        <f>G988+G983</f>
        <v>3048.7</v>
      </c>
      <c r="H982" s="438">
        <f>H988+H983</f>
        <v>3226.2</v>
      </c>
      <c r="I982" s="310"/>
      <c r="J982" s="302"/>
    </row>
    <row r="983" spans="1:10" ht="31.5" hidden="1" x14ac:dyDescent="0.25">
      <c r="A983" s="405" t="s">
        <v>560</v>
      </c>
      <c r="B983" s="453">
        <v>908</v>
      </c>
      <c r="C983" s="406" t="s">
        <v>139</v>
      </c>
      <c r="D983" s="406" t="s">
        <v>161</v>
      </c>
      <c r="E983" s="399" t="s">
        <v>521</v>
      </c>
      <c r="F983" s="406"/>
      <c r="G983" s="438">
        <f t="shared" ref="G983:H985" si="81">G984</f>
        <v>0</v>
      </c>
      <c r="H983" s="438">
        <f t="shared" si="81"/>
        <v>0</v>
      </c>
      <c r="I983" s="310"/>
      <c r="J983" s="302"/>
    </row>
    <row r="984" spans="1:10" ht="15.75" hidden="1" x14ac:dyDescent="0.25">
      <c r="A984" s="458" t="s">
        <v>562</v>
      </c>
      <c r="B984" s="454">
        <v>908</v>
      </c>
      <c r="C984" s="394" t="s">
        <v>139</v>
      </c>
      <c r="D984" s="394" t="s">
        <v>161</v>
      </c>
      <c r="E984" s="395" t="s">
        <v>561</v>
      </c>
      <c r="F984" s="394"/>
      <c r="G984" s="435">
        <f t="shared" si="81"/>
        <v>0</v>
      </c>
      <c r="H984" s="435">
        <f t="shared" si="81"/>
        <v>0</v>
      </c>
      <c r="I984" s="310"/>
      <c r="J984" s="302"/>
    </row>
    <row r="985" spans="1:10" ht="31.5" hidden="1" x14ac:dyDescent="0.25">
      <c r="A985" s="391" t="s">
        <v>123</v>
      </c>
      <c r="B985" s="454">
        <v>908</v>
      </c>
      <c r="C985" s="394" t="s">
        <v>139</v>
      </c>
      <c r="D985" s="394" t="s">
        <v>161</v>
      </c>
      <c r="E985" s="395" t="s">
        <v>561</v>
      </c>
      <c r="F985" s="394" t="s">
        <v>124</v>
      </c>
      <c r="G985" s="435">
        <f t="shared" si="81"/>
        <v>0</v>
      </c>
      <c r="H985" s="435">
        <f t="shared" si="81"/>
        <v>0</v>
      </c>
      <c r="I985" s="310"/>
      <c r="J985" s="302"/>
    </row>
    <row r="986" spans="1:10" ht="31.5" hidden="1" x14ac:dyDescent="0.25">
      <c r="A986" s="391" t="s">
        <v>125</v>
      </c>
      <c r="B986" s="454">
        <v>908</v>
      </c>
      <c r="C986" s="394" t="s">
        <v>139</v>
      </c>
      <c r="D986" s="394" t="s">
        <v>161</v>
      </c>
      <c r="E986" s="395" t="s">
        <v>561</v>
      </c>
      <c r="F986" s="394" t="s">
        <v>126</v>
      </c>
      <c r="G986" s="435">
        <v>0</v>
      </c>
      <c r="H986" s="435">
        <v>0</v>
      </c>
      <c r="I986" s="310"/>
      <c r="J986" s="302"/>
    </row>
    <row r="987" spans="1:10" ht="31.5" x14ac:dyDescent="0.25">
      <c r="A987" s="405" t="s">
        <v>616</v>
      </c>
      <c r="B987" s="453">
        <v>908</v>
      </c>
      <c r="C987" s="406" t="s">
        <v>139</v>
      </c>
      <c r="D987" s="406" t="s">
        <v>161</v>
      </c>
      <c r="E987" s="406" t="s">
        <v>522</v>
      </c>
      <c r="F987" s="406"/>
      <c r="G987" s="438">
        <f>G988</f>
        <v>3048.7</v>
      </c>
      <c r="H987" s="438">
        <f>H988</f>
        <v>3226.2</v>
      </c>
      <c r="I987" s="310"/>
      <c r="J987" s="302"/>
    </row>
    <row r="988" spans="1:10" ht="15.75" x14ac:dyDescent="0.25">
      <c r="A988" s="458" t="s">
        <v>260</v>
      </c>
      <c r="B988" s="454">
        <v>908</v>
      </c>
      <c r="C988" s="394" t="s">
        <v>139</v>
      </c>
      <c r="D988" s="394" t="s">
        <v>161</v>
      </c>
      <c r="E988" s="395" t="s">
        <v>563</v>
      </c>
      <c r="F988" s="394"/>
      <c r="G988" s="435">
        <f>G991+G993+G989</f>
        <v>3048.7</v>
      </c>
      <c r="H988" s="435">
        <f>H991+H993+H989</f>
        <v>3226.2</v>
      </c>
      <c r="I988" s="310"/>
      <c r="J988" s="302"/>
    </row>
    <row r="989" spans="1:10" ht="63" x14ac:dyDescent="0.25">
      <c r="A989" s="391" t="s">
        <v>119</v>
      </c>
      <c r="B989" s="454">
        <v>908</v>
      </c>
      <c r="C989" s="394" t="s">
        <v>139</v>
      </c>
      <c r="D989" s="394" t="s">
        <v>161</v>
      </c>
      <c r="E989" s="395" t="s">
        <v>563</v>
      </c>
      <c r="F989" s="394" t="s">
        <v>120</v>
      </c>
      <c r="G989" s="435">
        <f>G990</f>
        <v>1907.4</v>
      </c>
      <c r="H989" s="435">
        <f>H990</f>
        <v>2062</v>
      </c>
      <c r="I989" s="310"/>
      <c r="J989" s="302"/>
    </row>
    <row r="990" spans="1:10" ht="15.75" x14ac:dyDescent="0.25">
      <c r="A990" s="391" t="s">
        <v>212</v>
      </c>
      <c r="B990" s="454">
        <v>908</v>
      </c>
      <c r="C990" s="394" t="s">
        <v>139</v>
      </c>
      <c r="D990" s="394" t="s">
        <v>161</v>
      </c>
      <c r="E990" s="395" t="s">
        <v>563</v>
      </c>
      <c r="F990" s="394" t="s">
        <v>156</v>
      </c>
      <c r="G990" s="435">
        <f>1907.4</f>
        <v>1907.4</v>
      </c>
      <c r="H990" s="435">
        <f>1907.4+154.6</f>
        <v>2062</v>
      </c>
      <c r="I990" s="310"/>
      <c r="J990" s="302"/>
    </row>
    <row r="991" spans="1:10" ht="31.5" x14ac:dyDescent="0.25">
      <c r="A991" s="391" t="s">
        <v>123</v>
      </c>
      <c r="B991" s="454">
        <v>908</v>
      </c>
      <c r="C991" s="394" t="s">
        <v>139</v>
      </c>
      <c r="D991" s="394" t="s">
        <v>161</v>
      </c>
      <c r="E991" s="395" t="s">
        <v>563</v>
      </c>
      <c r="F991" s="394" t="s">
        <v>124</v>
      </c>
      <c r="G991" s="435">
        <f>G992</f>
        <v>1141.3</v>
      </c>
      <c r="H991" s="435">
        <f>H992</f>
        <v>1164.2</v>
      </c>
      <c r="I991" s="310"/>
      <c r="J991" s="302"/>
    </row>
    <row r="992" spans="1:10" ht="31.5" x14ac:dyDescent="0.25">
      <c r="A992" s="391" t="s">
        <v>125</v>
      </c>
      <c r="B992" s="454">
        <v>908</v>
      </c>
      <c r="C992" s="394" t="s">
        <v>139</v>
      </c>
      <c r="D992" s="394" t="s">
        <v>161</v>
      </c>
      <c r="E992" s="395" t="s">
        <v>563</v>
      </c>
      <c r="F992" s="394" t="s">
        <v>126</v>
      </c>
      <c r="G992" s="435">
        <f>957+207.2-22.9</f>
        <v>1141.3</v>
      </c>
      <c r="H992" s="435">
        <f>957+207.2</f>
        <v>1164.2</v>
      </c>
      <c r="I992" s="310"/>
      <c r="J992" s="302"/>
    </row>
    <row r="993" spans="1:10" ht="15.75" hidden="1" x14ac:dyDescent="0.25">
      <c r="A993" s="391" t="s">
        <v>127</v>
      </c>
      <c r="B993" s="454">
        <v>908</v>
      </c>
      <c r="C993" s="394" t="s">
        <v>139</v>
      </c>
      <c r="D993" s="394" t="s">
        <v>161</v>
      </c>
      <c r="E993" s="395" t="s">
        <v>563</v>
      </c>
      <c r="F993" s="394" t="s">
        <v>134</v>
      </c>
      <c r="G993" s="435">
        <f>G994</f>
        <v>0</v>
      </c>
      <c r="H993" s="435">
        <f>H994</f>
        <v>0</v>
      </c>
      <c r="I993" s="310"/>
      <c r="J993" s="302"/>
    </row>
    <row r="994" spans="1:10" ht="15.75" hidden="1" x14ac:dyDescent="0.25">
      <c r="A994" s="391" t="s">
        <v>280</v>
      </c>
      <c r="B994" s="454">
        <v>908</v>
      </c>
      <c r="C994" s="394" t="s">
        <v>139</v>
      </c>
      <c r="D994" s="394" t="s">
        <v>161</v>
      </c>
      <c r="E994" s="395" t="s">
        <v>563</v>
      </c>
      <c r="F994" s="394" t="s">
        <v>130</v>
      </c>
      <c r="G994" s="435">
        <v>0</v>
      </c>
      <c r="H994" s="435">
        <v>0</v>
      </c>
      <c r="I994" s="310"/>
      <c r="J994" s="302"/>
    </row>
    <row r="995" spans="1:10" ht="15.75" x14ac:dyDescent="0.25">
      <c r="A995" s="409" t="s">
        <v>231</v>
      </c>
      <c r="B995" s="453">
        <v>908</v>
      </c>
      <c r="C995" s="406" t="s">
        <v>168</v>
      </c>
      <c r="D995" s="406"/>
      <c r="E995" s="406"/>
      <c r="F995" s="406"/>
      <c r="G995" s="438">
        <f>G996+G1013+G1078+G1140</f>
        <v>61812.911999999997</v>
      </c>
      <c r="H995" s="438">
        <f>H996+H1013+H1078+H1140</f>
        <v>54562.47</v>
      </c>
      <c r="I995" s="310"/>
      <c r="J995" s="302"/>
    </row>
    <row r="996" spans="1:10" ht="15.75" x14ac:dyDescent="0.25">
      <c r="A996" s="409" t="s">
        <v>232</v>
      </c>
      <c r="B996" s="453">
        <v>908</v>
      </c>
      <c r="C996" s="406" t="s">
        <v>168</v>
      </c>
      <c r="D996" s="406" t="s">
        <v>116</v>
      </c>
      <c r="E996" s="406"/>
      <c r="F996" s="406"/>
      <c r="G996" s="438">
        <f>G997</f>
        <v>13480.23</v>
      </c>
      <c r="H996" s="438">
        <f>H997</f>
        <v>6060.4</v>
      </c>
      <c r="I996" s="310"/>
      <c r="J996" s="302"/>
    </row>
    <row r="997" spans="1:10" ht="15.75" x14ac:dyDescent="0.25">
      <c r="A997" s="409" t="s">
        <v>133</v>
      </c>
      <c r="B997" s="453">
        <v>908</v>
      </c>
      <c r="C997" s="406" t="s">
        <v>168</v>
      </c>
      <c r="D997" s="406" t="s">
        <v>116</v>
      </c>
      <c r="E997" s="406" t="s">
        <v>440</v>
      </c>
      <c r="F997" s="406"/>
      <c r="G997" s="438">
        <f>G998</f>
        <v>13480.23</v>
      </c>
      <c r="H997" s="438">
        <f>H998</f>
        <v>6060.4</v>
      </c>
      <c r="I997" s="310"/>
      <c r="J997" s="302"/>
    </row>
    <row r="998" spans="1:10" ht="31.5" x14ac:dyDescent="0.25">
      <c r="A998" s="409" t="s">
        <v>444</v>
      </c>
      <c r="B998" s="453">
        <v>908</v>
      </c>
      <c r="C998" s="406" t="s">
        <v>168</v>
      </c>
      <c r="D998" s="406" t="s">
        <v>116</v>
      </c>
      <c r="E998" s="406" t="s">
        <v>439</v>
      </c>
      <c r="F998" s="406"/>
      <c r="G998" s="438">
        <f>G1007+G1004+G999+G1010</f>
        <v>13480.23</v>
      </c>
      <c r="H998" s="438">
        <f>H1007+H1004+H999+H1010</f>
        <v>6060.4</v>
      </c>
      <c r="I998" s="310"/>
      <c r="J998" s="302"/>
    </row>
    <row r="999" spans="1:10" ht="15.75" hidden="1" x14ac:dyDescent="0.25">
      <c r="A999" s="391" t="s">
        <v>261</v>
      </c>
      <c r="B999" s="454">
        <v>908</v>
      </c>
      <c r="C999" s="394" t="s">
        <v>351</v>
      </c>
      <c r="D999" s="394" t="s">
        <v>116</v>
      </c>
      <c r="E999" s="394" t="s">
        <v>523</v>
      </c>
      <c r="F999" s="406"/>
      <c r="G999" s="435">
        <f>G1002+G1000</f>
        <v>0</v>
      </c>
      <c r="H999" s="435">
        <f>H1002+H1000</f>
        <v>0</v>
      </c>
      <c r="I999" s="310"/>
      <c r="J999" s="302"/>
    </row>
    <row r="1000" spans="1:10" ht="31.5" hidden="1" x14ac:dyDescent="0.25">
      <c r="A1000" s="391" t="s">
        <v>123</v>
      </c>
      <c r="B1000" s="454">
        <v>908</v>
      </c>
      <c r="C1000" s="394" t="s">
        <v>168</v>
      </c>
      <c r="D1000" s="394" t="s">
        <v>116</v>
      </c>
      <c r="E1000" s="394" t="s">
        <v>523</v>
      </c>
      <c r="F1000" s="394" t="s">
        <v>124</v>
      </c>
      <c r="G1000" s="435">
        <f>G1001</f>
        <v>0</v>
      </c>
      <c r="H1000" s="435">
        <f>H1001</f>
        <v>0</v>
      </c>
      <c r="I1000" s="310"/>
      <c r="J1000" s="302"/>
    </row>
    <row r="1001" spans="1:10" ht="31.5" hidden="1" x14ac:dyDescent="0.25">
      <c r="A1001" s="391" t="s">
        <v>125</v>
      </c>
      <c r="B1001" s="454">
        <v>908</v>
      </c>
      <c r="C1001" s="394" t="s">
        <v>168</v>
      </c>
      <c r="D1001" s="394" t="s">
        <v>116</v>
      </c>
      <c r="E1001" s="394" t="s">
        <v>523</v>
      </c>
      <c r="F1001" s="394" t="s">
        <v>126</v>
      </c>
      <c r="G1001" s="435"/>
      <c r="H1001" s="435"/>
      <c r="I1001" s="310"/>
      <c r="J1001" s="302"/>
    </row>
    <row r="1002" spans="1:10" ht="15.75" hidden="1" x14ac:dyDescent="0.25">
      <c r="A1002" s="391" t="s">
        <v>127</v>
      </c>
      <c r="B1002" s="454">
        <v>908</v>
      </c>
      <c r="C1002" s="394" t="s">
        <v>168</v>
      </c>
      <c r="D1002" s="394" t="s">
        <v>116</v>
      </c>
      <c r="E1002" s="394" t="s">
        <v>523</v>
      </c>
      <c r="F1002" s="394" t="s">
        <v>134</v>
      </c>
      <c r="G1002" s="435">
        <f>G1003</f>
        <v>0</v>
      </c>
      <c r="H1002" s="435">
        <f>H1003</f>
        <v>0</v>
      </c>
      <c r="I1002" s="310"/>
      <c r="J1002" s="302"/>
    </row>
    <row r="1003" spans="1:10" ht="48.75" hidden="1" customHeight="1" x14ac:dyDescent="0.25">
      <c r="A1003" s="391" t="s">
        <v>148</v>
      </c>
      <c r="B1003" s="454">
        <v>908</v>
      </c>
      <c r="C1003" s="394" t="s">
        <v>168</v>
      </c>
      <c r="D1003" s="394" t="s">
        <v>116</v>
      </c>
      <c r="E1003" s="394" t="s">
        <v>523</v>
      </c>
      <c r="F1003" s="394" t="s">
        <v>142</v>
      </c>
      <c r="G1003" s="435"/>
      <c r="H1003" s="435"/>
      <c r="I1003" s="310"/>
      <c r="J1003" s="302"/>
    </row>
    <row r="1004" spans="1:10" ht="31.5" x14ac:dyDescent="0.25">
      <c r="A1004" s="458" t="s">
        <v>233</v>
      </c>
      <c r="B1004" s="454">
        <v>908</v>
      </c>
      <c r="C1004" s="394" t="s">
        <v>168</v>
      </c>
      <c r="D1004" s="394" t="s">
        <v>116</v>
      </c>
      <c r="E1004" s="394" t="s">
        <v>524</v>
      </c>
      <c r="F1004" s="406"/>
      <c r="G1004" s="435">
        <f>G1005</f>
        <v>4920.3999999999996</v>
      </c>
      <c r="H1004" s="435">
        <f>H1005</f>
        <v>4920.3999999999996</v>
      </c>
      <c r="I1004" s="310"/>
      <c r="J1004" s="302"/>
    </row>
    <row r="1005" spans="1:10" ht="31.5" x14ac:dyDescent="0.25">
      <c r="A1005" s="391" t="s">
        <v>123</v>
      </c>
      <c r="B1005" s="454">
        <v>908</v>
      </c>
      <c r="C1005" s="394" t="s">
        <v>168</v>
      </c>
      <c r="D1005" s="394" t="s">
        <v>116</v>
      </c>
      <c r="E1005" s="394" t="s">
        <v>524</v>
      </c>
      <c r="F1005" s="394" t="s">
        <v>124</v>
      </c>
      <c r="G1005" s="435">
        <f>G1006</f>
        <v>4920.3999999999996</v>
      </c>
      <c r="H1005" s="435">
        <f>H1006</f>
        <v>4920.3999999999996</v>
      </c>
      <c r="I1005" s="310"/>
      <c r="J1005" s="302"/>
    </row>
    <row r="1006" spans="1:10" ht="33" customHeight="1" x14ac:dyDescent="0.25">
      <c r="A1006" s="391" t="s">
        <v>125</v>
      </c>
      <c r="B1006" s="454">
        <v>908</v>
      </c>
      <c r="C1006" s="394" t="s">
        <v>168</v>
      </c>
      <c r="D1006" s="394" t="s">
        <v>116</v>
      </c>
      <c r="E1006" s="394" t="s">
        <v>524</v>
      </c>
      <c r="F1006" s="394" t="s">
        <v>126</v>
      </c>
      <c r="G1006" s="436">
        <v>4920.3999999999996</v>
      </c>
      <c r="H1006" s="436">
        <v>4920.3999999999996</v>
      </c>
      <c r="I1006" s="310"/>
      <c r="J1006" s="302"/>
    </row>
    <row r="1007" spans="1:10" ht="31.5" x14ac:dyDescent="0.25">
      <c r="A1007" s="458" t="s">
        <v>501</v>
      </c>
      <c r="B1007" s="454">
        <v>908</v>
      </c>
      <c r="C1007" s="394" t="s">
        <v>168</v>
      </c>
      <c r="D1007" s="394" t="s">
        <v>116</v>
      </c>
      <c r="E1007" s="394" t="s">
        <v>525</v>
      </c>
      <c r="F1007" s="406"/>
      <c r="G1007" s="435">
        <f>G1008</f>
        <v>1140</v>
      </c>
      <c r="H1007" s="435">
        <f>H1008</f>
        <v>1140</v>
      </c>
      <c r="I1007" s="310"/>
      <c r="J1007" s="302"/>
    </row>
    <row r="1008" spans="1:10" ht="31.5" x14ac:dyDescent="0.25">
      <c r="A1008" s="391" t="s">
        <v>123</v>
      </c>
      <c r="B1008" s="454">
        <v>908</v>
      </c>
      <c r="C1008" s="394" t="s">
        <v>168</v>
      </c>
      <c r="D1008" s="394" t="s">
        <v>116</v>
      </c>
      <c r="E1008" s="394" t="s">
        <v>525</v>
      </c>
      <c r="F1008" s="394" t="s">
        <v>124</v>
      </c>
      <c r="G1008" s="435">
        <f>G1009</f>
        <v>1140</v>
      </c>
      <c r="H1008" s="435">
        <f>H1009</f>
        <v>1140</v>
      </c>
      <c r="I1008" s="310"/>
      <c r="J1008" s="302"/>
    </row>
    <row r="1009" spans="1:11" ht="33" customHeight="1" x14ac:dyDescent="0.25">
      <c r="A1009" s="391" t="s">
        <v>125</v>
      </c>
      <c r="B1009" s="454">
        <v>908</v>
      </c>
      <c r="C1009" s="394" t="s">
        <v>168</v>
      </c>
      <c r="D1009" s="394" t="s">
        <v>116</v>
      </c>
      <c r="E1009" s="394" t="s">
        <v>525</v>
      </c>
      <c r="F1009" s="394" t="s">
        <v>126</v>
      </c>
      <c r="G1009" s="435">
        <v>1140</v>
      </c>
      <c r="H1009" s="435">
        <v>1140</v>
      </c>
      <c r="I1009" s="310"/>
      <c r="J1009" s="302"/>
      <c r="K1009" s="320"/>
    </row>
    <row r="1010" spans="1:11" ht="33" customHeight="1" x14ac:dyDescent="0.25">
      <c r="A1010" s="391" t="s">
        <v>1015</v>
      </c>
      <c r="B1010" s="454">
        <v>908</v>
      </c>
      <c r="C1010" s="394" t="s">
        <v>168</v>
      </c>
      <c r="D1010" s="394" t="s">
        <v>116</v>
      </c>
      <c r="E1010" s="394" t="s">
        <v>1016</v>
      </c>
      <c r="F1010" s="394"/>
      <c r="G1010" s="435">
        <f>G1011</f>
        <v>7419.83</v>
      </c>
      <c r="H1010" s="435">
        <f>H1011</f>
        <v>0</v>
      </c>
      <c r="I1010" s="310"/>
      <c r="J1010" s="302"/>
    </row>
    <row r="1011" spans="1:11" ht="33" customHeight="1" x14ac:dyDescent="0.25">
      <c r="A1011" s="391" t="s">
        <v>123</v>
      </c>
      <c r="B1011" s="454">
        <v>908</v>
      </c>
      <c r="C1011" s="394" t="s">
        <v>168</v>
      </c>
      <c r="D1011" s="394" t="s">
        <v>116</v>
      </c>
      <c r="E1011" s="394" t="s">
        <v>1016</v>
      </c>
      <c r="F1011" s="394" t="s">
        <v>124</v>
      </c>
      <c r="G1011" s="435">
        <f>G1012</f>
        <v>7419.83</v>
      </c>
      <c r="H1011" s="435">
        <f>H1012</f>
        <v>0</v>
      </c>
      <c r="I1011" s="310"/>
      <c r="J1011" s="302"/>
    </row>
    <row r="1012" spans="1:11" ht="33" customHeight="1" x14ac:dyDescent="0.25">
      <c r="A1012" s="391" t="s">
        <v>125</v>
      </c>
      <c r="B1012" s="454">
        <v>908</v>
      </c>
      <c r="C1012" s="394" t="s">
        <v>168</v>
      </c>
      <c r="D1012" s="394" t="s">
        <v>116</v>
      </c>
      <c r="E1012" s="394" t="s">
        <v>1016</v>
      </c>
      <c r="F1012" s="394" t="s">
        <v>126</v>
      </c>
      <c r="G1012" s="586">
        <f>6900.43698+519.39302</f>
        <v>7419.83</v>
      </c>
      <c r="H1012" s="435">
        <v>0</v>
      </c>
      <c r="I1012" s="310"/>
      <c r="J1012" s="310"/>
    </row>
    <row r="1013" spans="1:11" ht="15.75" x14ac:dyDescent="0.25">
      <c r="A1013" s="409" t="s">
        <v>262</v>
      </c>
      <c r="B1013" s="453">
        <v>908</v>
      </c>
      <c r="C1013" s="406" t="s">
        <v>168</v>
      </c>
      <c r="D1013" s="406" t="s">
        <v>158</v>
      </c>
      <c r="E1013" s="406"/>
      <c r="F1013" s="406"/>
      <c r="G1013" s="438">
        <f>G1014+G1044+G1073</f>
        <v>8184.7419999999993</v>
      </c>
      <c r="H1013" s="438">
        <f>H1014+H1044+H1073</f>
        <v>8354.0300000000007</v>
      </c>
      <c r="I1013" s="310"/>
      <c r="J1013" s="302"/>
    </row>
    <row r="1014" spans="1:11" ht="15.75" x14ac:dyDescent="0.25">
      <c r="A1014" s="409" t="s">
        <v>133</v>
      </c>
      <c r="B1014" s="453">
        <v>908</v>
      </c>
      <c r="C1014" s="406" t="s">
        <v>168</v>
      </c>
      <c r="D1014" s="406" t="s">
        <v>158</v>
      </c>
      <c r="E1014" s="406" t="s">
        <v>440</v>
      </c>
      <c r="F1014" s="406"/>
      <c r="G1014" s="438">
        <f>G1015+G1027</f>
        <v>7280.7419999999993</v>
      </c>
      <c r="H1014" s="438">
        <f>H1015+H1027</f>
        <v>7450.0300000000007</v>
      </c>
      <c r="I1014" s="310"/>
      <c r="J1014" s="302"/>
    </row>
    <row r="1015" spans="1:11" ht="31.5" x14ac:dyDescent="0.25">
      <c r="A1015" s="409" t="s">
        <v>444</v>
      </c>
      <c r="B1015" s="453">
        <v>908</v>
      </c>
      <c r="C1015" s="406" t="s">
        <v>168</v>
      </c>
      <c r="D1015" s="406" t="s">
        <v>158</v>
      </c>
      <c r="E1015" s="406" t="s">
        <v>439</v>
      </c>
      <c r="F1015" s="406"/>
      <c r="G1015" s="438">
        <f>G1016+G1022</f>
        <v>7280.7419999999993</v>
      </c>
      <c r="H1015" s="438">
        <f>H1016+H1022</f>
        <v>7450.0300000000007</v>
      </c>
      <c r="I1015" s="310"/>
      <c r="J1015" s="302"/>
    </row>
    <row r="1016" spans="1:11" ht="15.75" hidden="1" x14ac:dyDescent="0.25">
      <c r="A1016" s="493" t="s">
        <v>271</v>
      </c>
      <c r="B1016" s="454">
        <v>908</v>
      </c>
      <c r="C1016" s="394" t="s">
        <v>168</v>
      </c>
      <c r="D1016" s="394" t="s">
        <v>158</v>
      </c>
      <c r="E1016" s="394" t="s">
        <v>542</v>
      </c>
      <c r="F1016" s="394"/>
      <c r="G1016" s="435">
        <f>G1017+G1019</f>
        <v>0</v>
      </c>
      <c r="H1016" s="435">
        <f>H1017+H1019</f>
        <v>0</v>
      </c>
      <c r="I1016" s="310"/>
      <c r="J1016" s="302"/>
    </row>
    <row r="1017" spans="1:11" ht="31.5" hidden="1" x14ac:dyDescent="0.25">
      <c r="A1017" s="391" t="s">
        <v>123</v>
      </c>
      <c r="B1017" s="454">
        <v>908</v>
      </c>
      <c r="C1017" s="394" t="s">
        <v>168</v>
      </c>
      <c r="D1017" s="394" t="s">
        <v>158</v>
      </c>
      <c r="E1017" s="394" t="s">
        <v>542</v>
      </c>
      <c r="F1017" s="394" t="s">
        <v>124</v>
      </c>
      <c r="G1017" s="435">
        <f>G1018</f>
        <v>0</v>
      </c>
      <c r="H1017" s="435">
        <f>H1018</f>
        <v>0</v>
      </c>
      <c r="I1017" s="310"/>
      <c r="J1017" s="302"/>
    </row>
    <row r="1018" spans="1:11" ht="31.5" hidden="1" x14ac:dyDescent="0.25">
      <c r="A1018" s="391" t="s">
        <v>125</v>
      </c>
      <c r="B1018" s="454">
        <v>908</v>
      </c>
      <c r="C1018" s="394" t="s">
        <v>168</v>
      </c>
      <c r="D1018" s="394" t="s">
        <v>158</v>
      </c>
      <c r="E1018" s="394" t="s">
        <v>542</v>
      </c>
      <c r="F1018" s="394" t="s">
        <v>126</v>
      </c>
      <c r="G1018" s="494"/>
      <c r="H1018" s="494"/>
      <c r="I1018" s="310"/>
      <c r="J1018" s="318"/>
    </row>
    <row r="1019" spans="1:11" ht="15.75" hidden="1" x14ac:dyDescent="0.25">
      <c r="A1019" s="391" t="s">
        <v>127</v>
      </c>
      <c r="B1019" s="454">
        <v>908</v>
      </c>
      <c r="C1019" s="394" t="s">
        <v>168</v>
      </c>
      <c r="D1019" s="394" t="s">
        <v>158</v>
      </c>
      <c r="E1019" s="394" t="s">
        <v>542</v>
      </c>
      <c r="F1019" s="394" t="s">
        <v>134</v>
      </c>
      <c r="G1019" s="494">
        <f>G1020+G1021</f>
        <v>0</v>
      </c>
      <c r="H1019" s="494">
        <f>H1020+H1021</f>
        <v>0</v>
      </c>
      <c r="I1019" s="310"/>
      <c r="J1019" s="302"/>
    </row>
    <row r="1020" spans="1:11" ht="47.25" hidden="1" x14ac:dyDescent="0.25">
      <c r="A1020" s="391" t="s">
        <v>148</v>
      </c>
      <c r="B1020" s="454">
        <v>908</v>
      </c>
      <c r="C1020" s="394" t="s">
        <v>168</v>
      </c>
      <c r="D1020" s="394" t="s">
        <v>158</v>
      </c>
      <c r="E1020" s="394" t="s">
        <v>542</v>
      </c>
      <c r="F1020" s="394" t="s">
        <v>142</v>
      </c>
      <c r="G1020" s="494">
        <v>0</v>
      </c>
      <c r="H1020" s="494">
        <v>0</v>
      </c>
      <c r="I1020" s="310"/>
      <c r="J1020" s="302"/>
    </row>
    <row r="1021" spans="1:11" ht="15.75" hidden="1" x14ac:dyDescent="0.25">
      <c r="A1021" s="391" t="s">
        <v>135</v>
      </c>
      <c r="B1021" s="454">
        <v>908</v>
      </c>
      <c r="C1021" s="394" t="s">
        <v>168</v>
      </c>
      <c r="D1021" s="394" t="s">
        <v>158</v>
      </c>
      <c r="E1021" s="394" t="s">
        <v>542</v>
      </c>
      <c r="F1021" s="394" t="s">
        <v>136</v>
      </c>
      <c r="G1021" s="494">
        <v>0</v>
      </c>
      <c r="H1021" s="494">
        <v>0</v>
      </c>
      <c r="I1021" s="310"/>
      <c r="J1021" s="302"/>
    </row>
    <row r="1022" spans="1:11" ht="31.5" x14ac:dyDescent="0.25">
      <c r="A1022" s="458" t="s">
        <v>501</v>
      </c>
      <c r="B1022" s="454">
        <v>908</v>
      </c>
      <c r="C1022" s="394" t="s">
        <v>168</v>
      </c>
      <c r="D1022" s="394" t="s">
        <v>158</v>
      </c>
      <c r="E1022" s="394" t="s">
        <v>525</v>
      </c>
      <c r="F1022" s="394"/>
      <c r="G1022" s="435">
        <f>G1025+G1023</f>
        <v>7280.7419999999993</v>
      </c>
      <c r="H1022" s="435">
        <f>H1025+H1023</f>
        <v>7450.0300000000007</v>
      </c>
      <c r="I1022" s="310"/>
      <c r="J1022" s="302"/>
    </row>
    <row r="1023" spans="1:11" ht="31.5" x14ac:dyDescent="0.25">
      <c r="A1023" s="391" t="s">
        <v>123</v>
      </c>
      <c r="B1023" s="454">
        <v>908</v>
      </c>
      <c r="C1023" s="394" t="s">
        <v>168</v>
      </c>
      <c r="D1023" s="394" t="s">
        <v>158</v>
      </c>
      <c r="E1023" s="394" t="s">
        <v>525</v>
      </c>
      <c r="F1023" s="394" t="s">
        <v>124</v>
      </c>
      <c r="G1023" s="435">
        <f>G1024</f>
        <v>7280.7419999999993</v>
      </c>
      <c r="H1023" s="435">
        <f>H1024</f>
        <v>7450.0300000000007</v>
      </c>
      <c r="I1023" s="310"/>
      <c r="J1023" s="302"/>
    </row>
    <row r="1024" spans="1:11" ht="31.5" x14ac:dyDescent="0.25">
      <c r="A1024" s="391" t="s">
        <v>125</v>
      </c>
      <c r="B1024" s="454">
        <v>908</v>
      </c>
      <c r="C1024" s="394" t="s">
        <v>168</v>
      </c>
      <c r="D1024" s="394" t="s">
        <v>158</v>
      </c>
      <c r="E1024" s="394" t="s">
        <v>525</v>
      </c>
      <c r="F1024" s="394" t="s">
        <v>126</v>
      </c>
      <c r="G1024" s="586">
        <f>7515.9-224.4-13.658+2.9</f>
        <v>7280.7419999999993</v>
      </c>
      <c r="H1024" s="586">
        <f>6774.6+2692.6-1951.3-65.87</f>
        <v>7450.0300000000007</v>
      </c>
      <c r="I1024" s="310" t="s">
        <v>1261</v>
      </c>
      <c r="J1024" s="302"/>
    </row>
    <row r="1025" spans="1:14" ht="15.75" hidden="1" x14ac:dyDescent="0.25">
      <c r="A1025" s="391" t="s">
        <v>127</v>
      </c>
      <c r="B1025" s="454">
        <v>908</v>
      </c>
      <c r="C1025" s="394" t="s">
        <v>168</v>
      </c>
      <c r="D1025" s="394" t="s">
        <v>158</v>
      </c>
      <c r="E1025" s="394" t="s">
        <v>525</v>
      </c>
      <c r="F1025" s="394" t="s">
        <v>134</v>
      </c>
      <c r="G1025" s="435">
        <f>G1026</f>
        <v>0</v>
      </c>
      <c r="H1025" s="435">
        <f>H1026</f>
        <v>0</v>
      </c>
      <c r="I1025" s="310"/>
      <c r="J1025" s="302"/>
    </row>
    <row r="1026" spans="1:14" ht="15.75" hidden="1" x14ac:dyDescent="0.25">
      <c r="A1026" s="391" t="s">
        <v>135</v>
      </c>
      <c r="B1026" s="454">
        <v>908</v>
      </c>
      <c r="C1026" s="394" t="s">
        <v>168</v>
      </c>
      <c r="D1026" s="394" t="s">
        <v>158</v>
      </c>
      <c r="E1026" s="394" t="s">
        <v>525</v>
      </c>
      <c r="F1026" s="394" t="s">
        <v>136</v>
      </c>
      <c r="G1026" s="435">
        <v>0</v>
      </c>
      <c r="H1026" s="435">
        <v>0</v>
      </c>
      <c r="I1026" s="310"/>
      <c r="J1026" s="302"/>
    </row>
    <row r="1027" spans="1:14" ht="48.75" hidden="1" customHeight="1" x14ac:dyDescent="0.25">
      <c r="A1027" s="409" t="s">
        <v>574</v>
      </c>
      <c r="B1027" s="453">
        <v>908</v>
      </c>
      <c r="C1027" s="406" t="s">
        <v>168</v>
      </c>
      <c r="D1027" s="406" t="s">
        <v>158</v>
      </c>
      <c r="E1027" s="406" t="s">
        <v>543</v>
      </c>
      <c r="F1027" s="406"/>
      <c r="G1027" s="438">
        <f>G1028+G1036+G1033+G1041</f>
        <v>0</v>
      </c>
      <c r="H1027" s="438">
        <f>H1028+H1036+H1033+H1041</f>
        <v>0</v>
      </c>
      <c r="I1027" s="310"/>
      <c r="J1027" s="302"/>
    </row>
    <row r="1028" spans="1:14" ht="35.450000000000003" hidden="1" customHeight="1" x14ac:dyDescent="0.25">
      <c r="A1028" s="391" t="s">
        <v>402</v>
      </c>
      <c r="B1028" s="454">
        <v>908</v>
      </c>
      <c r="C1028" s="394" t="s">
        <v>168</v>
      </c>
      <c r="D1028" s="394" t="s">
        <v>158</v>
      </c>
      <c r="E1028" s="394" t="s">
        <v>544</v>
      </c>
      <c r="F1028" s="394"/>
      <c r="G1028" s="435">
        <f>G1029+G1031</f>
        <v>0</v>
      </c>
      <c r="H1028" s="435">
        <f>H1029+H1031</f>
        <v>0</v>
      </c>
      <c r="I1028" s="310"/>
      <c r="J1028" s="302"/>
      <c r="K1028" s="302"/>
      <c r="L1028" s="302"/>
      <c r="M1028" s="302"/>
      <c r="N1028" s="72"/>
    </row>
    <row r="1029" spans="1:14" ht="34.5" hidden="1" customHeight="1" x14ac:dyDescent="0.25">
      <c r="A1029" s="391" t="s">
        <v>123</v>
      </c>
      <c r="B1029" s="454">
        <v>908</v>
      </c>
      <c r="C1029" s="394" t="s">
        <v>168</v>
      </c>
      <c r="D1029" s="394" t="s">
        <v>158</v>
      </c>
      <c r="E1029" s="394" t="s">
        <v>544</v>
      </c>
      <c r="F1029" s="394" t="s">
        <v>124</v>
      </c>
      <c r="G1029" s="435">
        <f>G1030</f>
        <v>0</v>
      </c>
      <c r="H1029" s="435">
        <f>H1030</f>
        <v>0</v>
      </c>
      <c r="I1029" s="310"/>
      <c r="J1029" s="302"/>
      <c r="K1029" s="302"/>
      <c r="L1029" s="302"/>
      <c r="M1029" s="302"/>
      <c r="N1029" s="72"/>
    </row>
    <row r="1030" spans="1:14" ht="33" hidden="1" customHeight="1" x14ac:dyDescent="0.25">
      <c r="A1030" s="391" t="s">
        <v>125</v>
      </c>
      <c r="B1030" s="454">
        <v>908</v>
      </c>
      <c r="C1030" s="394" t="s">
        <v>168</v>
      </c>
      <c r="D1030" s="394" t="s">
        <v>158</v>
      </c>
      <c r="E1030" s="394" t="s">
        <v>544</v>
      </c>
      <c r="F1030" s="394" t="s">
        <v>126</v>
      </c>
      <c r="G1030" s="435"/>
      <c r="H1030" s="435"/>
      <c r="I1030" s="310"/>
      <c r="J1030" s="302"/>
      <c r="K1030" s="302"/>
      <c r="L1030" s="302"/>
      <c r="M1030" s="302"/>
      <c r="N1030" s="72"/>
    </row>
    <row r="1031" spans="1:14" ht="20.25" hidden="1" customHeight="1" x14ac:dyDescent="0.25">
      <c r="A1031" s="391" t="s">
        <v>127</v>
      </c>
      <c r="B1031" s="454">
        <v>908</v>
      </c>
      <c r="C1031" s="394" t="s">
        <v>168</v>
      </c>
      <c r="D1031" s="394" t="s">
        <v>158</v>
      </c>
      <c r="E1031" s="394" t="s">
        <v>544</v>
      </c>
      <c r="F1031" s="394" t="s">
        <v>412</v>
      </c>
      <c r="G1031" s="435">
        <f>G1032</f>
        <v>0</v>
      </c>
      <c r="H1031" s="435">
        <f>H1032</f>
        <v>0</v>
      </c>
      <c r="I1031" s="310"/>
      <c r="J1031" s="72"/>
      <c r="K1031" s="302"/>
      <c r="L1031" s="302"/>
      <c r="M1031" s="302"/>
      <c r="N1031" s="302"/>
    </row>
    <row r="1032" spans="1:14" ht="20.25" hidden="1" customHeight="1" x14ac:dyDescent="0.25">
      <c r="A1032" s="391" t="s">
        <v>280</v>
      </c>
      <c r="B1032" s="454">
        <v>908</v>
      </c>
      <c r="C1032" s="394" t="s">
        <v>168</v>
      </c>
      <c r="D1032" s="394" t="s">
        <v>158</v>
      </c>
      <c r="E1032" s="394" t="s">
        <v>544</v>
      </c>
      <c r="F1032" s="394" t="s">
        <v>622</v>
      </c>
      <c r="G1032" s="435">
        <v>0</v>
      </c>
      <c r="H1032" s="435">
        <v>0</v>
      </c>
      <c r="I1032" s="310"/>
      <c r="J1032" s="72"/>
      <c r="K1032" s="302"/>
      <c r="L1032" s="302"/>
      <c r="M1032" s="302"/>
      <c r="N1032" s="302"/>
    </row>
    <row r="1033" spans="1:14" ht="47.25" hidden="1" customHeight="1" x14ac:dyDescent="0.25">
      <c r="A1033" s="391" t="s">
        <v>369</v>
      </c>
      <c r="B1033" s="454">
        <v>908</v>
      </c>
      <c r="C1033" s="394" t="s">
        <v>168</v>
      </c>
      <c r="D1033" s="394" t="s">
        <v>158</v>
      </c>
      <c r="E1033" s="394" t="s">
        <v>545</v>
      </c>
      <c r="F1033" s="394"/>
      <c r="G1033" s="435">
        <f>G1034</f>
        <v>0</v>
      </c>
      <c r="H1033" s="435">
        <f>H1034</f>
        <v>0</v>
      </c>
      <c r="I1033" s="310"/>
      <c r="J1033" s="72"/>
      <c r="K1033" s="302"/>
      <c r="L1033" s="302"/>
      <c r="M1033" s="302"/>
      <c r="N1033" s="302"/>
    </row>
    <row r="1034" spans="1:14" ht="33.75" hidden="1" customHeight="1" x14ac:dyDescent="0.25">
      <c r="A1034" s="391" t="s">
        <v>123</v>
      </c>
      <c r="B1034" s="454">
        <v>908</v>
      </c>
      <c r="C1034" s="394" t="s">
        <v>168</v>
      </c>
      <c r="D1034" s="394" t="s">
        <v>158</v>
      </c>
      <c r="E1034" s="394" t="s">
        <v>545</v>
      </c>
      <c r="F1034" s="394" t="s">
        <v>124</v>
      </c>
      <c r="G1034" s="435">
        <f>G1035</f>
        <v>0</v>
      </c>
      <c r="H1034" s="435">
        <f>H1035</f>
        <v>0</v>
      </c>
      <c r="I1034" s="310"/>
      <c r="J1034" s="72"/>
      <c r="K1034" s="302"/>
      <c r="L1034" s="302"/>
      <c r="M1034" s="302"/>
      <c r="N1034" s="302"/>
    </row>
    <row r="1035" spans="1:14" ht="32.25" hidden="1" customHeight="1" x14ac:dyDescent="0.25">
      <c r="A1035" s="391" t="s">
        <v>125</v>
      </c>
      <c r="B1035" s="454">
        <v>908</v>
      </c>
      <c r="C1035" s="394" t="s">
        <v>168</v>
      </c>
      <c r="D1035" s="394" t="s">
        <v>158</v>
      </c>
      <c r="E1035" s="394" t="s">
        <v>545</v>
      </c>
      <c r="F1035" s="394" t="s">
        <v>126</v>
      </c>
      <c r="G1035" s="435">
        <v>0</v>
      </c>
      <c r="H1035" s="435">
        <v>0</v>
      </c>
      <c r="I1035" s="310"/>
      <c r="J1035" s="72"/>
      <c r="K1035" s="302"/>
      <c r="L1035" s="302"/>
      <c r="M1035" s="302"/>
      <c r="N1035" s="302"/>
    </row>
    <row r="1036" spans="1:14" ht="47.25" hidden="1" customHeight="1" x14ac:dyDescent="0.25">
      <c r="A1036" s="471" t="s">
        <v>408</v>
      </c>
      <c r="B1036" s="454">
        <v>908</v>
      </c>
      <c r="C1036" s="394" t="s">
        <v>168</v>
      </c>
      <c r="D1036" s="394" t="s">
        <v>158</v>
      </c>
      <c r="E1036" s="394" t="s">
        <v>546</v>
      </c>
      <c r="F1036" s="394"/>
      <c r="G1036" s="435">
        <f>G1037+G1039</f>
        <v>0</v>
      </c>
      <c r="H1036" s="435">
        <f>H1037+H1039</f>
        <v>0</v>
      </c>
      <c r="I1036" s="310"/>
      <c r="J1036" s="72"/>
      <c r="K1036" s="302"/>
      <c r="L1036" s="302"/>
      <c r="M1036" s="302"/>
      <c r="N1036" s="302"/>
    </row>
    <row r="1037" spans="1:14" ht="34.5" hidden="1" customHeight="1" x14ac:dyDescent="0.25">
      <c r="A1037" s="391" t="s">
        <v>413</v>
      </c>
      <c r="B1037" s="454">
        <v>908</v>
      </c>
      <c r="C1037" s="394" t="s">
        <v>168</v>
      </c>
      <c r="D1037" s="394" t="s">
        <v>158</v>
      </c>
      <c r="E1037" s="394" t="s">
        <v>546</v>
      </c>
      <c r="F1037" s="394" t="s">
        <v>412</v>
      </c>
      <c r="G1037" s="435">
        <f>G1038</f>
        <v>0</v>
      </c>
      <c r="H1037" s="435">
        <f>H1038</f>
        <v>0</v>
      </c>
      <c r="I1037" s="310"/>
      <c r="J1037" s="72"/>
      <c r="K1037" s="302"/>
      <c r="L1037" s="302"/>
      <c r="M1037" s="302"/>
      <c r="N1037" s="302"/>
    </row>
    <row r="1038" spans="1:14" ht="47.25" hidden="1" customHeight="1" x14ac:dyDescent="0.25">
      <c r="A1038" s="391" t="s">
        <v>607</v>
      </c>
      <c r="B1038" s="454">
        <v>908</v>
      </c>
      <c r="C1038" s="394" t="s">
        <v>168</v>
      </c>
      <c r="D1038" s="394" t="s">
        <v>158</v>
      </c>
      <c r="E1038" s="394" t="s">
        <v>546</v>
      </c>
      <c r="F1038" s="394" t="s">
        <v>622</v>
      </c>
      <c r="G1038" s="435">
        <v>0</v>
      </c>
      <c r="H1038" s="435">
        <v>0</v>
      </c>
      <c r="I1038" s="310"/>
      <c r="J1038" s="72"/>
      <c r="K1038" s="302"/>
      <c r="L1038" s="302"/>
      <c r="M1038" s="302"/>
      <c r="N1038" s="302"/>
    </row>
    <row r="1039" spans="1:14" ht="17.45" hidden="1" customHeight="1" x14ac:dyDescent="0.25">
      <c r="A1039" s="391" t="s">
        <v>127</v>
      </c>
      <c r="B1039" s="454">
        <v>908</v>
      </c>
      <c r="C1039" s="394" t="s">
        <v>168</v>
      </c>
      <c r="D1039" s="394" t="s">
        <v>158</v>
      </c>
      <c r="E1039" s="394" t="s">
        <v>546</v>
      </c>
      <c r="F1039" s="394" t="s">
        <v>134</v>
      </c>
      <c r="G1039" s="435">
        <f>G1040</f>
        <v>0</v>
      </c>
      <c r="H1039" s="435">
        <f>H1040</f>
        <v>0</v>
      </c>
      <c r="I1039" s="310"/>
      <c r="J1039" s="72"/>
      <c r="K1039" s="302"/>
      <c r="L1039" s="302"/>
      <c r="M1039" s="302"/>
      <c r="N1039" s="302"/>
    </row>
    <row r="1040" spans="1:14" ht="18.75" hidden="1" customHeight="1" x14ac:dyDescent="0.25">
      <c r="A1040" s="391" t="s">
        <v>338</v>
      </c>
      <c r="B1040" s="454">
        <v>908</v>
      </c>
      <c r="C1040" s="394" t="s">
        <v>168</v>
      </c>
      <c r="D1040" s="394" t="s">
        <v>158</v>
      </c>
      <c r="E1040" s="394" t="s">
        <v>546</v>
      </c>
      <c r="F1040" s="394" t="s">
        <v>130</v>
      </c>
      <c r="G1040" s="435">
        <v>0</v>
      </c>
      <c r="H1040" s="435">
        <v>0</v>
      </c>
      <c r="I1040" s="310"/>
      <c r="J1040" s="72"/>
      <c r="K1040" s="302"/>
      <c r="L1040" s="302"/>
      <c r="M1040" s="302"/>
      <c r="N1040" s="302"/>
    </row>
    <row r="1041" spans="1:14" ht="38.25" hidden="1" customHeight="1" x14ac:dyDescent="0.25">
      <c r="A1041" s="391" t="s">
        <v>623</v>
      </c>
      <c r="B1041" s="454">
        <v>908</v>
      </c>
      <c r="C1041" s="394" t="s">
        <v>168</v>
      </c>
      <c r="D1041" s="394" t="s">
        <v>158</v>
      </c>
      <c r="E1041" s="394" t="s">
        <v>624</v>
      </c>
      <c r="F1041" s="394"/>
      <c r="G1041" s="435">
        <f>G1042</f>
        <v>0</v>
      </c>
      <c r="H1041" s="435">
        <f>H1042</f>
        <v>0</v>
      </c>
      <c r="I1041" s="310"/>
      <c r="J1041" s="72"/>
      <c r="K1041" s="302"/>
      <c r="L1041" s="302"/>
      <c r="M1041" s="302"/>
      <c r="N1041" s="302"/>
    </row>
    <row r="1042" spans="1:14" ht="32.25" hidden="1" customHeight="1" x14ac:dyDescent="0.25">
      <c r="A1042" s="391" t="s">
        <v>123</v>
      </c>
      <c r="B1042" s="454">
        <v>908</v>
      </c>
      <c r="C1042" s="394" t="s">
        <v>168</v>
      </c>
      <c r="D1042" s="394" t="s">
        <v>158</v>
      </c>
      <c r="E1042" s="394" t="s">
        <v>624</v>
      </c>
      <c r="F1042" s="394" t="s">
        <v>124</v>
      </c>
      <c r="G1042" s="435">
        <f>G1043</f>
        <v>0</v>
      </c>
      <c r="H1042" s="435">
        <f>H1043</f>
        <v>0</v>
      </c>
      <c r="I1042" s="310"/>
      <c r="J1042" s="72"/>
      <c r="K1042" s="302"/>
      <c r="L1042" s="302"/>
      <c r="M1042" s="302"/>
      <c r="N1042" s="302"/>
    </row>
    <row r="1043" spans="1:14" ht="35.450000000000003" hidden="1" customHeight="1" x14ac:dyDescent="0.25">
      <c r="A1043" s="391" t="s">
        <v>125</v>
      </c>
      <c r="B1043" s="454">
        <v>908</v>
      </c>
      <c r="C1043" s="394" t="s">
        <v>168</v>
      </c>
      <c r="D1043" s="394" t="s">
        <v>158</v>
      </c>
      <c r="E1043" s="394" t="s">
        <v>624</v>
      </c>
      <c r="F1043" s="394" t="s">
        <v>126</v>
      </c>
      <c r="G1043" s="435">
        <v>0</v>
      </c>
      <c r="H1043" s="435">
        <v>0</v>
      </c>
      <c r="I1043" s="310"/>
      <c r="J1043" s="72"/>
      <c r="K1043" s="302"/>
      <c r="L1043" s="302"/>
      <c r="M1043" s="302"/>
      <c r="N1043" s="302"/>
    </row>
    <row r="1044" spans="1:14" ht="47.25" customHeight="1" x14ac:dyDescent="0.25">
      <c r="A1044" s="409" t="s">
        <v>983</v>
      </c>
      <c r="B1044" s="453">
        <v>908</v>
      </c>
      <c r="C1044" s="406" t="s">
        <v>168</v>
      </c>
      <c r="D1044" s="406" t="s">
        <v>158</v>
      </c>
      <c r="E1044" s="406" t="s">
        <v>263</v>
      </c>
      <c r="F1044" s="406"/>
      <c r="G1044" s="438">
        <f>G1045+G1049+G1053+G1057+G1069+G1065</f>
        <v>700</v>
      </c>
      <c r="H1044" s="438">
        <f>H1045+H1049+H1053+H1057+H1069+H1065</f>
        <v>700</v>
      </c>
      <c r="I1044" s="310"/>
      <c r="J1044" s="72"/>
      <c r="K1044" s="302"/>
      <c r="L1044" s="302"/>
      <c r="M1044" s="302"/>
      <c r="N1044" s="72"/>
    </row>
    <row r="1045" spans="1:14" ht="30.75" customHeight="1" x14ac:dyDescent="0.25">
      <c r="A1045" s="409" t="s">
        <v>526</v>
      </c>
      <c r="B1045" s="453">
        <v>908</v>
      </c>
      <c r="C1045" s="406" t="s">
        <v>168</v>
      </c>
      <c r="D1045" s="406" t="s">
        <v>158</v>
      </c>
      <c r="E1045" s="406" t="s">
        <v>528</v>
      </c>
      <c r="F1045" s="406"/>
      <c r="G1045" s="438">
        <f t="shared" ref="G1045:H1047" si="82">G1046</f>
        <v>700</v>
      </c>
      <c r="H1045" s="438">
        <f t="shared" si="82"/>
        <v>700</v>
      </c>
      <c r="I1045" s="310"/>
      <c r="J1045" s="72"/>
      <c r="K1045" s="302"/>
      <c r="L1045" s="302"/>
      <c r="M1045" s="302"/>
      <c r="N1045" s="302"/>
    </row>
    <row r="1046" spans="1:14" ht="15.75" x14ac:dyDescent="0.25">
      <c r="A1046" s="398" t="s">
        <v>527</v>
      </c>
      <c r="B1046" s="454">
        <v>908</v>
      </c>
      <c r="C1046" s="395" t="s">
        <v>168</v>
      </c>
      <c r="D1046" s="395" t="s">
        <v>158</v>
      </c>
      <c r="E1046" s="394" t="s">
        <v>529</v>
      </c>
      <c r="F1046" s="395"/>
      <c r="G1046" s="435">
        <f t="shared" si="82"/>
        <v>700</v>
      </c>
      <c r="H1046" s="435">
        <f t="shared" si="82"/>
        <v>700</v>
      </c>
      <c r="I1046" s="310"/>
      <c r="J1046" s="72"/>
      <c r="K1046" s="302"/>
      <c r="L1046" s="302"/>
      <c r="M1046" s="302"/>
      <c r="N1046" s="302"/>
    </row>
    <row r="1047" spans="1:14" ht="31.5" x14ac:dyDescent="0.25">
      <c r="A1047" s="393" t="s">
        <v>123</v>
      </c>
      <c r="B1047" s="454">
        <v>908</v>
      </c>
      <c r="C1047" s="395" t="s">
        <v>168</v>
      </c>
      <c r="D1047" s="395" t="s">
        <v>158</v>
      </c>
      <c r="E1047" s="394" t="s">
        <v>529</v>
      </c>
      <c r="F1047" s="395" t="s">
        <v>124</v>
      </c>
      <c r="G1047" s="435">
        <f t="shared" si="82"/>
        <v>700</v>
      </c>
      <c r="H1047" s="435">
        <f t="shared" si="82"/>
        <v>700</v>
      </c>
      <c r="I1047" s="310"/>
      <c r="J1047" s="72"/>
      <c r="K1047" s="302"/>
      <c r="L1047" s="302"/>
      <c r="M1047" s="302"/>
      <c r="N1047" s="302"/>
    </row>
    <row r="1048" spans="1:14" ht="31.5" x14ac:dyDescent="0.25">
      <c r="A1048" s="393" t="s">
        <v>125</v>
      </c>
      <c r="B1048" s="454">
        <v>908</v>
      </c>
      <c r="C1048" s="395" t="s">
        <v>168</v>
      </c>
      <c r="D1048" s="395" t="s">
        <v>158</v>
      </c>
      <c r="E1048" s="394" t="s">
        <v>529</v>
      </c>
      <c r="F1048" s="395" t="s">
        <v>126</v>
      </c>
      <c r="G1048" s="435">
        <v>700</v>
      </c>
      <c r="H1048" s="435">
        <v>700</v>
      </c>
      <c r="I1048" s="310"/>
      <c r="J1048" s="72"/>
      <c r="K1048" s="302"/>
      <c r="L1048" s="302"/>
      <c r="M1048" s="302"/>
      <c r="N1048" s="302"/>
    </row>
    <row r="1049" spans="1:14" ht="15.75" hidden="1" x14ac:dyDescent="0.25">
      <c r="A1049" s="405" t="s">
        <v>530</v>
      </c>
      <c r="B1049" s="453">
        <v>908</v>
      </c>
      <c r="C1049" s="399" t="s">
        <v>168</v>
      </c>
      <c r="D1049" s="399" t="s">
        <v>158</v>
      </c>
      <c r="E1049" s="406" t="s">
        <v>531</v>
      </c>
      <c r="F1049" s="399"/>
      <c r="G1049" s="438">
        <f t="shared" ref="G1049:H1051" si="83">G1050</f>
        <v>0</v>
      </c>
      <c r="H1049" s="438">
        <f t="shared" si="83"/>
        <v>0</v>
      </c>
      <c r="I1049" s="310"/>
      <c r="J1049" s="72"/>
      <c r="K1049" s="302"/>
      <c r="L1049" s="302"/>
      <c r="M1049" s="302"/>
      <c r="N1049" s="72"/>
    </row>
    <row r="1050" spans="1:14" ht="15.75" hidden="1" x14ac:dyDescent="0.25">
      <c r="A1050" s="398" t="s">
        <v>265</v>
      </c>
      <c r="B1050" s="454">
        <v>908</v>
      </c>
      <c r="C1050" s="395" t="s">
        <v>168</v>
      </c>
      <c r="D1050" s="395" t="s">
        <v>158</v>
      </c>
      <c r="E1050" s="394" t="s">
        <v>534</v>
      </c>
      <c r="F1050" s="395"/>
      <c r="G1050" s="435">
        <f t="shared" si="83"/>
        <v>0</v>
      </c>
      <c r="H1050" s="435">
        <f t="shared" si="83"/>
        <v>0</v>
      </c>
      <c r="I1050" s="310"/>
      <c r="J1050" s="72"/>
      <c r="K1050" s="302"/>
      <c r="L1050" s="302"/>
      <c r="M1050" s="302"/>
      <c r="N1050" s="72"/>
    </row>
    <row r="1051" spans="1:14" ht="31.5" hidden="1" x14ac:dyDescent="0.25">
      <c r="A1051" s="393" t="s">
        <v>123</v>
      </c>
      <c r="B1051" s="454">
        <v>908</v>
      </c>
      <c r="C1051" s="395" t="s">
        <v>168</v>
      </c>
      <c r="D1051" s="395" t="s">
        <v>158</v>
      </c>
      <c r="E1051" s="394" t="s">
        <v>534</v>
      </c>
      <c r="F1051" s="395" t="s">
        <v>124</v>
      </c>
      <c r="G1051" s="435">
        <f t="shared" si="83"/>
        <v>0</v>
      </c>
      <c r="H1051" s="435">
        <f t="shared" si="83"/>
        <v>0</v>
      </c>
      <c r="I1051" s="310"/>
      <c r="J1051" s="72"/>
      <c r="K1051" s="302"/>
      <c r="L1051" s="302"/>
      <c r="M1051" s="302"/>
      <c r="N1051" s="302"/>
    </row>
    <row r="1052" spans="1:14" ht="31.5" hidden="1" x14ac:dyDescent="0.25">
      <c r="A1052" s="393" t="s">
        <v>125</v>
      </c>
      <c r="B1052" s="454">
        <v>908</v>
      </c>
      <c r="C1052" s="395" t="s">
        <v>168</v>
      </c>
      <c r="D1052" s="395" t="s">
        <v>158</v>
      </c>
      <c r="E1052" s="394" t="s">
        <v>534</v>
      </c>
      <c r="F1052" s="395" t="s">
        <v>126</v>
      </c>
      <c r="G1052" s="401"/>
      <c r="H1052" s="401"/>
      <c r="I1052" s="310"/>
      <c r="J1052" s="72"/>
      <c r="K1052" s="302"/>
      <c r="L1052" s="302"/>
      <c r="M1052" s="302"/>
      <c r="N1052" s="302"/>
    </row>
    <row r="1053" spans="1:14" ht="16.5" hidden="1" customHeight="1" x14ac:dyDescent="0.25">
      <c r="A1053" s="473" t="s">
        <v>532</v>
      </c>
      <c r="B1053" s="453">
        <v>908</v>
      </c>
      <c r="C1053" s="399" t="s">
        <v>168</v>
      </c>
      <c r="D1053" s="399" t="s">
        <v>158</v>
      </c>
      <c r="E1053" s="406" t="s">
        <v>533</v>
      </c>
      <c r="F1053" s="399"/>
      <c r="G1053" s="400">
        <f t="shared" ref="G1053:H1055" si="84">G1054</f>
        <v>0</v>
      </c>
      <c r="H1053" s="400">
        <f t="shared" si="84"/>
        <v>0</v>
      </c>
      <c r="I1053" s="310"/>
      <c r="J1053" s="72"/>
      <c r="K1053" s="302"/>
      <c r="L1053" s="302"/>
      <c r="M1053" s="302"/>
      <c r="N1053" s="302"/>
    </row>
    <row r="1054" spans="1:14" ht="15.75" hidden="1" x14ac:dyDescent="0.25">
      <c r="A1054" s="398" t="s">
        <v>266</v>
      </c>
      <c r="B1054" s="454">
        <v>908</v>
      </c>
      <c r="C1054" s="395" t="s">
        <v>168</v>
      </c>
      <c r="D1054" s="395" t="s">
        <v>158</v>
      </c>
      <c r="E1054" s="394" t="s">
        <v>535</v>
      </c>
      <c r="F1054" s="395"/>
      <c r="G1054" s="435">
        <f t="shared" si="84"/>
        <v>0</v>
      </c>
      <c r="H1054" s="435">
        <f t="shared" si="84"/>
        <v>0</v>
      </c>
      <c r="I1054" s="310"/>
      <c r="J1054" s="72"/>
      <c r="K1054" s="302"/>
      <c r="L1054" s="302"/>
      <c r="M1054" s="302"/>
      <c r="N1054" s="302"/>
    </row>
    <row r="1055" spans="1:14" ht="31.5" hidden="1" x14ac:dyDescent="0.25">
      <c r="A1055" s="393" t="s">
        <v>123</v>
      </c>
      <c r="B1055" s="454">
        <v>908</v>
      </c>
      <c r="C1055" s="395" t="s">
        <v>168</v>
      </c>
      <c r="D1055" s="395" t="s">
        <v>158</v>
      </c>
      <c r="E1055" s="394" t="s">
        <v>535</v>
      </c>
      <c r="F1055" s="395" t="s">
        <v>124</v>
      </c>
      <c r="G1055" s="435">
        <f t="shared" si="84"/>
        <v>0</v>
      </c>
      <c r="H1055" s="435">
        <f t="shared" si="84"/>
        <v>0</v>
      </c>
      <c r="I1055" s="310"/>
      <c r="J1055" s="72"/>
      <c r="K1055" s="302"/>
      <c r="L1055" s="302"/>
      <c r="M1055" s="302"/>
      <c r="N1055" s="302"/>
    </row>
    <row r="1056" spans="1:14" ht="31.5" hidden="1" x14ac:dyDescent="0.25">
      <c r="A1056" s="393" t="s">
        <v>125</v>
      </c>
      <c r="B1056" s="454">
        <v>908</v>
      </c>
      <c r="C1056" s="395" t="s">
        <v>168</v>
      </c>
      <c r="D1056" s="395" t="s">
        <v>158</v>
      </c>
      <c r="E1056" s="394" t="s">
        <v>535</v>
      </c>
      <c r="F1056" s="395" t="s">
        <v>126</v>
      </c>
      <c r="G1056" s="401"/>
      <c r="H1056" s="401"/>
      <c r="I1056" s="310"/>
      <c r="J1056" s="72"/>
      <c r="K1056" s="302"/>
      <c r="L1056" s="302"/>
      <c r="M1056" s="302"/>
      <c r="N1056" s="302"/>
    </row>
    <row r="1057" spans="1:14" ht="31.5" hidden="1" x14ac:dyDescent="0.25">
      <c r="A1057" s="473" t="s">
        <v>536</v>
      </c>
      <c r="B1057" s="453">
        <v>908</v>
      </c>
      <c r="C1057" s="399" t="s">
        <v>168</v>
      </c>
      <c r="D1057" s="399" t="s">
        <v>158</v>
      </c>
      <c r="E1057" s="406" t="s">
        <v>537</v>
      </c>
      <c r="F1057" s="399"/>
      <c r="G1057" s="400">
        <f t="shared" ref="G1057:H1059" si="85">G1058</f>
        <v>0</v>
      </c>
      <c r="H1057" s="400">
        <f t="shared" si="85"/>
        <v>0</v>
      </c>
      <c r="I1057" s="310"/>
      <c r="J1057" s="72"/>
      <c r="K1057" s="302"/>
      <c r="L1057" s="302"/>
      <c r="M1057" s="302"/>
      <c r="N1057" s="302"/>
    </row>
    <row r="1058" spans="1:14" ht="15.75" hidden="1" x14ac:dyDescent="0.25">
      <c r="A1058" s="398" t="s">
        <v>267</v>
      </c>
      <c r="B1058" s="454">
        <v>908</v>
      </c>
      <c r="C1058" s="395" t="s">
        <v>168</v>
      </c>
      <c r="D1058" s="395" t="s">
        <v>158</v>
      </c>
      <c r="E1058" s="394" t="s">
        <v>538</v>
      </c>
      <c r="F1058" s="395"/>
      <c r="G1058" s="435">
        <f t="shared" si="85"/>
        <v>0</v>
      </c>
      <c r="H1058" s="435">
        <f t="shared" si="85"/>
        <v>0</v>
      </c>
      <c r="I1058" s="310"/>
      <c r="J1058" s="72"/>
      <c r="K1058" s="302"/>
      <c r="L1058" s="302"/>
      <c r="M1058" s="302"/>
      <c r="N1058" s="302"/>
    </row>
    <row r="1059" spans="1:14" ht="31.5" hidden="1" x14ac:dyDescent="0.25">
      <c r="A1059" s="393" t="s">
        <v>123</v>
      </c>
      <c r="B1059" s="454">
        <v>908</v>
      </c>
      <c r="C1059" s="395" t="s">
        <v>168</v>
      </c>
      <c r="D1059" s="395" t="s">
        <v>158</v>
      </c>
      <c r="E1059" s="394" t="s">
        <v>538</v>
      </c>
      <c r="F1059" s="395" t="s">
        <v>124</v>
      </c>
      <c r="G1059" s="435">
        <f t="shared" si="85"/>
        <v>0</v>
      </c>
      <c r="H1059" s="435">
        <f t="shared" si="85"/>
        <v>0</v>
      </c>
      <c r="I1059" s="310"/>
      <c r="J1059" s="72"/>
      <c r="K1059" s="302"/>
      <c r="L1059" s="302"/>
      <c r="M1059" s="302"/>
      <c r="N1059" s="302"/>
    </row>
    <row r="1060" spans="1:14" ht="31.5" hidden="1" x14ac:dyDescent="0.25">
      <c r="A1060" s="393" t="s">
        <v>125</v>
      </c>
      <c r="B1060" s="454">
        <v>908</v>
      </c>
      <c r="C1060" s="395" t="s">
        <v>168</v>
      </c>
      <c r="D1060" s="395" t="s">
        <v>158</v>
      </c>
      <c r="E1060" s="394" t="s">
        <v>538</v>
      </c>
      <c r="F1060" s="395" t="s">
        <v>126</v>
      </c>
      <c r="G1060" s="401"/>
      <c r="H1060" s="401"/>
      <c r="I1060" s="310"/>
      <c r="J1060" s="72"/>
      <c r="K1060" s="302"/>
      <c r="L1060" s="302"/>
      <c r="M1060" s="302"/>
      <c r="N1060" s="302"/>
    </row>
    <row r="1061" spans="1:14" ht="31.7" hidden="1" customHeight="1" x14ac:dyDescent="0.25">
      <c r="A1061" s="405" t="s">
        <v>575</v>
      </c>
      <c r="B1061" s="453">
        <v>908</v>
      </c>
      <c r="C1061" s="399" t="s">
        <v>168</v>
      </c>
      <c r="D1061" s="399" t="s">
        <v>158</v>
      </c>
      <c r="E1061" s="406" t="s">
        <v>576</v>
      </c>
      <c r="F1061" s="399"/>
      <c r="G1061" s="400">
        <f t="shared" ref="G1061:H1063" si="86">G1062</f>
        <v>0</v>
      </c>
      <c r="H1061" s="400">
        <f t="shared" si="86"/>
        <v>0</v>
      </c>
      <c r="I1061" s="310"/>
      <c r="J1061" s="72"/>
      <c r="K1061" s="302"/>
      <c r="L1061" s="302"/>
      <c r="M1061" s="302"/>
      <c r="N1061" s="302"/>
    </row>
    <row r="1062" spans="1:14" ht="15.75" hidden="1" x14ac:dyDescent="0.25">
      <c r="A1062" s="398" t="s">
        <v>268</v>
      </c>
      <c r="B1062" s="454">
        <v>908</v>
      </c>
      <c r="C1062" s="395" t="s">
        <v>168</v>
      </c>
      <c r="D1062" s="395" t="s">
        <v>158</v>
      </c>
      <c r="E1062" s="394" t="s">
        <v>579</v>
      </c>
      <c r="F1062" s="395"/>
      <c r="G1062" s="435">
        <f t="shared" si="86"/>
        <v>0</v>
      </c>
      <c r="H1062" s="435">
        <f t="shared" si="86"/>
        <v>0</v>
      </c>
      <c r="I1062" s="310"/>
      <c r="J1062" s="72"/>
      <c r="K1062" s="302"/>
      <c r="L1062" s="302"/>
      <c r="M1062" s="302"/>
      <c r="N1062" s="302"/>
    </row>
    <row r="1063" spans="1:14" ht="31.5" hidden="1" x14ac:dyDescent="0.25">
      <c r="A1063" s="393" t="s">
        <v>123</v>
      </c>
      <c r="B1063" s="454">
        <v>908</v>
      </c>
      <c r="C1063" s="395" t="s">
        <v>168</v>
      </c>
      <c r="D1063" s="395" t="s">
        <v>158</v>
      </c>
      <c r="E1063" s="394" t="s">
        <v>579</v>
      </c>
      <c r="F1063" s="395" t="s">
        <v>124</v>
      </c>
      <c r="G1063" s="435">
        <f t="shared" si="86"/>
        <v>0</v>
      </c>
      <c r="H1063" s="435">
        <f t="shared" si="86"/>
        <v>0</v>
      </c>
      <c r="I1063" s="310"/>
      <c r="J1063" s="72"/>
      <c r="K1063" s="302"/>
      <c r="L1063" s="302"/>
      <c r="M1063" s="302"/>
      <c r="N1063" s="302"/>
    </row>
    <row r="1064" spans="1:14" ht="31.5" hidden="1" x14ac:dyDescent="0.25">
      <c r="A1064" s="393" t="s">
        <v>125</v>
      </c>
      <c r="B1064" s="454">
        <v>908</v>
      </c>
      <c r="C1064" s="395" t="s">
        <v>168</v>
      </c>
      <c r="D1064" s="395" t="s">
        <v>158</v>
      </c>
      <c r="E1064" s="394" t="s">
        <v>579</v>
      </c>
      <c r="F1064" s="395" t="s">
        <v>126</v>
      </c>
      <c r="G1064" s="435">
        <v>0</v>
      </c>
      <c r="H1064" s="435">
        <v>0</v>
      </c>
      <c r="I1064" s="310"/>
      <c r="J1064" s="72"/>
      <c r="K1064" s="302"/>
      <c r="L1064" s="302"/>
      <c r="M1064" s="302"/>
      <c r="N1064" s="302"/>
    </row>
    <row r="1065" spans="1:14" ht="31.5" hidden="1" x14ac:dyDescent="0.25">
      <c r="A1065" s="495" t="s">
        <v>577</v>
      </c>
      <c r="B1065" s="453">
        <v>908</v>
      </c>
      <c r="C1065" s="399" t="s">
        <v>168</v>
      </c>
      <c r="D1065" s="399" t="s">
        <v>158</v>
      </c>
      <c r="E1065" s="406" t="s">
        <v>578</v>
      </c>
      <c r="F1065" s="399"/>
      <c r="G1065" s="438">
        <f t="shared" ref="G1065:H1067" si="87">G1066</f>
        <v>0</v>
      </c>
      <c r="H1065" s="438">
        <f t="shared" si="87"/>
        <v>0</v>
      </c>
      <c r="I1065" s="310"/>
      <c r="J1065" s="72"/>
      <c r="K1065" s="302"/>
      <c r="L1065" s="302"/>
      <c r="M1065" s="302"/>
      <c r="N1065" s="302"/>
    </row>
    <row r="1066" spans="1:14" ht="21.75" hidden="1" customHeight="1" x14ac:dyDescent="0.25">
      <c r="A1066" s="459" t="s">
        <v>269</v>
      </c>
      <c r="B1066" s="454">
        <v>908</v>
      </c>
      <c r="C1066" s="395" t="s">
        <v>168</v>
      </c>
      <c r="D1066" s="395" t="s">
        <v>158</v>
      </c>
      <c r="E1066" s="394" t="s">
        <v>580</v>
      </c>
      <c r="F1066" s="395"/>
      <c r="G1066" s="435">
        <f t="shared" si="87"/>
        <v>0</v>
      </c>
      <c r="H1066" s="435">
        <f t="shared" si="87"/>
        <v>0</v>
      </c>
      <c r="I1066" s="310"/>
      <c r="J1066" s="72"/>
      <c r="K1066" s="302"/>
      <c r="L1066" s="302"/>
      <c r="M1066" s="302"/>
      <c r="N1066" s="302"/>
    </row>
    <row r="1067" spans="1:14" ht="31.7" hidden="1" customHeight="1" x14ac:dyDescent="0.25">
      <c r="A1067" s="393" t="s">
        <v>123</v>
      </c>
      <c r="B1067" s="454">
        <v>908</v>
      </c>
      <c r="C1067" s="395" t="s">
        <v>168</v>
      </c>
      <c r="D1067" s="395" t="s">
        <v>158</v>
      </c>
      <c r="E1067" s="394" t="s">
        <v>580</v>
      </c>
      <c r="F1067" s="395" t="s">
        <v>124</v>
      </c>
      <c r="G1067" s="435">
        <f t="shared" si="87"/>
        <v>0</v>
      </c>
      <c r="H1067" s="435">
        <f t="shared" si="87"/>
        <v>0</v>
      </c>
      <c r="I1067" s="310"/>
      <c r="J1067" s="72"/>
      <c r="K1067" s="302"/>
      <c r="L1067" s="302"/>
      <c r="M1067" s="302"/>
      <c r="N1067" s="302"/>
    </row>
    <row r="1068" spans="1:14" ht="36" hidden="1" customHeight="1" x14ac:dyDescent="0.25">
      <c r="A1068" s="393" t="s">
        <v>125</v>
      </c>
      <c r="B1068" s="454">
        <v>908</v>
      </c>
      <c r="C1068" s="395" t="s">
        <v>168</v>
      </c>
      <c r="D1068" s="395" t="s">
        <v>158</v>
      </c>
      <c r="E1068" s="394" t="s">
        <v>580</v>
      </c>
      <c r="F1068" s="395" t="s">
        <v>126</v>
      </c>
      <c r="G1068" s="435">
        <v>0</v>
      </c>
      <c r="H1068" s="435">
        <v>0</v>
      </c>
      <c r="I1068" s="310"/>
      <c r="J1068" s="72"/>
      <c r="K1068" s="302"/>
      <c r="L1068" s="302"/>
      <c r="M1068" s="302"/>
      <c r="N1068" s="302"/>
    </row>
    <row r="1069" spans="1:14" ht="31.7" hidden="1" customHeight="1" x14ac:dyDescent="0.25">
      <c r="A1069" s="495" t="s">
        <v>540</v>
      </c>
      <c r="B1069" s="453">
        <v>908</v>
      </c>
      <c r="C1069" s="399" t="s">
        <v>168</v>
      </c>
      <c r="D1069" s="399" t="s">
        <v>158</v>
      </c>
      <c r="E1069" s="406" t="s">
        <v>541</v>
      </c>
      <c r="F1069" s="399"/>
      <c r="G1069" s="438">
        <f t="shared" ref="G1069:H1071" si="88">G1070</f>
        <v>0</v>
      </c>
      <c r="H1069" s="438">
        <f t="shared" si="88"/>
        <v>0</v>
      </c>
      <c r="I1069" s="310"/>
      <c r="J1069" s="72"/>
      <c r="K1069" s="302"/>
      <c r="L1069" s="302"/>
      <c r="M1069" s="302"/>
      <c r="N1069" s="302"/>
    </row>
    <row r="1070" spans="1:14" ht="15.75" hidden="1" x14ac:dyDescent="0.25">
      <c r="A1070" s="459" t="s">
        <v>270</v>
      </c>
      <c r="B1070" s="454">
        <v>908</v>
      </c>
      <c r="C1070" s="395" t="s">
        <v>168</v>
      </c>
      <c r="D1070" s="395" t="s">
        <v>158</v>
      </c>
      <c r="E1070" s="394" t="s">
        <v>539</v>
      </c>
      <c r="F1070" s="395"/>
      <c r="G1070" s="435">
        <f t="shared" si="88"/>
        <v>0</v>
      </c>
      <c r="H1070" s="435">
        <f t="shared" si="88"/>
        <v>0</v>
      </c>
      <c r="I1070" s="310"/>
      <c r="J1070" s="72"/>
      <c r="K1070" s="302"/>
    </row>
    <row r="1071" spans="1:14" ht="31.5" hidden="1" x14ac:dyDescent="0.25">
      <c r="A1071" s="391" t="s">
        <v>123</v>
      </c>
      <c r="B1071" s="454">
        <v>908</v>
      </c>
      <c r="C1071" s="395" t="s">
        <v>168</v>
      </c>
      <c r="D1071" s="395" t="s">
        <v>158</v>
      </c>
      <c r="E1071" s="394" t="s">
        <v>539</v>
      </c>
      <c r="F1071" s="395" t="s">
        <v>124</v>
      </c>
      <c r="G1071" s="435">
        <f t="shared" si="88"/>
        <v>0</v>
      </c>
      <c r="H1071" s="435">
        <f t="shared" si="88"/>
        <v>0</v>
      </c>
      <c r="I1071" s="310"/>
      <c r="J1071" s="72"/>
    </row>
    <row r="1072" spans="1:14" ht="31.5" hidden="1" x14ac:dyDescent="0.25">
      <c r="A1072" s="391" t="s">
        <v>125</v>
      </c>
      <c r="B1072" s="454">
        <v>908</v>
      </c>
      <c r="C1072" s="395" t="s">
        <v>168</v>
      </c>
      <c r="D1072" s="395" t="s">
        <v>158</v>
      </c>
      <c r="E1072" s="394" t="s">
        <v>539</v>
      </c>
      <c r="F1072" s="395" t="s">
        <v>126</v>
      </c>
      <c r="G1072" s="435"/>
      <c r="H1072" s="435"/>
      <c r="I1072" s="310"/>
      <c r="J1072" s="72"/>
    </row>
    <row r="1073" spans="1:10" ht="31.5" x14ac:dyDescent="0.25">
      <c r="A1073" s="409" t="s">
        <v>984</v>
      </c>
      <c r="B1073" s="453">
        <v>908</v>
      </c>
      <c r="C1073" s="399" t="s">
        <v>168</v>
      </c>
      <c r="D1073" s="399" t="s">
        <v>158</v>
      </c>
      <c r="E1073" s="406" t="s">
        <v>690</v>
      </c>
      <c r="F1073" s="399"/>
      <c r="G1073" s="438">
        <f t="shared" ref="G1073:H1076" si="89">G1074</f>
        <v>204</v>
      </c>
      <c r="H1073" s="438">
        <f t="shared" si="89"/>
        <v>204</v>
      </c>
      <c r="I1073" s="310"/>
      <c r="J1073" s="72"/>
    </row>
    <row r="1074" spans="1:10" ht="31.5" x14ac:dyDescent="0.25">
      <c r="A1074" s="409" t="s">
        <v>691</v>
      </c>
      <c r="B1074" s="453">
        <v>908</v>
      </c>
      <c r="C1074" s="399" t="s">
        <v>168</v>
      </c>
      <c r="D1074" s="399" t="s">
        <v>158</v>
      </c>
      <c r="E1074" s="406" t="s">
        <v>692</v>
      </c>
      <c r="F1074" s="399"/>
      <c r="G1074" s="438">
        <f t="shared" si="89"/>
        <v>204</v>
      </c>
      <c r="H1074" s="438">
        <f t="shared" si="89"/>
        <v>204</v>
      </c>
      <c r="I1074" s="310"/>
      <c r="J1074" s="72"/>
    </row>
    <row r="1075" spans="1:10" ht="15.75" x14ac:dyDescent="0.25">
      <c r="A1075" s="391" t="s">
        <v>271</v>
      </c>
      <c r="B1075" s="454">
        <v>908</v>
      </c>
      <c r="C1075" s="395" t="s">
        <v>168</v>
      </c>
      <c r="D1075" s="395" t="s">
        <v>158</v>
      </c>
      <c r="E1075" s="394" t="s">
        <v>693</v>
      </c>
      <c r="F1075" s="395"/>
      <c r="G1075" s="435">
        <f t="shared" si="89"/>
        <v>204</v>
      </c>
      <c r="H1075" s="435">
        <f t="shared" si="89"/>
        <v>204</v>
      </c>
      <c r="I1075" s="310"/>
      <c r="J1075" s="72"/>
    </row>
    <row r="1076" spans="1:10" ht="31.5" x14ac:dyDescent="0.25">
      <c r="A1076" s="391" t="s">
        <v>123</v>
      </c>
      <c r="B1076" s="454">
        <v>908</v>
      </c>
      <c r="C1076" s="395" t="s">
        <v>168</v>
      </c>
      <c r="D1076" s="395" t="s">
        <v>158</v>
      </c>
      <c r="E1076" s="394" t="s">
        <v>693</v>
      </c>
      <c r="F1076" s="395" t="s">
        <v>124</v>
      </c>
      <c r="G1076" s="435">
        <f t="shared" si="89"/>
        <v>204</v>
      </c>
      <c r="H1076" s="435">
        <f t="shared" si="89"/>
        <v>204</v>
      </c>
      <c r="I1076" s="310"/>
      <c r="J1076" s="72"/>
    </row>
    <row r="1077" spans="1:10" ht="31.5" x14ac:dyDescent="0.25">
      <c r="A1077" s="391" t="s">
        <v>125</v>
      </c>
      <c r="B1077" s="454">
        <v>908</v>
      </c>
      <c r="C1077" s="395" t="s">
        <v>168</v>
      </c>
      <c r="D1077" s="395" t="s">
        <v>158</v>
      </c>
      <c r="E1077" s="394" t="s">
        <v>693</v>
      </c>
      <c r="F1077" s="395" t="s">
        <v>126</v>
      </c>
      <c r="G1077" s="435">
        <f>204</f>
        <v>204</v>
      </c>
      <c r="H1077" s="435">
        <f>204</f>
        <v>204</v>
      </c>
      <c r="I1077" s="310"/>
      <c r="J1077" s="72"/>
    </row>
    <row r="1078" spans="1:10" ht="15.75" x14ac:dyDescent="0.25">
      <c r="A1078" s="409" t="s">
        <v>272</v>
      </c>
      <c r="B1078" s="453">
        <v>908</v>
      </c>
      <c r="C1078" s="406" t="s">
        <v>168</v>
      </c>
      <c r="D1078" s="406" t="s">
        <v>159</v>
      </c>
      <c r="E1078" s="406"/>
      <c r="F1078" s="406"/>
      <c r="G1078" s="438">
        <f>G1079+G1084+G1131</f>
        <v>9771.4399999999987</v>
      </c>
      <c r="H1078" s="438">
        <f>H1079+H1084+H1131</f>
        <v>9771.4399999999987</v>
      </c>
      <c r="I1078" s="310"/>
      <c r="J1078" s="302"/>
    </row>
    <row r="1079" spans="1:10" ht="15.75" x14ac:dyDescent="0.25">
      <c r="A1079" s="409" t="s">
        <v>133</v>
      </c>
      <c r="B1079" s="453">
        <v>908</v>
      </c>
      <c r="C1079" s="406" t="s">
        <v>168</v>
      </c>
      <c r="D1079" s="406" t="s">
        <v>159</v>
      </c>
      <c r="E1079" s="406" t="s">
        <v>440</v>
      </c>
      <c r="F1079" s="406"/>
      <c r="G1079" s="438">
        <f t="shared" ref="G1079:H1082" si="90">G1080</f>
        <v>390</v>
      </c>
      <c r="H1079" s="438">
        <f t="shared" si="90"/>
        <v>390</v>
      </c>
      <c r="I1079" s="310"/>
      <c r="J1079" s="302"/>
    </row>
    <row r="1080" spans="1:10" ht="31.5" x14ac:dyDescent="0.25">
      <c r="A1080" s="409" t="s">
        <v>444</v>
      </c>
      <c r="B1080" s="453">
        <v>908</v>
      </c>
      <c r="C1080" s="406" t="s">
        <v>168</v>
      </c>
      <c r="D1080" s="406" t="s">
        <v>159</v>
      </c>
      <c r="E1080" s="406" t="s">
        <v>439</v>
      </c>
      <c r="F1080" s="406"/>
      <c r="G1080" s="438">
        <f t="shared" si="90"/>
        <v>390</v>
      </c>
      <c r="H1080" s="438">
        <f t="shared" si="90"/>
        <v>390</v>
      </c>
      <c r="I1080" s="310"/>
      <c r="J1080" s="302"/>
    </row>
    <row r="1081" spans="1:10" ht="15.75" x14ac:dyDescent="0.25">
      <c r="A1081" s="391" t="s">
        <v>279</v>
      </c>
      <c r="B1081" s="454">
        <v>908</v>
      </c>
      <c r="C1081" s="394" t="s">
        <v>168</v>
      </c>
      <c r="D1081" s="394" t="s">
        <v>159</v>
      </c>
      <c r="E1081" s="394" t="s">
        <v>627</v>
      </c>
      <c r="F1081" s="394"/>
      <c r="G1081" s="435">
        <f t="shared" si="90"/>
        <v>390</v>
      </c>
      <c r="H1081" s="435">
        <f t="shared" si="90"/>
        <v>390</v>
      </c>
      <c r="I1081" s="310"/>
      <c r="J1081" s="302"/>
    </row>
    <row r="1082" spans="1:10" ht="31.5" x14ac:dyDescent="0.25">
      <c r="A1082" s="391" t="s">
        <v>123</v>
      </c>
      <c r="B1082" s="454">
        <v>908</v>
      </c>
      <c r="C1082" s="394" t="s">
        <v>168</v>
      </c>
      <c r="D1082" s="394" t="s">
        <v>159</v>
      </c>
      <c r="E1082" s="394" t="s">
        <v>627</v>
      </c>
      <c r="F1082" s="394" t="s">
        <v>124</v>
      </c>
      <c r="G1082" s="435">
        <f t="shared" si="90"/>
        <v>390</v>
      </c>
      <c r="H1082" s="435">
        <f t="shared" si="90"/>
        <v>390</v>
      </c>
      <c r="I1082" s="310"/>
      <c r="J1082" s="72"/>
    </row>
    <row r="1083" spans="1:10" ht="31.5" x14ac:dyDescent="0.25">
      <c r="A1083" s="391" t="s">
        <v>125</v>
      </c>
      <c r="B1083" s="454">
        <v>908</v>
      </c>
      <c r="C1083" s="394" t="s">
        <v>168</v>
      </c>
      <c r="D1083" s="394" t="s">
        <v>159</v>
      </c>
      <c r="E1083" s="394" t="s">
        <v>627</v>
      </c>
      <c r="F1083" s="394" t="s">
        <v>126</v>
      </c>
      <c r="G1083" s="436">
        <v>390</v>
      </c>
      <c r="H1083" s="436">
        <v>390</v>
      </c>
      <c r="I1083" s="310"/>
      <c r="J1083" s="302"/>
    </row>
    <row r="1084" spans="1:10" ht="34.5" customHeight="1" x14ac:dyDescent="0.25">
      <c r="A1084" s="409" t="s">
        <v>865</v>
      </c>
      <c r="B1084" s="453">
        <v>908</v>
      </c>
      <c r="C1084" s="406" t="s">
        <v>168</v>
      </c>
      <c r="D1084" s="406" t="s">
        <v>159</v>
      </c>
      <c r="E1084" s="406" t="s">
        <v>273</v>
      </c>
      <c r="F1084" s="406"/>
      <c r="G1084" s="438">
        <f>G1085+G1116+G1089+G1123+G1127</f>
        <v>8881.4399999999987</v>
      </c>
      <c r="H1084" s="438">
        <f>H1085+H1116+H1089+H1123+H1127</f>
        <v>8881.4399999999987</v>
      </c>
      <c r="I1084" s="310"/>
      <c r="J1084" s="302"/>
    </row>
    <row r="1085" spans="1:10" ht="35.450000000000003" hidden="1" customHeight="1" x14ac:dyDescent="0.25">
      <c r="A1085" s="409" t="s">
        <v>920</v>
      </c>
      <c r="B1085" s="453">
        <v>908</v>
      </c>
      <c r="C1085" s="406" t="s">
        <v>168</v>
      </c>
      <c r="D1085" s="406" t="s">
        <v>159</v>
      </c>
      <c r="E1085" s="406" t="s">
        <v>798</v>
      </c>
      <c r="F1085" s="406"/>
      <c r="G1085" s="438">
        <f t="shared" ref="G1085:H1087" si="91">G1086</f>
        <v>0</v>
      </c>
      <c r="H1085" s="438">
        <f t="shared" si="91"/>
        <v>0</v>
      </c>
      <c r="I1085" s="310"/>
      <c r="J1085" s="302"/>
    </row>
    <row r="1086" spans="1:10" ht="21.2" hidden="1" customHeight="1" x14ac:dyDescent="0.25">
      <c r="A1086" s="496" t="s">
        <v>921</v>
      </c>
      <c r="B1086" s="454">
        <v>908</v>
      </c>
      <c r="C1086" s="394" t="s">
        <v>168</v>
      </c>
      <c r="D1086" s="394" t="s">
        <v>159</v>
      </c>
      <c r="E1086" s="394" t="s">
        <v>911</v>
      </c>
      <c r="F1086" s="394"/>
      <c r="G1086" s="435">
        <f t="shared" si="91"/>
        <v>0</v>
      </c>
      <c r="H1086" s="435">
        <f t="shared" si="91"/>
        <v>0</v>
      </c>
      <c r="I1086" s="310"/>
      <c r="J1086" s="302"/>
    </row>
    <row r="1087" spans="1:10" ht="35.450000000000003" hidden="1" customHeight="1" x14ac:dyDescent="0.25">
      <c r="A1087" s="391" t="s">
        <v>123</v>
      </c>
      <c r="B1087" s="454">
        <v>908</v>
      </c>
      <c r="C1087" s="394" t="s">
        <v>168</v>
      </c>
      <c r="D1087" s="394" t="s">
        <v>159</v>
      </c>
      <c r="E1087" s="394" t="s">
        <v>911</v>
      </c>
      <c r="F1087" s="394" t="s">
        <v>124</v>
      </c>
      <c r="G1087" s="435">
        <f t="shared" si="91"/>
        <v>0</v>
      </c>
      <c r="H1087" s="435">
        <f t="shared" si="91"/>
        <v>0</v>
      </c>
      <c r="I1087" s="310"/>
      <c r="J1087" s="302"/>
    </row>
    <row r="1088" spans="1:10" ht="35.450000000000003" hidden="1" customHeight="1" x14ac:dyDescent="0.25">
      <c r="A1088" s="391" t="s">
        <v>125</v>
      </c>
      <c r="B1088" s="454">
        <v>908</v>
      </c>
      <c r="C1088" s="394" t="s">
        <v>168</v>
      </c>
      <c r="D1088" s="394" t="s">
        <v>159</v>
      </c>
      <c r="E1088" s="394" t="s">
        <v>911</v>
      </c>
      <c r="F1088" s="394" t="s">
        <v>126</v>
      </c>
      <c r="G1088" s="435">
        <v>0</v>
      </c>
      <c r="H1088" s="435">
        <v>0</v>
      </c>
      <c r="I1088" s="310"/>
      <c r="J1088" s="302"/>
    </row>
    <row r="1089" spans="1:17" ht="35.450000000000003" customHeight="1" x14ac:dyDescent="0.25">
      <c r="A1089" s="409" t="s">
        <v>939</v>
      </c>
      <c r="B1089" s="453">
        <v>908</v>
      </c>
      <c r="C1089" s="406" t="s">
        <v>168</v>
      </c>
      <c r="D1089" s="406" t="s">
        <v>159</v>
      </c>
      <c r="E1089" s="406" t="s">
        <v>799</v>
      </c>
      <c r="F1089" s="406"/>
      <c r="G1089" s="438">
        <f>G1090+G1093+G1099+G1102+G1105+G1110+G1113</f>
        <v>2248</v>
      </c>
      <c r="H1089" s="438">
        <f>H1090+H1093+H1099+H1102+H1105+H1110+H1113</f>
        <v>2248</v>
      </c>
      <c r="I1089" s="310"/>
      <c r="J1089" s="302"/>
    </row>
    <row r="1090" spans="1:17" ht="19.5" customHeight="1" x14ac:dyDescent="0.25">
      <c r="A1090" s="391" t="s">
        <v>274</v>
      </c>
      <c r="B1090" s="454">
        <v>908</v>
      </c>
      <c r="C1090" s="394" t="s">
        <v>168</v>
      </c>
      <c r="D1090" s="394" t="s">
        <v>159</v>
      </c>
      <c r="E1090" s="394" t="s">
        <v>919</v>
      </c>
      <c r="F1090" s="394"/>
      <c r="G1090" s="435">
        <f>G1091</f>
        <v>365</v>
      </c>
      <c r="H1090" s="435">
        <f>H1091</f>
        <v>365</v>
      </c>
      <c r="I1090" s="310"/>
      <c r="J1090" s="302"/>
    </row>
    <row r="1091" spans="1:17" ht="31.5" x14ac:dyDescent="0.25">
      <c r="A1091" s="391" t="s">
        <v>123</v>
      </c>
      <c r="B1091" s="454">
        <v>908</v>
      </c>
      <c r="C1091" s="394" t="s">
        <v>168</v>
      </c>
      <c r="D1091" s="394" t="s">
        <v>159</v>
      </c>
      <c r="E1091" s="394" t="s">
        <v>919</v>
      </c>
      <c r="F1091" s="394" t="s">
        <v>124</v>
      </c>
      <c r="G1091" s="435">
        <f>G1092</f>
        <v>365</v>
      </c>
      <c r="H1091" s="435">
        <f>H1092</f>
        <v>365</v>
      </c>
      <c r="I1091" s="310"/>
      <c r="J1091" s="302"/>
    </row>
    <row r="1092" spans="1:17" ht="31.5" x14ac:dyDescent="0.25">
      <c r="A1092" s="391" t="s">
        <v>125</v>
      </c>
      <c r="B1092" s="454">
        <v>908</v>
      </c>
      <c r="C1092" s="394" t="s">
        <v>168</v>
      </c>
      <c r="D1092" s="394" t="s">
        <v>159</v>
      </c>
      <c r="E1092" s="394" t="s">
        <v>919</v>
      </c>
      <c r="F1092" s="394" t="s">
        <v>126</v>
      </c>
      <c r="G1092" s="435">
        <v>365</v>
      </c>
      <c r="H1092" s="435">
        <v>365</v>
      </c>
      <c r="I1092" s="310"/>
      <c r="J1092" s="302"/>
      <c r="K1092" s="320"/>
    </row>
    <row r="1093" spans="1:17" ht="15.75" x14ac:dyDescent="0.25">
      <c r="A1093" s="391" t="s">
        <v>638</v>
      </c>
      <c r="B1093" s="454">
        <v>908</v>
      </c>
      <c r="C1093" s="394" t="s">
        <v>168</v>
      </c>
      <c r="D1093" s="394" t="s">
        <v>159</v>
      </c>
      <c r="E1093" s="394" t="s">
        <v>910</v>
      </c>
      <c r="F1093" s="394"/>
      <c r="G1093" s="435">
        <f>G1094+G1096</f>
        <v>1408</v>
      </c>
      <c r="H1093" s="435">
        <f>H1094+H1096</f>
        <v>1408</v>
      </c>
      <c r="I1093" s="310"/>
      <c r="J1093" s="302"/>
    </row>
    <row r="1094" spans="1:17" ht="31.5" x14ac:dyDescent="0.25">
      <c r="A1094" s="391" t="s">
        <v>123</v>
      </c>
      <c r="B1094" s="454">
        <v>908</v>
      </c>
      <c r="C1094" s="394" t="s">
        <v>168</v>
      </c>
      <c r="D1094" s="394" t="s">
        <v>159</v>
      </c>
      <c r="E1094" s="394" t="s">
        <v>910</v>
      </c>
      <c r="F1094" s="394" t="s">
        <v>124</v>
      </c>
      <c r="G1094" s="435">
        <f>G1095</f>
        <v>1408</v>
      </c>
      <c r="H1094" s="435">
        <f>H1095</f>
        <v>1408</v>
      </c>
      <c r="I1094" s="310"/>
      <c r="J1094" s="302"/>
    </row>
    <row r="1095" spans="1:17" ht="31.5" x14ac:dyDescent="0.25">
      <c r="A1095" s="391" t="s">
        <v>125</v>
      </c>
      <c r="B1095" s="454">
        <v>908</v>
      </c>
      <c r="C1095" s="394" t="s">
        <v>168</v>
      </c>
      <c r="D1095" s="394" t="s">
        <v>159</v>
      </c>
      <c r="E1095" s="394" t="s">
        <v>910</v>
      </c>
      <c r="F1095" s="394" t="s">
        <v>126</v>
      </c>
      <c r="G1095" s="435">
        <f>1408</f>
        <v>1408</v>
      </c>
      <c r="H1095" s="435">
        <f>1408</f>
        <v>1408</v>
      </c>
      <c r="I1095" s="310"/>
      <c r="J1095" s="302"/>
      <c r="N1095" s="320"/>
      <c r="Q1095" s="320"/>
    </row>
    <row r="1096" spans="1:17" ht="15.75" hidden="1" x14ac:dyDescent="0.25">
      <c r="A1096" s="391" t="s">
        <v>127</v>
      </c>
      <c r="B1096" s="454">
        <v>908</v>
      </c>
      <c r="C1096" s="394" t="s">
        <v>168</v>
      </c>
      <c r="D1096" s="394" t="s">
        <v>159</v>
      </c>
      <c r="E1096" s="394" t="s">
        <v>910</v>
      </c>
      <c r="F1096" s="394" t="s">
        <v>134</v>
      </c>
      <c r="G1096" s="435">
        <f>G1098+G1097</f>
        <v>0</v>
      </c>
      <c r="H1096" s="435">
        <f>H1098+H1097</f>
        <v>0</v>
      </c>
      <c r="I1096" s="310"/>
      <c r="J1096" s="302"/>
    </row>
    <row r="1097" spans="1:17" ht="32.25" hidden="1" customHeight="1" x14ac:dyDescent="0.25">
      <c r="A1097" s="391" t="s">
        <v>411</v>
      </c>
      <c r="B1097" s="454">
        <v>908</v>
      </c>
      <c r="C1097" s="394" t="s">
        <v>168</v>
      </c>
      <c r="D1097" s="394" t="s">
        <v>159</v>
      </c>
      <c r="E1097" s="394" t="s">
        <v>910</v>
      </c>
      <c r="F1097" s="394" t="s">
        <v>136</v>
      </c>
      <c r="G1097" s="435">
        <v>0</v>
      </c>
      <c r="H1097" s="435">
        <v>0</v>
      </c>
      <c r="I1097" s="310"/>
      <c r="J1097" s="302"/>
    </row>
    <row r="1098" spans="1:17" ht="15.75" hidden="1" x14ac:dyDescent="0.25">
      <c r="A1098" s="391" t="s">
        <v>338</v>
      </c>
      <c r="B1098" s="454">
        <v>908</v>
      </c>
      <c r="C1098" s="394" t="s">
        <v>168</v>
      </c>
      <c r="D1098" s="394" t="s">
        <v>159</v>
      </c>
      <c r="E1098" s="394" t="s">
        <v>910</v>
      </c>
      <c r="F1098" s="394" t="s">
        <v>130</v>
      </c>
      <c r="G1098" s="435">
        <f>3.4+37.5-40.9</f>
        <v>0</v>
      </c>
      <c r="H1098" s="435">
        <f>3.4+37.5-40.9</f>
        <v>0</v>
      </c>
      <c r="I1098" s="310"/>
      <c r="J1098" s="302"/>
    </row>
    <row r="1099" spans="1:17" ht="15.75" hidden="1" x14ac:dyDescent="0.25">
      <c r="A1099" s="391" t="s">
        <v>276</v>
      </c>
      <c r="B1099" s="454">
        <v>908</v>
      </c>
      <c r="C1099" s="394" t="s">
        <v>168</v>
      </c>
      <c r="D1099" s="394" t="s">
        <v>159</v>
      </c>
      <c r="E1099" s="394" t="s">
        <v>814</v>
      </c>
      <c r="F1099" s="394"/>
      <c r="G1099" s="435">
        <f>G1100</f>
        <v>0</v>
      </c>
      <c r="H1099" s="435">
        <f>H1100</f>
        <v>0</v>
      </c>
      <c r="I1099" s="310"/>
      <c r="J1099" s="302"/>
    </row>
    <row r="1100" spans="1:17" ht="31.5" hidden="1" x14ac:dyDescent="0.25">
      <c r="A1100" s="391" t="s">
        <v>123</v>
      </c>
      <c r="B1100" s="454">
        <v>908</v>
      </c>
      <c r="C1100" s="394" t="s">
        <v>168</v>
      </c>
      <c r="D1100" s="394" t="s">
        <v>159</v>
      </c>
      <c r="E1100" s="394" t="s">
        <v>814</v>
      </c>
      <c r="F1100" s="394" t="s">
        <v>124</v>
      </c>
      <c r="G1100" s="435">
        <f>G1101</f>
        <v>0</v>
      </c>
      <c r="H1100" s="435">
        <f>H1101</f>
        <v>0</v>
      </c>
      <c r="I1100" s="310"/>
      <c r="J1100" s="302"/>
    </row>
    <row r="1101" spans="1:17" ht="31.5" hidden="1" x14ac:dyDescent="0.25">
      <c r="A1101" s="391" t="s">
        <v>125</v>
      </c>
      <c r="B1101" s="454">
        <v>908</v>
      </c>
      <c r="C1101" s="394" t="s">
        <v>168</v>
      </c>
      <c r="D1101" s="394" t="s">
        <v>159</v>
      </c>
      <c r="E1101" s="394" t="s">
        <v>814</v>
      </c>
      <c r="F1101" s="394" t="s">
        <v>126</v>
      </c>
      <c r="G1101" s="435">
        <v>0</v>
      </c>
      <c r="H1101" s="435">
        <v>0</v>
      </c>
      <c r="I1101" s="310"/>
      <c r="J1101" s="302"/>
    </row>
    <row r="1102" spans="1:17" ht="15.75" x14ac:dyDescent="0.25">
      <c r="A1102" s="391" t="s">
        <v>277</v>
      </c>
      <c r="B1102" s="454">
        <v>908</v>
      </c>
      <c r="C1102" s="394" t="s">
        <v>168</v>
      </c>
      <c r="D1102" s="394" t="s">
        <v>159</v>
      </c>
      <c r="E1102" s="394" t="s">
        <v>800</v>
      </c>
      <c r="F1102" s="394"/>
      <c r="G1102" s="435">
        <f>G1103</f>
        <v>50</v>
      </c>
      <c r="H1102" s="435">
        <f>H1103</f>
        <v>50</v>
      </c>
      <c r="I1102" s="310"/>
      <c r="J1102" s="302"/>
    </row>
    <row r="1103" spans="1:17" ht="31.5" x14ac:dyDescent="0.25">
      <c r="A1103" s="391" t="s">
        <v>123</v>
      </c>
      <c r="B1103" s="454">
        <v>908</v>
      </c>
      <c r="C1103" s="394" t="s">
        <v>168</v>
      </c>
      <c r="D1103" s="394" t="s">
        <v>159</v>
      </c>
      <c r="E1103" s="394" t="s">
        <v>800</v>
      </c>
      <c r="F1103" s="394" t="s">
        <v>124</v>
      </c>
      <c r="G1103" s="435">
        <f>G1104</f>
        <v>50</v>
      </c>
      <c r="H1103" s="435">
        <f>H1104</f>
        <v>50</v>
      </c>
      <c r="I1103" s="310"/>
      <c r="J1103" s="302"/>
    </row>
    <row r="1104" spans="1:17" ht="36" customHeight="1" x14ac:dyDescent="0.25">
      <c r="A1104" s="391" t="s">
        <v>125</v>
      </c>
      <c r="B1104" s="454">
        <v>908</v>
      </c>
      <c r="C1104" s="394" t="s">
        <v>168</v>
      </c>
      <c r="D1104" s="394" t="s">
        <v>159</v>
      </c>
      <c r="E1104" s="394" t="s">
        <v>800</v>
      </c>
      <c r="F1104" s="394" t="s">
        <v>126</v>
      </c>
      <c r="G1104" s="435">
        <v>50</v>
      </c>
      <c r="H1104" s="435">
        <v>50</v>
      </c>
      <c r="I1104" s="310"/>
      <c r="J1104" s="302"/>
    </row>
    <row r="1105" spans="1:10" ht="30.75" customHeight="1" x14ac:dyDescent="0.25">
      <c r="A1105" s="497" t="s">
        <v>922</v>
      </c>
      <c r="B1105" s="454">
        <v>908</v>
      </c>
      <c r="C1105" s="394" t="s">
        <v>168</v>
      </c>
      <c r="D1105" s="394" t="s">
        <v>159</v>
      </c>
      <c r="E1105" s="394" t="s">
        <v>801</v>
      </c>
      <c r="F1105" s="394"/>
      <c r="G1105" s="435">
        <f>G1106+G1108</f>
        <v>375</v>
      </c>
      <c r="H1105" s="435">
        <f>H1106+H1108</f>
        <v>375</v>
      </c>
      <c r="I1105" s="310"/>
      <c r="J1105" s="302"/>
    </row>
    <row r="1106" spans="1:10" ht="31.5" x14ac:dyDescent="0.25">
      <c r="A1106" s="391" t="s">
        <v>123</v>
      </c>
      <c r="B1106" s="454">
        <v>908</v>
      </c>
      <c r="C1106" s="394" t="s">
        <v>168</v>
      </c>
      <c r="D1106" s="394" t="s">
        <v>159</v>
      </c>
      <c r="E1106" s="394" t="s">
        <v>801</v>
      </c>
      <c r="F1106" s="394" t="s">
        <v>124</v>
      </c>
      <c r="G1106" s="435">
        <f>G1107</f>
        <v>375</v>
      </c>
      <c r="H1106" s="435">
        <f>H1107</f>
        <v>375</v>
      </c>
      <c r="I1106" s="310"/>
      <c r="J1106" s="302"/>
    </row>
    <row r="1107" spans="1:10" ht="31.5" x14ac:dyDescent="0.25">
      <c r="A1107" s="391" t="s">
        <v>125</v>
      </c>
      <c r="B1107" s="454">
        <v>908</v>
      </c>
      <c r="C1107" s="394" t="s">
        <v>168</v>
      </c>
      <c r="D1107" s="394" t="s">
        <v>159</v>
      </c>
      <c r="E1107" s="394" t="s">
        <v>801</v>
      </c>
      <c r="F1107" s="394" t="s">
        <v>126</v>
      </c>
      <c r="G1107" s="435">
        <f>375</f>
        <v>375</v>
      </c>
      <c r="H1107" s="435">
        <f>375</f>
        <v>375</v>
      </c>
      <c r="I1107" s="310"/>
      <c r="J1107" s="302"/>
    </row>
    <row r="1108" spans="1:10" ht="15.75" hidden="1" x14ac:dyDescent="0.25">
      <c r="A1108" s="391" t="s">
        <v>127</v>
      </c>
      <c r="B1108" s="454">
        <v>908</v>
      </c>
      <c r="C1108" s="394" t="s">
        <v>168</v>
      </c>
      <c r="D1108" s="394" t="s">
        <v>159</v>
      </c>
      <c r="E1108" s="394" t="s">
        <v>801</v>
      </c>
      <c r="F1108" s="394" t="s">
        <v>134</v>
      </c>
      <c r="G1108" s="435">
        <f>G1109</f>
        <v>0</v>
      </c>
      <c r="H1108" s="435">
        <f>H1109</f>
        <v>0</v>
      </c>
      <c r="I1108" s="310"/>
      <c r="J1108" s="302"/>
    </row>
    <row r="1109" spans="1:10" ht="15.75" hidden="1" x14ac:dyDescent="0.25">
      <c r="A1109" s="391" t="s">
        <v>338</v>
      </c>
      <c r="B1109" s="454">
        <v>908</v>
      </c>
      <c r="C1109" s="394" t="s">
        <v>168</v>
      </c>
      <c r="D1109" s="394" t="s">
        <v>159</v>
      </c>
      <c r="E1109" s="394" t="s">
        <v>801</v>
      </c>
      <c r="F1109" s="394" t="s">
        <v>130</v>
      </c>
      <c r="G1109" s="435">
        <f>75-75</f>
        <v>0</v>
      </c>
      <c r="H1109" s="435">
        <f>75-75</f>
        <v>0</v>
      </c>
      <c r="I1109" s="310"/>
      <c r="J1109" s="302"/>
    </row>
    <row r="1110" spans="1:10" ht="15.75" hidden="1" x14ac:dyDescent="0.25">
      <c r="A1110" s="398" t="s">
        <v>278</v>
      </c>
      <c r="B1110" s="454">
        <v>908</v>
      </c>
      <c r="C1110" s="394" t="s">
        <v>168</v>
      </c>
      <c r="D1110" s="394" t="s">
        <v>159</v>
      </c>
      <c r="E1110" s="394" t="s">
        <v>802</v>
      </c>
      <c r="F1110" s="394"/>
      <c r="G1110" s="435">
        <f>G1111</f>
        <v>0</v>
      </c>
      <c r="H1110" s="435">
        <f>H1111</f>
        <v>0</v>
      </c>
      <c r="I1110" s="310"/>
      <c r="J1110" s="302"/>
    </row>
    <row r="1111" spans="1:10" ht="31.5" hidden="1" x14ac:dyDescent="0.25">
      <c r="A1111" s="391" t="s">
        <v>123</v>
      </c>
      <c r="B1111" s="454">
        <v>908</v>
      </c>
      <c r="C1111" s="394" t="s">
        <v>168</v>
      </c>
      <c r="D1111" s="394" t="s">
        <v>159</v>
      </c>
      <c r="E1111" s="394" t="s">
        <v>802</v>
      </c>
      <c r="F1111" s="394" t="s">
        <v>124</v>
      </c>
      <c r="G1111" s="435">
        <f>G1112</f>
        <v>0</v>
      </c>
      <c r="H1111" s="435">
        <f>H1112</f>
        <v>0</v>
      </c>
      <c r="I1111" s="310"/>
      <c r="J1111" s="302"/>
    </row>
    <row r="1112" spans="1:10" ht="31.5" hidden="1" x14ac:dyDescent="0.25">
      <c r="A1112" s="391" t="s">
        <v>125</v>
      </c>
      <c r="B1112" s="454">
        <v>908</v>
      </c>
      <c r="C1112" s="394" t="s">
        <v>168</v>
      </c>
      <c r="D1112" s="394" t="s">
        <v>159</v>
      </c>
      <c r="E1112" s="394" t="s">
        <v>802</v>
      </c>
      <c r="F1112" s="394" t="s">
        <v>126</v>
      </c>
      <c r="G1112" s="435">
        <v>0</v>
      </c>
      <c r="H1112" s="435">
        <v>0</v>
      </c>
      <c r="I1112" s="310"/>
      <c r="J1112" s="302"/>
    </row>
    <row r="1113" spans="1:10" ht="31.5" x14ac:dyDescent="0.25">
      <c r="A1113" s="498" t="s">
        <v>640</v>
      </c>
      <c r="B1113" s="454">
        <v>908</v>
      </c>
      <c r="C1113" s="394" t="s">
        <v>168</v>
      </c>
      <c r="D1113" s="394" t="s">
        <v>159</v>
      </c>
      <c r="E1113" s="394" t="s">
        <v>803</v>
      </c>
      <c r="F1113" s="394"/>
      <c r="G1113" s="435">
        <f>G1114</f>
        <v>50</v>
      </c>
      <c r="H1113" s="435">
        <f>H1114</f>
        <v>50</v>
      </c>
      <c r="I1113" s="310"/>
      <c r="J1113" s="302"/>
    </row>
    <row r="1114" spans="1:10" ht="31.5" x14ac:dyDescent="0.25">
      <c r="A1114" s="391" t="s">
        <v>123</v>
      </c>
      <c r="B1114" s="454">
        <v>908</v>
      </c>
      <c r="C1114" s="394" t="s">
        <v>168</v>
      </c>
      <c r="D1114" s="394" t="s">
        <v>159</v>
      </c>
      <c r="E1114" s="394" t="s">
        <v>803</v>
      </c>
      <c r="F1114" s="394" t="s">
        <v>124</v>
      </c>
      <c r="G1114" s="435">
        <f>G1115</f>
        <v>50</v>
      </c>
      <c r="H1114" s="435">
        <f>H1115</f>
        <v>50</v>
      </c>
      <c r="I1114" s="310"/>
      <c r="J1114" s="302"/>
    </row>
    <row r="1115" spans="1:10" ht="31.5" x14ac:dyDescent="0.25">
      <c r="A1115" s="391" t="s">
        <v>125</v>
      </c>
      <c r="B1115" s="454">
        <v>908</v>
      </c>
      <c r="C1115" s="394" t="s">
        <v>168</v>
      </c>
      <c r="D1115" s="394" t="s">
        <v>159</v>
      </c>
      <c r="E1115" s="394" t="s">
        <v>803</v>
      </c>
      <c r="F1115" s="394" t="s">
        <v>126</v>
      </c>
      <c r="G1115" s="435">
        <f>50</f>
        <v>50</v>
      </c>
      <c r="H1115" s="435">
        <f>50</f>
        <v>50</v>
      </c>
      <c r="I1115" s="310"/>
      <c r="J1115" s="302"/>
    </row>
    <row r="1116" spans="1:10" ht="31.5" x14ac:dyDescent="0.25">
      <c r="A1116" s="409" t="s">
        <v>462</v>
      </c>
      <c r="B1116" s="453">
        <v>908</v>
      </c>
      <c r="C1116" s="406" t="s">
        <v>168</v>
      </c>
      <c r="D1116" s="406" t="s">
        <v>159</v>
      </c>
      <c r="E1116" s="406" t="s">
        <v>813</v>
      </c>
      <c r="F1116" s="406"/>
      <c r="G1116" s="438">
        <f>G1117+G1120</f>
        <v>2145.8000000000002</v>
      </c>
      <c r="H1116" s="438">
        <f>H1117+H1120</f>
        <v>2145.8000000000002</v>
      </c>
      <c r="I1116" s="310"/>
      <c r="J1116" s="302"/>
    </row>
    <row r="1117" spans="1:10" ht="31.5" hidden="1" x14ac:dyDescent="0.25">
      <c r="A1117" s="391" t="s">
        <v>332</v>
      </c>
      <c r="B1117" s="454">
        <v>908</v>
      </c>
      <c r="C1117" s="394" t="s">
        <v>168</v>
      </c>
      <c r="D1117" s="394" t="s">
        <v>159</v>
      </c>
      <c r="E1117" s="394" t="s">
        <v>835</v>
      </c>
      <c r="F1117" s="394"/>
      <c r="G1117" s="435">
        <f>G1118</f>
        <v>0</v>
      </c>
      <c r="H1117" s="435">
        <f>H1118</f>
        <v>0</v>
      </c>
      <c r="I1117" s="310"/>
      <c r="J1117" s="302"/>
    </row>
    <row r="1118" spans="1:10" ht="31.5" hidden="1" x14ac:dyDescent="0.25">
      <c r="A1118" s="391" t="s">
        <v>123</v>
      </c>
      <c r="B1118" s="454">
        <v>908</v>
      </c>
      <c r="C1118" s="394" t="s">
        <v>168</v>
      </c>
      <c r="D1118" s="394" t="s">
        <v>159</v>
      </c>
      <c r="E1118" s="394" t="s">
        <v>835</v>
      </c>
      <c r="F1118" s="394" t="s">
        <v>124</v>
      </c>
      <c r="G1118" s="435">
        <f>G1119</f>
        <v>0</v>
      </c>
      <c r="H1118" s="435">
        <f>H1119</f>
        <v>0</v>
      </c>
      <c r="I1118" s="310"/>
      <c r="J1118" s="302"/>
    </row>
    <row r="1119" spans="1:10" ht="31.5" hidden="1" x14ac:dyDescent="0.25">
      <c r="A1119" s="391" t="s">
        <v>125</v>
      </c>
      <c r="B1119" s="454">
        <v>908</v>
      </c>
      <c r="C1119" s="394" t="s">
        <v>168</v>
      </c>
      <c r="D1119" s="394" t="s">
        <v>159</v>
      </c>
      <c r="E1119" s="394" t="s">
        <v>835</v>
      </c>
      <c r="F1119" s="394" t="s">
        <v>126</v>
      </c>
      <c r="G1119" s="435">
        <v>0</v>
      </c>
      <c r="H1119" s="435">
        <v>0</v>
      </c>
      <c r="I1119" s="310"/>
      <c r="J1119" s="302"/>
    </row>
    <row r="1120" spans="1:10" ht="47.25" x14ac:dyDescent="0.25">
      <c r="A1120" s="391" t="s">
        <v>625</v>
      </c>
      <c r="B1120" s="454">
        <v>908</v>
      </c>
      <c r="C1120" s="394" t="s">
        <v>168</v>
      </c>
      <c r="D1120" s="394" t="s">
        <v>159</v>
      </c>
      <c r="E1120" s="394" t="s">
        <v>812</v>
      </c>
      <c r="F1120" s="394"/>
      <c r="G1120" s="435">
        <f>G1121</f>
        <v>2145.8000000000002</v>
      </c>
      <c r="H1120" s="435">
        <f>H1121</f>
        <v>2145.8000000000002</v>
      </c>
      <c r="I1120" s="310"/>
      <c r="J1120" s="302"/>
    </row>
    <row r="1121" spans="1:10" ht="31.5" x14ac:dyDescent="0.25">
      <c r="A1121" s="391" t="s">
        <v>123</v>
      </c>
      <c r="B1121" s="454">
        <v>908</v>
      </c>
      <c r="C1121" s="394" t="s">
        <v>168</v>
      </c>
      <c r="D1121" s="394" t="s">
        <v>159</v>
      </c>
      <c r="E1121" s="394" t="s">
        <v>812</v>
      </c>
      <c r="F1121" s="394" t="s">
        <v>124</v>
      </c>
      <c r="G1121" s="435">
        <f>G1122</f>
        <v>2145.8000000000002</v>
      </c>
      <c r="H1121" s="435">
        <f>H1122</f>
        <v>2145.8000000000002</v>
      </c>
      <c r="I1121" s="310"/>
      <c r="J1121" s="302"/>
    </row>
    <row r="1122" spans="1:10" ht="31.5" x14ac:dyDescent="0.25">
      <c r="A1122" s="391" t="s">
        <v>125</v>
      </c>
      <c r="B1122" s="454">
        <v>908</v>
      </c>
      <c r="C1122" s="394" t="s">
        <v>168</v>
      </c>
      <c r="D1122" s="394" t="s">
        <v>159</v>
      </c>
      <c r="E1122" s="394" t="s">
        <v>812</v>
      </c>
      <c r="F1122" s="394" t="s">
        <v>126</v>
      </c>
      <c r="G1122" s="435">
        <v>2145.8000000000002</v>
      </c>
      <c r="H1122" s="435">
        <v>2145.8000000000002</v>
      </c>
      <c r="I1122" s="310"/>
      <c r="J1122" s="302"/>
    </row>
    <row r="1123" spans="1:10" ht="31.5" hidden="1" x14ac:dyDescent="0.25">
      <c r="A1123" s="405" t="s">
        <v>1054</v>
      </c>
      <c r="B1123" s="453">
        <v>908</v>
      </c>
      <c r="C1123" s="406" t="s">
        <v>168</v>
      </c>
      <c r="D1123" s="406" t="s">
        <v>159</v>
      </c>
      <c r="E1123" s="406" t="s">
        <v>1055</v>
      </c>
      <c r="F1123" s="406"/>
      <c r="G1123" s="438">
        <f t="shared" ref="G1123:H1125" si="92">G1124</f>
        <v>0</v>
      </c>
      <c r="H1123" s="438">
        <f t="shared" si="92"/>
        <v>0</v>
      </c>
      <c r="I1123" s="310"/>
      <c r="J1123" s="302"/>
    </row>
    <row r="1124" spans="1:10" ht="15.75" hidden="1" x14ac:dyDescent="0.25">
      <c r="A1124" s="393" t="s">
        <v>1053</v>
      </c>
      <c r="B1124" s="454">
        <v>908</v>
      </c>
      <c r="C1124" s="394" t="s">
        <v>168</v>
      </c>
      <c r="D1124" s="394" t="s">
        <v>159</v>
      </c>
      <c r="E1124" s="394" t="s">
        <v>1056</v>
      </c>
      <c r="F1124" s="394"/>
      <c r="G1124" s="435">
        <f t="shared" si="92"/>
        <v>0</v>
      </c>
      <c r="H1124" s="435">
        <f t="shared" si="92"/>
        <v>0</v>
      </c>
      <c r="I1124" s="310"/>
      <c r="J1124" s="302"/>
    </row>
    <row r="1125" spans="1:10" ht="31.5" hidden="1" x14ac:dyDescent="0.25">
      <c r="A1125" s="391" t="s">
        <v>123</v>
      </c>
      <c r="B1125" s="454">
        <v>908</v>
      </c>
      <c r="C1125" s="394" t="s">
        <v>168</v>
      </c>
      <c r="D1125" s="394" t="s">
        <v>159</v>
      </c>
      <c r="E1125" s="394" t="s">
        <v>1056</v>
      </c>
      <c r="F1125" s="394" t="s">
        <v>124</v>
      </c>
      <c r="G1125" s="435">
        <f t="shared" si="92"/>
        <v>0</v>
      </c>
      <c r="H1125" s="435">
        <f t="shared" si="92"/>
        <v>0</v>
      </c>
      <c r="I1125" s="310"/>
      <c r="J1125" s="302"/>
    </row>
    <row r="1126" spans="1:10" ht="31.5" hidden="1" x14ac:dyDescent="0.25">
      <c r="A1126" s="391" t="s">
        <v>125</v>
      </c>
      <c r="B1126" s="454">
        <v>908</v>
      </c>
      <c r="C1126" s="394" t="s">
        <v>168</v>
      </c>
      <c r="D1126" s="394" t="s">
        <v>159</v>
      </c>
      <c r="E1126" s="394" t="s">
        <v>1056</v>
      </c>
      <c r="F1126" s="394" t="s">
        <v>126</v>
      </c>
      <c r="G1126" s="435"/>
      <c r="H1126" s="435"/>
      <c r="I1126" s="319"/>
      <c r="J1126" s="302"/>
    </row>
    <row r="1127" spans="1:10" ht="31.5" x14ac:dyDescent="0.25">
      <c r="A1127" s="405" t="s">
        <v>1080</v>
      </c>
      <c r="B1127" s="453">
        <v>908</v>
      </c>
      <c r="C1127" s="406" t="s">
        <v>168</v>
      </c>
      <c r="D1127" s="406" t="s">
        <v>159</v>
      </c>
      <c r="E1127" s="406" t="s">
        <v>1079</v>
      </c>
      <c r="F1127" s="406"/>
      <c r="G1127" s="438">
        <f t="shared" ref="G1127:H1129" si="93">G1128</f>
        <v>4487.6399999999994</v>
      </c>
      <c r="H1127" s="438">
        <f t="shared" si="93"/>
        <v>4487.6399999999994</v>
      </c>
      <c r="I1127" s="322"/>
      <c r="J1127" s="302"/>
    </row>
    <row r="1128" spans="1:10" ht="15.75" x14ac:dyDescent="0.25">
      <c r="A1128" s="393" t="s">
        <v>1146</v>
      </c>
      <c r="B1128" s="454">
        <v>908</v>
      </c>
      <c r="C1128" s="394" t="s">
        <v>168</v>
      </c>
      <c r="D1128" s="394" t="s">
        <v>159</v>
      </c>
      <c r="E1128" s="394" t="s">
        <v>1088</v>
      </c>
      <c r="F1128" s="394"/>
      <c r="G1128" s="435">
        <f t="shared" si="93"/>
        <v>4487.6399999999994</v>
      </c>
      <c r="H1128" s="435">
        <f t="shared" si="93"/>
        <v>4487.6399999999994</v>
      </c>
      <c r="I1128" s="322"/>
      <c r="J1128" s="302"/>
    </row>
    <row r="1129" spans="1:10" ht="31.5" x14ac:dyDescent="0.25">
      <c r="A1129" s="391" t="s">
        <v>123</v>
      </c>
      <c r="B1129" s="454">
        <v>908</v>
      </c>
      <c r="C1129" s="394" t="s">
        <v>168</v>
      </c>
      <c r="D1129" s="394" t="s">
        <v>159</v>
      </c>
      <c r="E1129" s="394" t="s">
        <v>1088</v>
      </c>
      <c r="F1129" s="394" t="s">
        <v>124</v>
      </c>
      <c r="G1129" s="435">
        <f t="shared" si="93"/>
        <v>4487.6399999999994</v>
      </c>
      <c r="H1129" s="435">
        <f t="shared" si="93"/>
        <v>4487.6399999999994</v>
      </c>
      <c r="I1129" s="322"/>
      <c r="J1129" s="302"/>
    </row>
    <row r="1130" spans="1:10" ht="31.5" x14ac:dyDescent="0.25">
      <c r="A1130" s="391" t="s">
        <v>125</v>
      </c>
      <c r="B1130" s="454">
        <v>908</v>
      </c>
      <c r="C1130" s="394" t="s">
        <v>168</v>
      </c>
      <c r="D1130" s="394" t="s">
        <v>159</v>
      </c>
      <c r="E1130" s="394" t="s">
        <v>1088</v>
      </c>
      <c r="F1130" s="394" t="s">
        <v>126</v>
      </c>
      <c r="G1130" s="586">
        <f>4173.5+178.4+135.74</f>
        <v>4487.6399999999994</v>
      </c>
      <c r="H1130" s="586">
        <f>4173.5+178.4+135.74</f>
        <v>4487.6399999999994</v>
      </c>
      <c r="I1130" s="322" t="s">
        <v>1233</v>
      </c>
      <c r="J1130" s="302"/>
    </row>
    <row r="1131" spans="1:10" ht="51" customHeight="1" x14ac:dyDescent="0.25">
      <c r="A1131" s="409" t="s">
        <v>1011</v>
      </c>
      <c r="B1131" s="453">
        <v>908</v>
      </c>
      <c r="C1131" s="406" t="s">
        <v>168</v>
      </c>
      <c r="D1131" s="406" t="s">
        <v>159</v>
      </c>
      <c r="E1131" s="406" t="s">
        <v>341</v>
      </c>
      <c r="F1131" s="406"/>
      <c r="G1131" s="438">
        <f>G1132+G1136</f>
        <v>500</v>
      </c>
      <c r="H1131" s="438">
        <f>H1132+H1136</f>
        <v>500</v>
      </c>
      <c r="I1131" s="310"/>
      <c r="J1131" s="302"/>
    </row>
    <row r="1132" spans="1:10" ht="34.5" customHeight="1" x14ac:dyDescent="0.25">
      <c r="A1132" s="409" t="s">
        <v>621</v>
      </c>
      <c r="B1132" s="453">
        <v>908</v>
      </c>
      <c r="C1132" s="406" t="s">
        <v>168</v>
      </c>
      <c r="D1132" s="406" t="s">
        <v>159</v>
      </c>
      <c r="E1132" s="406" t="s">
        <v>639</v>
      </c>
      <c r="F1132" s="406"/>
      <c r="G1132" s="438">
        <f t="shared" ref="G1132:H1134" si="94">G1133</f>
        <v>500</v>
      </c>
      <c r="H1132" s="438">
        <f t="shared" si="94"/>
        <v>500</v>
      </c>
      <c r="I1132" s="310"/>
      <c r="J1132" s="302"/>
    </row>
    <row r="1133" spans="1:10" ht="48.75" customHeight="1" x14ac:dyDescent="0.25">
      <c r="A1133" s="410" t="s">
        <v>333</v>
      </c>
      <c r="B1133" s="454">
        <v>908</v>
      </c>
      <c r="C1133" s="394" t="s">
        <v>168</v>
      </c>
      <c r="D1133" s="394" t="s">
        <v>159</v>
      </c>
      <c r="E1133" s="394" t="s">
        <v>410</v>
      </c>
      <c r="F1133" s="394"/>
      <c r="G1133" s="435">
        <f t="shared" si="94"/>
        <v>500</v>
      </c>
      <c r="H1133" s="435">
        <f t="shared" si="94"/>
        <v>500</v>
      </c>
      <c r="I1133" s="310"/>
      <c r="J1133" s="302"/>
    </row>
    <row r="1134" spans="1:10" ht="31.5" x14ac:dyDescent="0.25">
      <c r="A1134" s="391" t="s">
        <v>123</v>
      </c>
      <c r="B1134" s="454">
        <v>908</v>
      </c>
      <c r="C1134" s="394" t="s">
        <v>168</v>
      </c>
      <c r="D1134" s="394" t="s">
        <v>159</v>
      </c>
      <c r="E1134" s="394" t="s">
        <v>410</v>
      </c>
      <c r="F1134" s="394" t="s">
        <v>124</v>
      </c>
      <c r="G1134" s="435">
        <f t="shared" si="94"/>
        <v>500</v>
      </c>
      <c r="H1134" s="435">
        <f t="shared" si="94"/>
        <v>500</v>
      </c>
      <c r="I1134" s="310"/>
      <c r="J1134" s="302"/>
    </row>
    <row r="1135" spans="1:10" ht="31.5" x14ac:dyDescent="0.25">
      <c r="A1135" s="391" t="s">
        <v>125</v>
      </c>
      <c r="B1135" s="454">
        <v>908</v>
      </c>
      <c r="C1135" s="394" t="s">
        <v>168</v>
      </c>
      <c r="D1135" s="394" t="s">
        <v>159</v>
      </c>
      <c r="E1135" s="394" t="s">
        <v>410</v>
      </c>
      <c r="F1135" s="394" t="s">
        <v>126</v>
      </c>
      <c r="G1135" s="435">
        <f>500</f>
        <v>500</v>
      </c>
      <c r="H1135" s="435">
        <f>500</f>
        <v>500</v>
      </c>
      <c r="I1135" s="310"/>
      <c r="J1135" s="302"/>
    </row>
    <row r="1136" spans="1:10" ht="98.25" hidden="1" customHeight="1" x14ac:dyDescent="0.25">
      <c r="A1136" s="409" t="s">
        <v>1083</v>
      </c>
      <c r="B1136" s="453">
        <v>908</v>
      </c>
      <c r="C1136" s="406" t="s">
        <v>168</v>
      </c>
      <c r="D1136" s="406" t="s">
        <v>159</v>
      </c>
      <c r="E1136" s="406" t="s">
        <v>1084</v>
      </c>
      <c r="F1136" s="406"/>
      <c r="G1136" s="438">
        <f t="shared" ref="G1136:H1138" si="95">G1137</f>
        <v>0</v>
      </c>
      <c r="H1136" s="438">
        <f t="shared" si="95"/>
        <v>0</v>
      </c>
      <c r="I1136" s="310"/>
      <c r="J1136" s="302"/>
    </row>
    <row r="1137" spans="1:10" ht="76.150000000000006" hidden="1" customHeight="1" x14ac:dyDescent="0.25">
      <c r="A1137" s="410" t="s">
        <v>1106</v>
      </c>
      <c r="B1137" s="454">
        <v>908</v>
      </c>
      <c r="C1137" s="394" t="s">
        <v>168</v>
      </c>
      <c r="D1137" s="394" t="s">
        <v>159</v>
      </c>
      <c r="E1137" s="394" t="s">
        <v>1085</v>
      </c>
      <c r="F1137" s="394"/>
      <c r="G1137" s="435">
        <f t="shared" si="95"/>
        <v>0</v>
      </c>
      <c r="H1137" s="435">
        <f t="shared" si="95"/>
        <v>0</v>
      </c>
      <c r="I1137" s="310"/>
      <c r="J1137" s="302"/>
    </row>
    <row r="1138" spans="1:10" ht="31.15" hidden="1" customHeight="1" x14ac:dyDescent="0.25">
      <c r="A1138" s="391" t="s">
        <v>123</v>
      </c>
      <c r="B1138" s="454">
        <v>908</v>
      </c>
      <c r="C1138" s="394" t="s">
        <v>168</v>
      </c>
      <c r="D1138" s="394" t="s">
        <v>159</v>
      </c>
      <c r="E1138" s="394" t="s">
        <v>1085</v>
      </c>
      <c r="F1138" s="394" t="s">
        <v>124</v>
      </c>
      <c r="G1138" s="435">
        <f t="shared" si="95"/>
        <v>0</v>
      </c>
      <c r="H1138" s="435">
        <f t="shared" si="95"/>
        <v>0</v>
      </c>
      <c r="I1138" s="310"/>
      <c r="J1138" s="302"/>
    </row>
    <row r="1139" spans="1:10" ht="31.15" hidden="1" customHeight="1" x14ac:dyDescent="0.25">
      <c r="A1139" s="391" t="s">
        <v>125</v>
      </c>
      <c r="B1139" s="454">
        <v>908</v>
      </c>
      <c r="C1139" s="394" t="s">
        <v>168</v>
      </c>
      <c r="D1139" s="394" t="s">
        <v>159</v>
      </c>
      <c r="E1139" s="394" t="s">
        <v>1085</v>
      </c>
      <c r="F1139" s="394" t="s">
        <v>126</v>
      </c>
      <c r="G1139" s="435"/>
      <c r="H1139" s="435"/>
      <c r="I1139" s="310"/>
      <c r="J1139" s="302"/>
    </row>
    <row r="1140" spans="1:10" ht="31.5" x14ac:dyDescent="0.25">
      <c r="A1140" s="409" t="s">
        <v>281</v>
      </c>
      <c r="B1140" s="453">
        <v>908</v>
      </c>
      <c r="C1140" s="406" t="s">
        <v>168</v>
      </c>
      <c r="D1140" s="406" t="s">
        <v>168</v>
      </c>
      <c r="E1140" s="406"/>
      <c r="F1140" s="406"/>
      <c r="G1140" s="438">
        <f>G1141+G1156+G1181</f>
        <v>30376.5</v>
      </c>
      <c r="H1140" s="438">
        <f>H1141+H1156+H1181</f>
        <v>30376.6</v>
      </c>
      <c r="I1140" s="310"/>
      <c r="J1140" s="302"/>
    </row>
    <row r="1141" spans="1:10" ht="31.5" x14ac:dyDescent="0.25">
      <c r="A1141" s="409" t="s">
        <v>486</v>
      </c>
      <c r="B1141" s="453">
        <v>908</v>
      </c>
      <c r="C1141" s="406" t="s">
        <v>168</v>
      </c>
      <c r="D1141" s="406" t="s">
        <v>168</v>
      </c>
      <c r="E1141" s="406" t="s">
        <v>432</v>
      </c>
      <c r="F1141" s="406"/>
      <c r="G1141" s="438">
        <f>G1142</f>
        <v>16377</v>
      </c>
      <c r="H1141" s="438">
        <f>H1142</f>
        <v>16377</v>
      </c>
      <c r="I1141" s="310"/>
      <c r="J1141" s="302"/>
    </row>
    <row r="1142" spans="1:10" ht="15.75" x14ac:dyDescent="0.25">
      <c r="A1142" s="409" t="s">
        <v>487</v>
      </c>
      <c r="B1142" s="453">
        <v>908</v>
      </c>
      <c r="C1142" s="406" t="s">
        <v>168</v>
      </c>
      <c r="D1142" s="406" t="s">
        <v>168</v>
      </c>
      <c r="E1142" s="406" t="s">
        <v>433</v>
      </c>
      <c r="F1142" s="406"/>
      <c r="G1142" s="438">
        <f>G1143+G1153+G1150</f>
        <v>16377</v>
      </c>
      <c r="H1142" s="438">
        <f>H1143+H1153+H1150</f>
        <v>16377</v>
      </c>
      <c r="I1142" s="310"/>
      <c r="J1142" s="302"/>
    </row>
    <row r="1143" spans="1:10" ht="31.9" customHeight="1" x14ac:dyDescent="0.25">
      <c r="A1143" s="391" t="s">
        <v>466</v>
      </c>
      <c r="B1143" s="454">
        <v>908</v>
      </c>
      <c r="C1143" s="394" t="s">
        <v>168</v>
      </c>
      <c r="D1143" s="394" t="s">
        <v>168</v>
      </c>
      <c r="E1143" s="394" t="s">
        <v>434</v>
      </c>
      <c r="F1143" s="394"/>
      <c r="G1143" s="435">
        <f>G1144+G1148+G1146</f>
        <v>14388.5</v>
      </c>
      <c r="H1143" s="435">
        <f>H1144+H1148+H1146</f>
        <v>14388.5</v>
      </c>
      <c r="I1143" s="310"/>
      <c r="J1143" s="302"/>
    </row>
    <row r="1144" spans="1:10" ht="60.75" customHeight="1" x14ac:dyDescent="0.25">
      <c r="A1144" s="391" t="s">
        <v>119</v>
      </c>
      <c r="B1144" s="454">
        <v>908</v>
      </c>
      <c r="C1144" s="394" t="s">
        <v>168</v>
      </c>
      <c r="D1144" s="394" t="s">
        <v>168</v>
      </c>
      <c r="E1144" s="394" t="s">
        <v>434</v>
      </c>
      <c r="F1144" s="394" t="s">
        <v>120</v>
      </c>
      <c r="G1144" s="435">
        <f>G1145</f>
        <v>14363.5</v>
      </c>
      <c r="H1144" s="435">
        <f>H1145</f>
        <v>14363.5</v>
      </c>
      <c r="I1144" s="310"/>
      <c r="J1144" s="302"/>
    </row>
    <row r="1145" spans="1:10" ht="31.5" x14ac:dyDescent="0.25">
      <c r="A1145" s="391" t="s">
        <v>121</v>
      </c>
      <c r="B1145" s="454">
        <v>908</v>
      </c>
      <c r="C1145" s="394" t="s">
        <v>168</v>
      </c>
      <c r="D1145" s="394" t="s">
        <v>168</v>
      </c>
      <c r="E1145" s="394" t="s">
        <v>434</v>
      </c>
      <c r="F1145" s="394" t="s">
        <v>122</v>
      </c>
      <c r="G1145" s="436">
        <v>14363.5</v>
      </c>
      <c r="H1145" s="436">
        <f>G1145</f>
        <v>14363.5</v>
      </c>
      <c r="I1145" s="310"/>
      <c r="J1145" s="302"/>
    </row>
    <row r="1146" spans="1:10" ht="31.5" x14ac:dyDescent="0.25">
      <c r="A1146" s="391" t="s">
        <v>123</v>
      </c>
      <c r="B1146" s="454">
        <v>908</v>
      </c>
      <c r="C1146" s="394" t="s">
        <v>168</v>
      </c>
      <c r="D1146" s="394" t="s">
        <v>168</v>
      </c>
      <c r="E1146" s="394" t="s">
        <v>434</v>
      </c>
      <c r="F1146" s="394" t="s">
        <v>124</v>
      </c>
      <c r="G1146" s="435">
        <f>G1147</f>
        <v>25</v>
      </c>
      <c r="H1146" s="435">
        <f>H1147</f>
        <v>25</v>
      </c>
      <c r="I1146" s="310"/>
      <c r="J1146" s="302"/>
    </row>
    <row r="1147" spans="1:10" ht="36.75" customHeight="1" x14ac:dyDescent="0.25">
      <c r="A1147" s="391" t="s">
        <v>125</v>
      </c>
      <c r="B1147" s="454">
        <v>908</v>
      </c>
      <c r="C1147" s="394" t="s">
        <v>168</v>
      </c>
      <c r="D1147" s="394" t="s">
        <v>168</v>
      </c>
      <c r="E1147" s="394" t="s">
        <v>434</v>
      </c>
      <c r="F1147" s="394" t="s">
        <v>126</v>
      </c>
      <c r="G1147" s="436">
        <v>25</v>
      </c>
      <c r="H1147" s="436">
        <v>25</v>
      </c>
      <c r="I1147" s="310"/>
      <c r="J1147" s="302"/>
    </row>
    <row r="1148" spans="1:10" ht="15.75" hidden="1" x14ac:dyDescent="0.25">
      <c r="A1148" s="391" t="s">
        <v>127</v>
      </c>
      <c r="B1148" s="454">
        <v>908</v>
      </c>
      <c r="C1148" s="394" t="s">
        <v>168</v>
      </c>
      <c r="D1148" s="394" t="s">
        <v>168</v>
      </c>
      <c r="E1148" s="394" t="s">
        <v>434</v>
      </c>
      <c r="F1148" s="394" t="s">
        <v>134</v>
      </c>
      <c r="G1148" s="435">
        <f>G1149</f>
        <v>0</v>
      </c>
      <c r="H1148" s="435">
        <f>H1149</f>
        <v>0</v>
      </c>
      <c r="I1148" s="310"/>
      <c r="J1148" s="302"/>
    </row>
    <row r="1149" spans="1:10" ht="15.75" hidden="1" x14ac:dyDescent="0.25">
      <c r="A1149" s="391" t="s">
        <v>280</v>
      </c>
      <c r="B1149" s="454">
        <v>908</v>
      </c>
      <c r="C1149" s="394" t="s">
        <v>168</v>
      </c>
      <c r="D1149" s="394" t="s">
        <v>168</v>
      </c>
      <c r="E1149" s="394" t="s">
        <v>434</v>
      </c>
      <c r="F1149" s="394" t="s">
        <v>130</v>
      </c>
      <c r="G1149" s="435"/>
      <c r="H1149" s="435"/>
      <c r="I1149" s="310"/>
      <c r="J1149" s="302"/>
    </row>
    <row r="1150" spans="1:10" ht="31.5" x14ac:dyDescent="0.25">
      <c r="A1150" s="391" t="s">
        <v>415</v>
      </c>
      <c r="B1150" s="454">
        <v>908</v>
      </c>
      <c r="C1150" s="394" t="s">
        <v>168</v>
      </c>
      <c r="D1150" s="394" t="s">
        <v>168</v>
      </c>
      <c r="E1150" s="394" t="s">
        <v>435</v>
      </c>
      <c r="F1150" s="394"/>
      <c r="G1150" s="435">
        <f>G1151</f>
        <v>1280.5</v>
      </c>
      <c r="H1150" s="435">
        <f>H1151</f>
        <v>1280.5</v>
      </c>
      <c r="I1150" s="310"/>
      <c r="J1150" s="302"/>
    </row>
    <row r="1151" spans="1:10" ht="78.75" x14ac:dyDescent="0.25">
      <c r="A1151" s="391" t="s">
        <v>119</v>
      </c>
      <c r="B1151" s="454">
        <v>908</v>
      </c>
      <c r="C1151" s="394" t="s">
        <v>168</v>
      </c>
      <c r="D1151" s="394" t="s">
        <v>168</v>
      </c>
      <c r="E1151" s="394" t="s">
        <v>435</v>
      </c>
      <c r="F1151" s="394" t="s">
        <v>120</v>
      </c>
      <c r="G1151" s="435">
        <f>G1152</f>
        <v>1280.5</v>
      </c>
      <c r="H1151" s="435">
        <f>H1152</f>
        <v>1280.5</v>
      </c>
      <c r="I1151" s="310"/>
      <c r="J1151" s="302"/>
    </row>
    <row r="1152" spans="1:10" ht="31.5" x14ac:dyDescent="0.25">
      <c r="A1152" s="391" t="s">
        <v>121</v>
      </c>
      <c r="B1152" s="454">
        <v>908</v>
      </c>
      <c r="C1152" s="394" t="s">
        <v>168</v>
      </c>
      <c r="D1152" s="394" t="s">
        <v>168</v>
      </c>
      <c r="E1152" s="394" t="s">
        <v>435</v>
      </c>
      <c r="F1152" s="394" t="s">
        <v>122</v>
      </c>
      <c r="G1152" s="435">
        <v>1280.5</v>
      </c>
      <c r="H1152" s="435">
        <f>G1152</f>
        <v>1280.5</v>
      </c>
      <c r="I1152" s="310"/>
      <c r="J1152" s="302"/>
    </row>
    <row r="1153" spans="1:10" ht="31.5" x14ac:dyDescent="0.25">
      <c r="A1153" s="391" t="s">
        <v>414</v>
      </c>
      <c r="B1153" s="454">
        <v>908</v>
      </c>
      <c r="C1153" s="394" t="s">
        <v>168</v>
      </c>
      <c r="D1153" s="394" t="s">
        <v>168</v>
      </c>
      <c r="E1153" s="394" t="s">
        <v>436</v>
      </c>
      <c r="F1153" s="394"/>
      <c r="G1153" s="435">
        <f>G1154</f>
        <v>708</v>
      </c>
      <c r="H1153" s="435">
        <f>H1154</f>
        <v>708</v>
      </c>
      <c r="I1153" s="310"/>
      <c r="J1153" s="302"/>
    </row>
    <row r="1154" spans="1:10" ht="78.75" x14ac:dyDescent="0.25">
      <c r="A1154" s="391" t="s">
        <v>119</v>
      </c>
      <c r="B1154" s="454">
        <v>908</v>
      </c>
      <c r="C1154" s="394" t="s">
        <v>168</v>
      </c>
      <c r="D1154" s="394" t="s">
        <v>168</v>
      </c>
      <c r="E1154" s="394" t="s">
        <v>436</v>
      </c>
      <c r="F1154" s="394" t="s">
        <v>120</v>
      </c>
      <c r="G1154" s="435">
        <f>G1155</f>
        <v>708</v>
      </c>
      <c r="H1154" s="435">
        <f>H1155</f>
        <v>708</v>
      </c>
      <c r="I1154" s="310"/>
      <c r="J1154" s="302"/>
    </row>
    <row r="1155" spans="1:10" ht="31.5" x14ac:dyDescent="0.25">
      <c r="A1155" s="391" t="s">
        <v>121</v>
      </c>
      <c r="B1155" s="454">
        <v>908</v>
      </c>
      <c r="C1155" s="394" t="s">
        <v>168</v>
      </c>
      <c r="D1155" s="394" t="s">
        <v>168</v>
      </c>
      <c r="E1155" s="394" t="s">
        <v>436</v>
      </c>
      <c r="F1155" s="394" t="s">
        <v>122</v>
      </c>
      <c r="G1155" s="435">
        <f>368+340</f>
        <v>708</v>
      </c>
      <c r="H1155" s="435">
        <f>368+340</f>
        <v>708</v>
      </c>
      <c r="I1155" s="310"/>
      <c r="J1155" s="302"/>
    </row>
    <row r="1156" spans="1:10" ht="15.75" x14ac:dyDescent="0.25">
      <c r="A1156" s="409" t="s">
        <v>133</v>
      </c>
      <c r="B1156" s="453">
        <v>908</v>
      </c>
      <c r="C1156" s="406" t="s">
        <v>168</v>
      </c>
      <c r="D1156" s="406" t="s">
        <v>168</v>
      </c>
      <c r="E1156" s="406" t="s">
        <v>440</v>
      </c>
      <c r="F1156" s="406"/>
      <c r="G1156" s="438">
        <f>G1157+G1168</f>
        <v>13999.5</v>
      </c>
      <c r="H1156" s="438">
        <f>H1157+H1168</f>
        <v>13999.6</v>
      </c>
      <c r="I1156" s="310"/>
      <c r="J1156" s="302"/>
    </row>
    <row r="1157" spans="1:10" ht="15.75" x14ac:dyDescent="0.25">
      <c r="A1157" s="409" t="s">
        <v>517</v>
      </c>
      <c r="B1157" s="453">
        <v>908</v>
      </c>
      <c r="C1157" s="406" t="s">
        <v>168</v>
      </c>
      <c r="D1157" s="406" t="s">
        <v>168</v>
      </c>
      <c r="E1157" s="406" t="s">
        <v>516</v>
      </c>
      <c r="F1157" s="406"/>
      <c r="G1157" s="442">
        <f>G1158+G1161</f>
        <v>13017.5</v>
      </c>
      <c r="H1157" s="442">
        <f>H1158+H1161</f>
        <v>13017.6</v>
      </c>
      <c r="I1157" s="310"/>
      <c r="J1157" s="302"/>
    </row>
    <row r="1158" spans="1:10" ht="31.5" x14ac:dyDescent="0.25">
      <c r="A1158" s="391" t="s">
        <v>414</v>
      </c>
      <c r="B1158" s="454">
        <v>908</v>
      </c>
      <c r="C1158" s="394" t="s">
        <v>168</v>
      </c>
      <c r="D1158" s="394" t="s">
        <v>168</v>
      </c>
      <c r="E1158" s="394" t="s">
        <v>519</v>
      </c>
      <c r="F1158" s="394"/>
      <c r="G1158" s="435">
        <f>G1159</f>
        <v>498</v>
      </c>
      <c r="H1158" s="435">
        <f>H1159</f>
        <v>498</v>
      </c>
      <c r="I1158" s="310"/>
      <c r="J1158" s="302"/>
    </row>
    <row r="1159" spans="1:10" ht="78.75" x14ac:dyDescent="0.25">
      <c r="A1159" s="391" t="s">
        <v>119</v>
      </c>
      <c r="B1159" s="454">
        <v>908</v>
      </c>
      <c r="C1159" s="394" t="s">
        <v>168</v>
      </c>
      <c r="D1159" s="394" t="s">
        <v>168</v>
      </c>
      <c r="E1159" s="394" t="s">
        <v>519</v>
      </c>
      <c r="F1159" s="394" t="s">
        <v>120</v>
      </c>
      <c r="G1159" s="435">
        <f>G1160</f>
        <v>498</v>
      </c>
      <c r="H1159" s="435">
        <f>H1160</f>
        <v>498</v>
      </c>
      <c r="I1159" s="310"/>
      <c r="J1159" s="302"/>
    </row>
    <row r="1160" spans="1:10" ht="15.75" x14ac:dyDescent="0.25">
      <c r="A1160" s="391" t="s">
        <v>212</v>
      </c>
      <c r="B1160" s="454">
        <v>908</v>
      </c>
      <c r="C1160" s="394" t="s">
        <v>168</v>
      </c>
      <c r="D1160" s="394" t="s">
        <v>168</v>
      </c>
      <c r="E1160" s="394" t="s">
        <v>519</v>
      </c>
      <c r="F1160" s="394" t="s">
        <v>156</v>
      </c>
      <c r="G1160" s="435">
        <v>498</v>
      </c>
      <c r="H1160" s="435">
        <v>498</v>
      </c>
      <c r="I1160" s="310"/>
      <c r="J1160" s="302"/>
    </row>
    <row r="1161" spans="1:10" ht="15.75" x14ac:dyDescent="0.25">
      <c r="A1161" s="391" t="s">
        <v>377</v>
      </c>
      <c r="B1161" s="454">
        <v>908</v>
      </c>
      <c r="C1161" s="394" t="s">
        <v>168</v>
      </c>
      <c r="D1161" s="394" t="s">
        <v>168</v>
      </c>
      <c r="E1161" s="394" t="s">
        <v>518</v>
      </c>
      <c r="F1161" s="394"/>
      <c r="G1161" s="435">
        <f>G1163+G1165+G1166</f>
        <v>12519.5</v>
      </c>
      <c r="H1161" s="435">
        <f>H1163+H1165+H1166</f>
        <v>12519.6</v>
      </c>
      <c r="I1161" s="310"/>
      <c r="J1161" s="302"/>
    </row>
    <row r="1162" spans="1:10" ht="78.75" x14ac:dyDescent="0.25">
      <c r="A1162" s="391" t="s">
        <v>119</v>
      </c>
      <c r="B1162" s="454">
        <v>908</v>
      </c>
      <c r="C1162" s="394" t="s">
        <v>168</v>
      </c>
      <c r="D1162" s="394" t="s">
        <v>168</v>
      </c>
      <c r="E1162" s="394" t="s">
        <v>518</v>
      </c>
      <c r="F1162" s="394" t="s">
        <v>120</v>
      </c>
      <c r="G1162" s="435">
        <f>G1163</f>
        <v>10681.4</v>
      </c>
      <c r="H1162" s="435">
        <f>H1163</f>
        <v>10681.5</v>
      </c>
      <c r="I1162" s="310"/>
      <c r="J1162" s="302"/>
    </row>
    <row r="1163" spans="1:10" ht="15.75" x14ac:dyDescent="0.25">
      <c r="A1163" s="391" t="s">
        <v>212</v>
      </c>
      <c r="B1163" s="454">
        <v>908</v>
      </c>
      <c r="C1163" s="394" t="s">
        <v>168</v>
      </c>
      <c r="D1163" s="394" t="s">
        <v>168</v>
      </c>
      <c r="E1163" s="394" t="s">
        <v>518</v>
      </c>
      <c r="F1163" s="394" t="s">
        <v>156</v>
      </c>
      <c r="G1163" s="436">
        <v>10681.4</v>
      </c>
      <c r="H1163" s="436">
        <v>10681.5</v>
      </c>
      <c r="I1163" s="310"/>
      <c r="J1163" s="302"/>
    </row>
    <row r="1164" spans="1:10" ht="31.5" x14ac:dyDescent="0.25">
      <c r="A1164" s="391" t="s">
        <v>123</v>
      </c>
      <c r="B1164" s="454">
        <v>908</v>
      </c>
      <c r="C1164" s="394" t="s">
        <v>168</v>
      </c>
      <c r="D1164" s="394" t="s">
        <v>168</v>
      </c>
      <c r="E1164" s="394" t="s">
        <v>518</v>
      </c>
      <c r="F1164" s="394" t="s">
        <v>124</v>
      </c>
      <c r="G1164" s="435">
        <f>G1165</f>
        <v>1791.1</v>
      </c>
      <c r="H1164" s="435">
        <f>H1165</f>
        <v>1791.1</v>
      </c>
      <c r="I1164" s="310"/>
      <c r="J1164" s="302"/>
    </row>
    <row r="1165" spans="1:10" ht="31.5" x14ac:dyDescent="0.25">
      <c r="A1165" s="391" t="s">
        <v>125</v>
      </c>
      <c r="B1165" s="454">
        <v>908</v>
      </c>
      <c r="C1165" s="394" t="s">
        <v>168</v>
      </c>
      <c r="D1165" s="394" t="s">
        <v>168</v>
      </c>
      <c r="E1165" s="394" t="s">
        <v>518</v>
      </c>
      <c r="F1165" s="394" t="s">
        <v>126</v>
      </c>
      <c r="G1165" s="436">
        <f>1791.1</f>
        <v>1791.1</v>
      </c>
      <c r="H1165" s="436">
        <f>1791.1</f>
        <v>1791.1</v>
      </c>
      <c r="I1165" s="310"/>
      <c r="J1165" s="302"/>
    </row>
    <row r="1166" spans="1:10" ht="15.75" x14ac:dyDescent="0.25">
      <c r="A1166" s="391" t="s">
        <v>127</v>
      </c>
      <c r="B1166" s="454">
        <v>908</v>
      </c>
      <c r="C1166" s="394" t="s">
        <v>168</v>
      </c>
      <c r="D1166" s="394" t="s">
        <v>168</v>
      </c>
      <c r="E1166" s="394" t="s">
        <v>518</v>
      </c>
      <c r="F1166" s="394" t="s">
        <v>134</v>
      </c>
      <c r="G1166" s="436">
        <f>G1167</f>
        <v>47</v>
      </c>
      <c r="H1166" s="436">
        <f>H1167</f>
        <v>47</v>
      </c>
      <c r="I1166" s="310"/>
      <c r="J1166" s="302"/>
    </row>
    <row r="1167" spans="1:10" ht="15.75" x14ac:dyDescent="0.25">
      <c r="A1167" s="391" t="s">
        <v>280</v>
      </c>
      <c r="B1167" s="454">
        <v>908</v>
      </c>
      <c r="C1167" s="394" t="s">
        <v>168</v>
      </c>
      <c r="D1167" s="394" t="s">
        <v>168</v>
      </c>
      <c r="E1167" s="394" t="s">
        <v>518</v>
      </c>
      <c r="F1167" s="394" t="s">
        <v>130</v>
      </c>
      <c r="G1167" s="436">
        <f>47</f>
        <v>47</v>
      </c>
      <c r="H1167" s="436">
        <f>47</f>
        <v>47</v>
      </c>
      <c r="I1167" s="310"/>
      <c r="J1167" s="302"/>
    </row>
    <row r="1168" spans="1:10" ht="31.5" x14ac:dyDescent="0.25">
      <c r="A1168" s="409" t="s">
        <v>444</v>
      </c>
      <c r="B1168" s="453">
        <v>908</v>
      </c>
      <c r="C1168" s="406" t="s">
        <v>168</v>
      </c>
      <c r="D1168" s="406" t="s">
        <v>168</v>
      </c>
      <c r="E1168" s="406" t="s">
        <v>439</v>
      </c>
      <c r="F1168" s="406"/>
      <c r="G1168" s="438">
        <f>G1169+G1176</f>
        <v>982</v>
      </c>
      <c r="H1168" s="438">
        <f>H1169+H1176</f>
        <v>982</v>
      </c>
      <c r="I1168" s="310"/>
      <c r="J1168" s="302"/>
    </row>
    <row r="1169" spans="1:19" ht="31.5" x14ac:dyDescent="0.25">
      <c r="A1169" s="391" t="s">
        <v>282</v>
      </c>
      <c r="B1169" s="454">
        <v>908</v>
      </c>
      <c r="C1169" s="394" t="s">
        <v>168</v>
      </c>
      <c r="D1169" s="394" t="s">
        <v>168</v>
      </c>
      <c r="E1169" s="394" t="s">
        <v>547</v>
      </c>
      <c r="F1169" s="394"/>
      <c r="G1169" s="436">
        <f>G1172+G1170</f>
        <v>982</v>
      </c>
      <c r="H1169" s="436">
        <f>H1172+H1170</f>
        <v>982</v>
      </c>
      <c r="I1169" s="310"/>
      <c r="J1169" s="302"/>
    </row>
    <row r="1170" spans="1:19" ht="15.75" hidden="1" x14ac:dyDescent="0.25">
      <c r="A1170" s="391" t="s">
        <v>990</v>
      </c>
      <c r="B1170" s="454">
        <v>908</v>
      </c>
      <c r="C1170" s="394" t="s">
        <v>168</v>
      </c>
      <c r="D1170" s="394" t="s">
        <v>168</v>
      </c>
      <c r="E1170" s="394" t="s">
        <v>547</v>
      </c>
      <c r="F1170" s="394" t="s">
        <v>178</v>
      </c>
      <c r="G1170" s="436">
        <f>G1171</f>
        <v>0</v>
      </c>
      <c r="H1170" s="436">
        <f>H1171</f>
        <v>0</v>
      </c>
      <c r="I1170" s="310"/>
      <c r="J1170" s="302"/>
    </row>
    <row r="1171" spans="1:19" ht="15.75" hidden="1" x14ac:dyDescent="0.25">
      <c r="A1171" s="391" t="s">
        <v>989</v>
      </c>
      <c r="B1171" s="454">
        <v>908</v>
      </c>
      <c r="C1171" s="394" t="s">
        <v>168</v>
      </c>
      <c r="D1171" s="394" t="s">
        <v>168</v>
      </c>
      <c r="E1171" s="394" t="s">
        <v>547</v>
      </c>
      <c r="F1171" s="394" t="s">
        <v>991</v>
      </c>
      <c r="G1171" s="436">
        <f>4500-240-240-1748.75-2271.25</f>
        <v>0</v>
      </c>
      <c r="H1171" s="436">
        <f>4500-240-240-1748.75-2271.25</f>
        <v>0</v>
      </c>
      <c r="I1171" s="310"/>
      <c r="J1171" s="302"/>
    </row>
    <row r="1172" spans="1:19" ht="15.75" x14ac:dyDescent="0.25">
      <c r="A1172" s="391" t="s">
        <v>127</v>
      </c>
      <c r="B1172" s="454">
        <v>908</v>
      </c>
      <c r="C1172" s="394" t="s">
        <v>168</v>
      </c>
      <c r="D1172" s="394" t="s">
        <v>168</v>
      </c>
      <c r="E1172" s="394" t="s">
        <v>547</v>
      </c>
      <c r="F1172" s="394" t="s">
        <v>134</v>
      </c>
      <c r="G1172" s="436">
        <f>G1173+G1174+G1175</f>
        <v>982</v>
      </c>
      <c r="H1172" s="436">
        <f>H1173+H1174+H1175</f>
        <v>982</v>
      </c>
      <c r="I1172" s="310"/>
      <c r="J1172" s="302"/>
    </row>
    <row r="1173" spans="1:19" ht="47.25" customHeight="1" x14ac:dyDescent="0.25">
      <c r="A1173" s="391" t="s">
        <v>148</v>
      </c>
      <c r="B1173" s="454">
        <v>908</v>
      </c>
      <c r="C1173" s="394" t="s">
        <v>168</v>
      </c>
      <c r="D1173" s="394" t="s">
        <v>168</v>
      </c>
      <c r="E1173" s="394" t="s">
        <v>547</v>
      </c>
      <c r="F1173" s="394" t="s">
        <v>142</v>
      </c>
      <c r="G1173" s="436">
        <v>982</v>
      </c>
      <c r="H1173" s="436">
        <v>982</v>
      </c>
      <c r="I1173" s="310"/>
      <c r="J1173" s="302"/>
    </row>
    <row r="1174" spans="1:19" ht="15.75" hidden="1" x14ac:dyDescent="0.25">
      <c r="A1174" s="391" t="s">
        <v>338</v>
      </c>
      <c r="B1174" s="454">
        <v>908</v>
      </c>
      <c r="C1174" s="394" t="s">
        <v>168</v>
      </c>
      <c r="D1174" s="394" t="s">
        <v>168</v>
      </c>
      <c r="E1174" s="394" t="s">
        <v>547</v>
      </c>
      <c r="F1174" s="394" t="s">
        <v>130</v>
      </c>
      <c r="G1174" s="436"/>
      <c r="H1174" s="436"/>
      <c r="I1174" s="318"/>
      <c r="J1174" s="302"/>
      <c r="K1174" s="320"/>
      <c r="N1174" s="320"/>
      <c r="Q1174" s="320"/>
      <c r="S1174" s="320"/>
    </row>
    <row r="1175" spans="1:19" ht="15.75" hidden="1" x14ac:dyDescent="0.25">
      <c r="A1175" s="391" t="s">
        <v>1060</v>
      </c>
      <c r="B1175" s="454">
        <v>908</v>
      </c>
      <c r="C1175" s="394" t="s">
        <v>168</v>
      </c>
      <c r="D1175" s="394" t="s">
        <v>168</v>
      </c>
      <c r="E1175" s="394" t="s">
        <v>547</v>
      </c>
      <c r="F1175" s="394" t="s">
        <v>1061</v>
      </c>
      <c r="G1175" s="436">
        <f>240-240</f>
        <v>0</v>
      </c>
      <c r="H1175" s="436">
        <f>240-240</f>
        <v>0</v>
      </c>
      <c r="I1175" s="310"/>
      <c r="J1175" s="302"/>
    </row>
    <row r="1176" spans="1:19" ht="37.5" hidden="1" customHeight="1" x14ac:dyDescent="0.25">
      <c r="A1176" s="391" t="s">
        <v>1073</v>
      </c>
      <c r="B1176" s="454">
        <v>908</v>
      </c>
      <c r="C1176" s="394" t="s">
        <v>168</v>
      </c>
      <c r="D1176" s="394" t="s">
        <v>168</v>
      </c>
      <c r="E1176" s="394" t="s">
        <v>1074</v>
      </c>
      <c r="F1176" s="394"/>
      <c r="G1176" s="436">
        <f>G1177+G1179</f>
        <v>0</v>
      </c>
      <c r="H1176" s="436">
        <f>H1177+H1179</f>
        <v>0</v>
      </c>
      <c r="I1176" s="310"/>
      <c r="J1176" s="302"/>
    </row>
    <row r="1177" spans="1:19" ht="21.75" hidden="1" customHeight="1" x14ac:dyDescent="0.25">
      <c r="A1177" s="391" t="s">
        <v>1076</v>
      </c>
      <c r="B1177" s="454">
        <v>908</v>
      </c>
      <c r="C1177" s="394" t="s">
        <v>168</v>
      </c>
      <c r="D1177" s="394" t="s">
        <v>168</v>
      </c>
      <c r="E1177" s="394" t="s">
        <v>1074</v>
      </c>
      <c r="F1177" s="394" t="s">
        <v>412</v>
      </c>
      <c r="G1177" s="436">
        <f>G1178</f>
        <v>0</v>
      </c>
      <c r="H1177" s="436">
        <f>H1178</f>
        <v>0</v>
      </c>
      <c r="I1177" s="310"/>
      <c r="J1177" s="302"/>
    </row>
    <row r="1178" spans="1:19" ht="35.25" hidden="1" customHeight="1" x14ac:dyDescent="0.25">
      <c r="A1178" s="391" t="s">
        <v>413</v>
      </c>
      <c r="B1178" s="454">
        <v>908</v>
      </c>
      <c r="C1178" s="394" t="s">
        <v>168</v>
      </c>
      <c r="D1178" s="394" t="s">
        <v>168</v>
      </c>
      <c r="E1178" s="394" t="s">
        <v>1074</v>
      </c>
      <c r="F1178" s="394" t="s">
        <v>1077</v>
      </c>
      <c r="G1178" s="436"/>
      <c r="H1178" s="436"/>
      <c r="I1178" s="310"/>
      <c r="J1178" s="302"/>
    </row>
    <row r="1179" spans="1:19" ht="21.75" hidden="1" customHeight="1" x14ac:dyDescent="0.25">
      <c r="A1179" s="391" t="s">
        <v>127</v>
      </c>
      <c r="B1179" s="454">
        <v>908</v>
      </c>
      <c r="C1179" s="394" t="s">
        <v>168</v>
      </c>
      <c r="D1179" s="394" t="s">
        <v>168</v>
      </c>
      <c r="E1179" s="394" t="s">
        <v>1074</v>
      </c>
      <c r="F1179" s="394" t="s">
        <v>134</v>
      </c>
      <c r="G1179" s="436">
        <f>G1180</f>
        <v>0</v>
      </c>
      <c r="H1179" s="436">
        <f>H1180</f>
        <v>0</v>
      </c>
      <c r="I1179" s="310"/>
      <c r="J1179" s="302"/>
    </row>
    <row r="1180" spans="1:19" ht="39.75" hidden="1" customHeight="1" x14ac:dyDescent="0.25">
      <c r="A1180" s="391" t="s">
        <v>148</v>
      </c>
      <c r="B1180" s="454">
        <v>908</v>
      </c>
      <c r="C1180" s="394" t="s">
        <v>168</v>
      </c>
      <c r="D1180" s="394" t="s">
        <v>168</v>
      </c>
      <c r="E1180" s="394" t="s">
        <v>1074</v>
      </c>
      <c r="F1180" s="394" t="s">
        <v>142</v>
      </c>
      <c r="G1180" s="436"/>
      <c r="H1180" s="436"/>
      <c r="I1180" s="310"/>
      <c r="J1180" s="302"/>
    </row>
    <row r="1181" spans="1:19" ht="47.25" hidden="1" x14ac:dyDescent="0.25">
      <c r="A1181" s="405" t="s">
        <v>860</v>
      </c>
      <c r="B1181" s="453">
        <v>908</v>
      </c>
      <c r="C1181" s="406" t="s">
        <v>168</v>
      </c>
      <c r="D1181" s="406" t="s">
        <v>168</v>
      </c>
      <c r="E1181" s="406" t="s">
        <v>206</v>
      </c>
      <c r="F1181" s="406"/>
      <c r="G1181" s="438">
        <f t="shared" ref="G1181:H1184" si="96">G1182</f>
        <v>0</v>
      </c>
      <c r="H1181" s="438">
        <f t="shared" si="96"/>
        <v>0</v>
      </c>
      <c r="I1181" s="310"/>
      <c r="J1181" s="302"/>
    </row>
    <row r="1182" spans="1:19" ht="47.25" hidden="1" x14ac:dyDescent="0.25">
      <c r="A1182" s="405" t="s">
        <v>570</v>
      </c>
      <c r="B1182" s="453">
        <v>908</v>
      </c>
      <c r="C1182" s="406" t="s">
        <v>168</v>
      </c>
      <c r="D1182" s="406" t="s">
        <v>168</v>
      </c>
      <c r="E1182" s="406" t="s">
        <v>502</v>
      </c>
      <c r="F1182" s="406"/>
      <c r="G1182" s="438">
        <f t="shared" si="96"/>
        <v>0</v>
      </c>
      <c r="H1182" s="438">
        <f t="shared" si="96"/>
        <v>0</v>
      </c>
      <c r="I1182" s="310"/>
      <c r="J1182" s="302"/>
    </row>
    <row r="1183" spans="1:19" ht="47.25" hidden="1" x14ac:dyDescent="0.25">
      <c r="A1183" s="393" t="s">
        <v>632</v>
      </c>
      <c r="B1183" s="454">
        <v>908</v>
      </c>
      <c r="C1183" s="394" t="s">
        <v>168</v>
      </c>
      <c r="D1183" s="394" t="s">
        <v>168</v>
      </c>
      <c r="E1183" s="394" t="s">
        <v>587</v>
      </c>
      <c r="F1183" s="394"/>
      <c r="G1183" s="435">
        <f t="shared" si="96"/>
        <v>0</v>
      </c>
      <c r="H1183" s="435">
        <f t="shared" si="96"/>
        <v>0</v>
      </c>
      <c r="I1183" s="310"/>
      <c r="J1183" s="302"/>
    </row>
    <row r="1184" spans="1:19" ht="31.5" hidden="1" x14ac:dyDescent="0.25">
      <c r="A1184" s="391" t="s">
        <v>123</v>
      </c>
      <c r="B1184" s="454">
        <v>908</v>
      </c>
      <c r="C1184" s="394" t="s">
        <v>168</v>
      </c>
      <c r="D1184" s="394" t="s">
        <v>168</v>
      </c>
      <c r="E1184" s="394" t="s">
        <v>587</v>
      </c>
      <c r="F1184" s="394" t="s">
        <v>124</v>
      </c>
      <c r="G1184" s="435">
        <f t="shared" si="96"/>
        <v>0</v>
      </c>
      <c r="H1184" s="435">
        <f t="shared" si="96"/>
        <v>0</v>
      </c>
      <c r="I1184" s="310"/>
      <c r="J1184" s="302"/>
    </row>
    <row r="1185" spans="1:10" ht="31.5" hidden="1" x14ac:dyDescent="0.25">
      <c r="A1185" s="391" t="s">
        <v>125</v>
      </c>
      <c r="B1185" s="454">
        <v>908</v>
      </c>
      <c r="C1185" s="394" t="s">
        <v>168</v>
      </c>
      <c r="D1185" s="394" t="s">
        <v>168</v>
      </c>
      <c r="E1185" s="394" t="s">
        <v>587</v>
      </c>
      <c r="F1185" s="394" t="s">
        <v>126</v>
      </c>
      <c r="G1185" s="435"/>
      <c r="H1185" s="435"/>
      <c r="I1185" s="310"/>
      <c r="J1185" s="302"/>
    </row>
    <row r="1186" spans="1:10" ht="15.75" x14ac:dyDescent="0.25">
      <c r="A1186" s="409" t="s">
        <v>173</v>
      </c>
      <c r="B1186" s="453">
        <v>908</v>
      </c>
      <c r="C1186" s="406" t="s">
        <v>174</v>
      </c>
      <c r="D1186" s="406"/>
      <c r="E1186" s="406"/>
      <c r="F1186" s="406"/>
      <c r="G1186" s="438">
        <f t="shared" ref="G1186:H1192" si="97">G1187</f>
        <v>85.1</v>
      </c>
      <c r="H1186" s="438">
        <f t="shared" si="97"/>
        <v>85.1</v>
      </c>
      <c r="I1186" s="310"/>
      <c r="J1186" s="302"/>
    </row>
    <row r="1187" spans="1:10" ht="15.75" x14ac:dyDescent="0.25">
      <c r="A1187" s="409" t="s">
        <v>183</v>
      </c>
      <c r="B1187" s="453">
        <v>908</v>
      </c>
      <c r="C1187" s="406" t="s">
        <v>174</v>
      </c>
      <c r="D1187" s="406" t="s">
        <v>118</v>
      </c>
      <c r="E1187" s="406"/>
      <c r="F1187" s="406"/>
      <c r="G1187" s="438">
        <f t="shared" si="97"/>
        <v>85.1</v>
      </c>
      <c r="H1187" s="438">
        <f t="shared" si="97"/>
        <v>85.1</v>
      </c>
      <c r="I1187" s="310"/>
      <c r="J1187" s="302"/>
    </row>
    <row r="1188" spans="1:10" ht="15.75" x14ac:dyDescent="0.25">
      <c r="A1188" s="409" t="s">
        <v>133</v>
      </c>
      <c r="B1188" s="453">
        <v>908</v>
      </c>
      <c r="C1188" s="406" t="s">
        <v>174</v>
      </c>
      <c r="D1188" s="406" t="s">
        <v>118</v>
      </c>
      <c r="E1188" s="406" t="s">
        <v>440</v>
      </c>
      <c r="F1188" s="406"/>
      <c r="G1188" s="438">
        <f t="shared" si="97"/>
        <v>85.1</v>
      </c>
      <c r="H1188" s="438">
        <f t="shared" si="97"/>
        <v>85.1</v>
      </c>
      <c r="I1188" s="310"/>
      <c r="J1188" s="302"/>
    </row>
    <row r="1189" spans="1:10" ht="15.75" x14ac:dyDescent="0.25">
      <c r="A1189" s="409" t="s">
        <v>133</v>
      </c>
      <c r="B1189" s="453">
        <v>908</v>
      </c>
      <c r="C1189" s="406" t="s">
        <v>174</v>
      </c>
      <c r="D1189" s="406" t="s">
        <v>118</v>
      </c>
      <c r="E1189" s="406" t="s">
        <v>439</v>
      </c>
      <c r="F1189" s="406"/>
      <c r="G1189" s="438">
        <f t="shared" si="97"/>
        <v>85.1</v>
      </c>
      <c r="H1189" s="438">
        <f t="shared" si="97"/>
        <v>85.1</v>
      </c>
      <c r="I1189" s="310"/>
      <c r="J1189" s="302"/>
    </row>
    <row r="1190" spans="1:10" ht="31.5" x14ac:dyDescent="0.25">
      <c r="A1190" s="409" t="s">
        <v>444</v>
      </c>
      <c r="B1190" s="453">
        <v>908</v>
      </c>
      <c r="C1190" s="406" t="s">
        <v>174</v>
      </c>
      <c r="D1190" s="406" t="s">
        <v>118</v>
      </c>
      <c r="E1190" s="406" t="s">
        <v>439</v>
      </c>
      <c r="F1190" s="406"/>
      <c r="G1190" s="438">
        <f t="shared" si="97"/>
        <v>85.1</v>
      </c>
      <c r="H1190" s="438">
        <f t="shared" si="97"/>
        <v>85.1</v>
      </c>
      <c r="I1190" s="310"/>
      <c r="J1190" s="302"/>
    </row>
    <row r="1191" spans="1:10" ht="15.75" x14ac:dyDescent="0.25">
      <c r="A1191" s="391" t="s">
        <v>283</v>
      </c>
      <c r="B1191" s="454">
        <v>908</v>
      </c>
      <c r="C1191" s="394" t="s">
        <v>174</v>
      </c>
      <c r="D1191" s="394" t="s">
        <v>118</v>
      </c>
      <c r="E1191" s="394" t="s">
        <v>548</v>
      </c>
      <c r="F1191" s="394"/>
      <c r="G1191" s="435">
        <f t="shared" si="97"/>
        <v>85.1</v>
      </c>
      <c r="H1191" s="435">
        <f t="shared" si="97"/>
        <v>85.1</v>
      </c>
      <c r="I1191" s="310"/>
      <c r="J1191" s="302"/>
    </row>
    <row r="1192" spans="1:10" ht="31.5" x14ac:dyDescent="0.25">
      <c r="A1192" s="391" t="s">
        <v>123</v>
      </c>
      <c r="B1192" s="454">
        <v>908</v>
      </c>
      <c r="C1192" s="394" t="s">
        <v>174</v>
      </c>
      <c r="D1192" s="394" t="s">
        <v>118</v>
      </c>
      <c r="E1192" s="394" t="s">
        <v>548</v>
      </c>
      <c r="F1192" s="394" t="s">
        <v>124</v>
      </c>
      <c r="G1192" s="435">
        <f t="shared" si="97"/>
        <v>85.1</v>
      </c>
      <c r="H1192" s="435">
        <f t="shared" si="97"/>
        <v>85.1</v>
      </c>
      <c r="I1192" s="310"/>
      <c r="J1192" s="302"/>
    </row>
    <row r="1193" spans="1:10" ht="31.5" x14ac:dyDescent="0.25">
      <c r="A1193" s="391" t="s">
        <v>125</v>
      </c>
      <c r="B1193" s="454">
        <v>908</v>
      </c>
      <c r="C1193" s="394" t="s">
        <v>174</v>
      </c>
      <c r="D1193" s="394" t="s">
        <v>118</v>
      </c>
      <c r="E1193" s="394" t="s">
        <v>548</v>
      </c>
      <c r="F1193" s="394" t="s">
        <v>126</v>
      </c>
      <c r="G1193" s="435">
        <v>85.1</v>
      </c>
      <c r="H1193" s="435">
        <f>85.1</f>
        <v>85.1</v>
      </c>
      <c r="I1193" s="310"/>
      <c r="J1193" s="302"/>
    </row>
    <row r="1194" spans="1:10" ht="33.950000000000003" customHeight="1" x14ac:dyDescent="0.25">
      <c r="A1194" s="453" t="s">
        <v>284</v>
      </c>
      <c r="B1194" s="453">
        <v>910</v>
      </c>
      <c r="C1194" s="499"/>
      <c r="D1194" s="499"/>
      <c r="E1194" s="499"/>
      <c r="F1194" s="499"/>
      <c r="G1194" s="438">
        <f t="shared" ref="G1194:H1197" si="98">G1195</f>
        <v>5970</v>
      </c>
      <c r="H1194" s="438">
        <f t="shared" si="98"/>
        <v>5970</v>
      </c>
      <c r="I1194" s="310"/>
      <c r="J1194" s="302"/>
    </row>
    <row r="1195" spans="1:10" ht="15.75" x14ac:dyDescent="0.25">
      <c r="A1195" s="409" t="s">
        <v>115</v>
      </c>
      <c r="B1195" s="453">
        <v>910</v>
      </c>
      <c r="C1195" s="406" t="s">
        <v>116</v>
      </c>
      <c r="D1195" s="406"/>
      <c r="E1195" s="406"/>
      <c r="F1195" s="406"/>
      <c r="G1195" s="438">
        <f t="shared" si="98"/>
        <v>5970</v>
      </c>
      <c r="H1195" s="438">
        <f t="shared" si="98"/>
        <v>5970</v>
      </c>
      <c r="I1195" s="310"/>
      <c r="J1195" s="302"/>
    </row>
    <row r="1196" spans="1:10" ht="47.25" customHeight="1" x14ac:dyDescent="0.25">
      <c r="A1196" s="409" t="s">
        <v>287</v>
      </c>
      <c r="B1196" s="453">
        <v>910</v>
      </c>
      <c r="C1196" s="406" t="s">
        <v>116</v>
      </c>
      <c r="D1196" s="406" t="s">
        <v>159</v>
      </c>
      <c r="E1196" s="406"/>
      <c r="F1196" s="406"/>
      <c r="G1196" s="438">
        <f t="shared" si="98"/>
        <v>5970</v>
      </c>
      <c r="H1196" s="438">
        <f t="shared" si="98"/>
        <v>5970</v>
      </c>
      <c r="I1196" s="310"/>
      <c r="J1196" s="302"/>
    </row>
    <row r="1197" spans="1:10" ht="31.5" x14ac:dyDescent="0.25">
      <c r="A1197" s="409" t="s">
        <v>486</v>
      </c>
      <c r="B1197" s="453">
        <v>910</v>
      </c>
      <c r="C1197" s="406" t="s">
        <v>116</v>
      </c>
      <c r="D1197" s="406" t="s">
        <v>159</v>
      </c>
      <c r="E1197" s="406" t="s">
        <v>432</v>
      </c>
      <c r="F1197" s="406"/>
      <c r="G1197" s="438">
        <f t="shared" si="98"/>
        <v>5970</v>
      </c>
      <c r="H1197" s="438">
        <f t="shared" si="98"/>
        <v>5970</v>
      </c>
      <c r="I1197" s="310"/>
      <c r="J1197" s="302"/>
    </row>
    <row r="1198" spans="1:10" ht="15.75" x14ac:dyDescent="0.25">
      <c r="A1198" s="409" t="s">
        <v>549</v>
      </c>
      <c r="B1198" s="453">
        <v>910</v>
      </c>
      <c r="C1198" s="406" t="s">
        <v>116</v>
      </c>
      <c r="D1198" s="406" t="s">
        <v>159</v>
      </c>
      <c r="E1198" s="406" t="s">
        <v>550</v>
      </c>
      <c r="F1198" s="406"/>
      <c r="G1198" s="438">
        <f>G1204+G1209+G1199</f>
        <v>5970</v>
      </c>
      <c r="H1198" s="438">
        <f>H1204+H1209+H1199</f>
        <v>5970</v>
      </c>
      <c r="I1198" s="310"/>
      <c r="J1198" s="302"/>
    </row>
    <row r="1199" spans="1:10" ht="31.5" x14ac:dyDescent="0.25">
      <c r="A1199" s="500" t="s">
        <v>866</v>
      </c>
      <c r="B1199" s="454">
        <v>910</v>
      </c>
      <c r="C1199" s="394" t="s">
        <v>116</v>
      </c>
      <c r="D1199" s="394" t="s">
        <v>159</v>
      </c>
      <c r="E1199" s="394" t="s">
        <v>896</v>
      </c>
      <c r="F1199" s="406"/>
      <c r="G1199" s="435">
        <f>G1200+G1202</f>
        <v>4708.8999999999996</v>
      </c>
      <c r="H1199" s="435">
        <f>H1200+H1202</f>
        <v>4708.8999999999996</v>
      </c>
      <c r="I1199" s="310"/>
      <c r="J1199" s="302"/>
    </row>
    <row r="1200" spans="1:10" ht="78.75" x14ac:dyDescent="0.25">
      <c r="A1200" s="391" t="s">
        <v>119</v>
      </c>
      <c r="B1200" s="454">
        <v>910</v>
      </c>
      <c r="C1200" s="394" t="s">
        <v>116</v>
      </c>
      <c r="D1200" s="394" t="s">
        <v>159</v>
      </c>
      <c r="E1200" s="394" t="s">
        <v>896</v>
      </c>
      <c r="F1200" s="394" t="s">
        <v>120</v>
      </c>
      <c r="G1200" s="435">
        <f>G1201</f>
        <v>4615.8999999999996</v>
      </c>
      <c r="H1200" s="435">
        <f>H1201</f>
        <v>4615.8999999999996</v>
      </c>
      <c r="I1200" s="310"/>
      <c r="J1200" s="302"/>
    </row>
    <row r="1201" spans="1:31" ht="31.5" x14ac:dyDescent="0.25">
      <c r="A1201" s="391" t="s">
        <v>121</v>
      </c>
      <c r="B1201" s="454">
        <v>910</v>
      </c>
      <c r="C1201" s="394" t="s">
        <v>116</v>
      </c>
      <c r="D1201" s="394" t="s">
        <v>159</v>
      </c>
      <c r="E1201" s="394" t="s">
        <v>896</v>
      </c>
      <c r="F1201" s="394" t="s">
        <v>122</v>
      </c>
      <c r="G1201" s="435">
        <v>4615.8999999999996</v>
      </c>
      <c r="H1201" s="435">
        <f>G1201</f>
        <v>4615.8999999999996</v>
      </c>
      <c r="I1201" s="310"/>
      <c r="J1201" s="302"/>
    </row>
    <row r="1202" spans="1:31" ht="31.5" x14ac:dyDescent="0.25">
      <c r="A1202" s="391" t="s">
        <v>153</v>
      </c>
      <c r="B1202" s="454">
        <v>910</v>
      </c>
      <c r="C1202" s="394" t="s">
        <v>116</v>
      </c>
      <c r="D1202" s="394" t="s">
        <v>159</v>
      </c>
      <c r="E1202" s="394" t="s">
        <v>896</v>
      </c>
      <c r="F1202" s="394" t="s">
        <v>124</v>
      </c>
      <c r="G1202" s="435">
        <f>G1203</f>
        <v>93</v>
      </c>
      <c r="H1202" s="435">
        <f>H1203</f>
        <v>93</v>
      </c>
      <c r="I1202" s="310"/>
      <c r="J1202" s="302"/>
    </row>
    <row r="1203" spans="1:31" ht="31.5" x14ac:dyDescent="0.25">
      <c r="A1203" s="391" t="s">
        <v>125</v>
      </c>
      <c r="B1203" s="454">
        <v>910</v>
      </c>
      <c r="C1203" s="394" t="s">
        <v>116</v>
      </c>
      <c r="D1203" s="394" t="s">
        <v>159</v>
      </c>
      <c r="E1203" s="394" t="s">
        <v>896</v>
      </c>
      <c r="F1203" s="394" t="s">
        <v>126</v>
      </c>
      <c r="G1203" s="435">
        <v>93</v>
      </c>
      <c r="H1203" s="435">
        <v>93</v>
      </c>
      <c r="I1203" s="310"/>
      <c r="J1203" s="302"/>
    </row>
    <row r="1204" spans="1:31" ht="37.35" customHeight="1" x14ac:dyDescent="0.25">
      <c r="A1204" s="391" t="s">
        <v>552</v>
      </c>
      <c r="B1204" s="454">
        <v>910</v>
      </c>
      <c r="C1204" s="394" t="s">
        <v>116</v>
      </c>
      <c r="D1204" s="394" t="s">
        <v>159</v>
      </c>
      <c r="E1204" s="394" t="s">
        <v>553</v>
      </c>
      <c r="F1204" s="394"/>
      <c r="G1204" s="435">
        <f>G1205+G1207</f>
        <v>1261.0999999999999</v>
      </c>
      <c r="H1204" s="435">
        <f>H1205+H1207</f>
        <v>1261.0999999999999</v>
      </c>
      <c r="I1204" s="310"/>
      <c r="J1204" s="302"/>
    </row>
    <row r="1205" spans="1:31" ht="78.75" x14ac:dyDescent="0.25">
      <c r="A1205" s="391" t="s">
        <v>119</v>
      </c>
      <c r="B1205" s="454">
        <v>910</v>
      </c>
      <c r="C1205" s="394" t="s">
        <v>116</v>
      </c>
      <c r="D1205" s="394" t="s">
        <v>159</v>
      </c>
      <c r="E1205" s="394" t="s">
        <v>553</v>
      </c>
      <c r="F1205" s="394" t="s">
        <v>120</v>
      </c>
      <c r="G1205" s="435">
        <f>G1206</f>
        <v>1261.0999999999999</v>
      </c>
      <c r="H1205" s="435">
        <f>H1206</f>
        <v>1261.0999999999999</v>
      </c>
      <c r="I1205" s="310"/>
      <c r="J1205" s="302"/>
    </row>
    <row r="1206" spans="1:31" ht="31.5" x14ac:dyDescent="0.25">
      <c r="A1206" s="391" t="s">
        <v>121</v>
      </c>
      <c r="B1206" s="454">
        <v>910</v>
      </c>
      <c r="C1206" s="394" t="s">
        <v>116</v>
      </c>
      <c r="D1206" s="394" t="s">
        <v>159</v>
      </c>
      <c r="E1206" s="394" t="s">
        <v>553</v>
      </c>
      <c r="F1206" s="394" t="s">
        <v>122</v>
      </c>
      <c r="G1206" s="435">
        <v>1261.0999999999999</v>
      </c>
      <c r="H1206" s="435">
        <f>G1206</f>
        <v>1261.0999999999999</v>
      </c>
      <c r="I1206" s="310"/>
      <c r="J1206" s="302"/>
    </row>
    <row r="1207" spans="1:31" ht="31.5" hidden="1" x14ac:dyDescent="0.25">
      <c r="A1207" s="391" t="s">
        <v>153</v>
      </c>
      <c r="B1207" s="454">
        <v>910</v>
      </c>
      <c r="C1207" s="394" t="s">
        <v>116</v>
      </c>
      <c r="D1207" s="394" t="s">
        <v>159</v>
      </c>
      <c r="E1207" s="394" t="s">
        <v>553</v>
      </c>
      <c r="F1207" s="394" t="s">
        <v>124</v>
      </c>
      <c r="G1207" s="435">
        <f>G1208</f>
        <v>0</v>
      </c>
      <c r="H1207" s="435">
        <f>H1208</f>
        <v>0</v>
      </c>
      <c r="I1207" s="310"/>
      <c r="J1207" s="302"/>
    </row>
    <row r="1208" spans="1:31" ht="31.5" hidden="1" x14ac:dyDescent="0.25">
      <c r="A1208" s="391" t="s">
        <v>125</v>
      </c>
      <c r="B1208" s="454">
        <v>910</v>
      </c>
      <c r="C1208" s="394" t="s">
        <v>116</v>
      </c>
      <c r="D1208" s="394" t="s">
        <v>159</v>
      </c>
      <c r="E1208" s="394" t="s">
        <v>553</v>
      </c>
      <c r="F1208" s="394" t="s">
        <v>126</v>
      </c>
      <c r="G1208" s="435">
        <v>0</v>
      </c>
      <c r="H1208" s="435">
        <v>0</v>
      </c>
      <c r="I1208" s="310"/>
      <c r="J1208" s="302"/>
    </row>
    <row r="1209" spans="1:31" ht="39.75" hidden="1" customHeight="1" x14ac:dyDescent="0.25">
      <c r="A1209" s="391" t="s">
        <v>414</v>
      </c>
      <c r="B1209" s="454">
        <v>910</v>
      </c>
      <c r="C1209" s="394" t="s">
        <v>116</v>
      </c>
      <c r="D1209" s="394" t="s">
        <v>159</v>
      </c>
      <c r="E1209" s="394" t="s">
        <v>551</v>
      </c>
      <c r="F1209" s="394"/>
      <c r="G1209" s="435">
        <f>G1210</f>
        <v>0</v>
      </c>
      <c r="H1209" s="435">
        <f>H1210</f>
        <v>0</v>
      </c>
      <c r="I1209" s="310"/>
      <c r="J1209" s="302"/>
    </row>
    <row r="1210" spans="1:31" ht="69.75" hidden="1" customHeight="1" x14ac:dyDescent="0.25">
      <c r="A1210" s="391" t="s">
        <v>119</v>
      </c>
      <c r="B1210" s="454">
        <v>910</v>
      </c>
      <c r="C1210" s="394" t="s">
        <v>116</v>
      </c>
      <c r="D1210" s="394" t="s">
        <v>159</v>
      </c>
      <c r="E1210" s="394" t="s">
        <v>551</v>
      </c>
      <c r="F1210" s="394" t="s">
        <v>120</v>
      </c>
      <c r="G1210" s="435">
        <f>G1211</f>
        <v>0</v>
      </c>
      <c r="H1210" s="435">
        <f>H1211</f>
        <v>0</v>
      </c>
      <c r="I1210" s="310"/>
      <c r="J1210" s="302"/>
    </row>
    <row r="1211" spans="1:31" ht="35.450000000000003" hidden="1" customHeight="1" x14ac:dyDescent="0.25">
      <c r="A1211" s="391" t="s">
        <v>121</v>
      </c>
      <c r="B1211" s="454">
        <v>910</v>
      </c>
      <c r="C1211" s="394" t="s">
        <v>116</v>
      </c>
      <c r="D1211" s="394" t="s">
        <v>159</v>
      </c>
      <c r="E1211" s="394" t="s">
        <v>551</v>
      </c>
      <c r="F1211" s="394" t="s">
        <v>122</v>
      </c>
      <c r="G1211" s="435"/>
      <c r="H1211" s="435"/>
      <c r="I1211" s="310"/>
      <c r="J1211" s="302"/>
    </row>
    <row r="1212" spans="1:31" ht="15.75" x14ac:dyDescent="0.25">
      <c r="A1212" s="501" t="s">
        <v>290</v>
      </c>
      <c r="B1212" s="501"/>
      <c r="C1212" s="406"/>
      <c r="D1212" s="406"/>
      <c r="E1212" s="406"/>
      <c r="F1212" s="406"/>
      <c r="G1212" s="502">
        <f>G1194+G934+G843+G608+G557+G246+G31+G10+G541+G9</f>
        <v>807747.37200000009</v>
      </c>
      <c r="H1212" s="502">
        <f>H1194+H934+H843+H608+H557+H246+H31+H10+H541+H9</f>
        <v>777654.58000000007</v>
      </c>
    </row>
    <row r="1213" spans="1:31" ht="15.75" x14ac:dyDescent="0.25">
      <c r="A1213" s="503"/>
      <c r="B1213" s="503"/>
      <c r="C1213" s="504"/>
      <c r="D1213" s="504"/>
      <c r="E1213" s="504"/>
      <c r="F1213" s="504"/>
      <c r="G1213" s="505"/>
      <c r="H1213" s="505"/>
      <c r="I1213" s="310"/>
      <c r="J1213" s="677"/>
      <c r="K1213" s="677"/>
      <c r="L1213" s="677"/>
      <c r="M1213" s="677"/>
      <c r="N1213" s="677"/>
      <c r="O1213" s="677"/>
      <c r="P1213" s="677"/>
      <c r="Q1213" s="677"/>
      <c r="R1213" s="677"/>
      <c r="S1213" s="677"/>
      <c r="T1213" s="302"/>
      <c r="U1213" s="302"/>
      <c r="V1213" s="302"/>
      <c r="W1213" s="302"/>
      <c r="X1213" s="302"/>
      <c r="Y1213" s="302"/>
      <c r="Z1213" s="302"/>
      <c r="AA1213" s="302"/>
      <c r="AB1213" s="302"/>
      <c r="AC1213" s="302"/>
      <c r="AD1213" s="302"/>
      <c r="AE1213" s="302"/>
    </row>
    <row r="1214" spans="1:31" ht="28.5" customHeight="1" x14ac:dyDescent="0.25">
      <c r="A1214" s="506"/>
      <c r="B1214" s="506"/>
      <c r="C1214" s="506"/>
      <c r="D1214" s="506"/>
      <c r="E1214" s="506">
        <f>пр.1дох.22!C79-пр.1дох.22!C81</f>
        <v>349114.88060999999</v>
      </c>
      <c r="F1214" s="506"/>
      <c r="I1214" s="310"/>
      <c r="J1214" s="414"/>
      <c r="K1214" s="414"/>
      <c r="L1214" s="414"/>
      <c r="M1214" s="414"/>
      <c r="N1214" s="414"/>
      <c r="O1214" s="414"/>
      <c r="P1214" s="414"/>
      <c r="Q1214" s="414"/>
      <c r="R1214" s="414"/>
      <c r="S1214" s="414"/>
      <c r="T1214" s="302"/>
      <c r="U1214" s="302"/>
      <c r="V1214" s="302"/>
      <c r="W1214" s="302"/>
      <c r="X1214" s="302"/>
      <c r="Y1214" s="302"/>
      <c r="Z1214" s="302"/>
      <c r="AA1214" s="302"/>
      <c r="AB1214" s="302"/>
      <c r="AC1214" s="302"/>
      <c r="AD1214" s="302"/>
      <c r="AE1214" s="302"/>
    </row>
    <row r="1215" spans="1:31" ht="18.75" x14ac:dyDescent="0.3">
      <c r="A1215" s="506"/>
      <c r="B1215" s="506"/>
      <c r="C1215" s="507"/>
      <c r="D1215" s="507"/>
      <c r="E1215" s="507"/>
      <c r="F1215" s="508" t="s">
        <v>291</v>
      </c>
      <c r="G1215" s="509">
        <f>G1212-G1216</f>
        <v>-25806532.627999999</v>
      </c>
      <c r="H1215" s="509">
        <f>H1212-H1216</f>
        <v>-17261233.740000002</v>
      </c>
      <c r="I1215" s="423">
        <f>'Пр.1.1. дох.23-24'!C9+'Пр.1.1. дох.23-24'!C79</f>
        <v>547196.24</v>
      </c>
      <c r="J1215" s="423">
        <f>'Пр.1.1. дох.23-24'!D9+'Пр.1.1. дох.23-24'!D79</f>
        <v>567369.71000000008</v>
      </c>
      <c r="K1215" s="416"/>
      <c r="L1215" s="415"/>
      <c r="M1215" s="415"/>
      <c r="N1215" s="415"/>
      <c r="O1215" s="415"/>
      <c r="P1215" s="415"/>
      <c r="Q1215" s="415"/>
      <c r="R1215" s="415"/>
      <c r="S1215" s="417"/>
      <c r="T1215" s="302"/>
      <c r="U1215" s="302"/>
      <c r="V1215" s="302"/>
      <c r="W1215" s="302"/>
      <c r="X1215" s="302"/>
      <c r="Y1215" s="302"/>
      <c r="Z1215" s="302"/>
      <c r="AA1215" s="302"/>
      <c r="AB1215" s="302"/>
      <c r="AC1215" s="302"/>
      <c r="AD1215" s="302"/>
      <c r="AE1215" s="302"/>
    </row>
    <row r="1216" spans="1:31" ht="18.75" x14ac:dyDescent="0.3">
      <c r="A1216" s="506"/>
      <c r="B1216" s="506"/>
      <c r="C1216" s="507"/>
      <c r="D1216" s="507"/>
      <c r="E1216" s="507"/>
      <c r="F1216" s="508" t="s">
        <v>292</v>
      </c>
      <c r="G1216" s="509">
        <f>G67+G214+G240+G330+G405+G572+G623+G685+G777+G878+G1116+Лист1!K33</f>
        <v>26614280</v>
      </c>
      <c r="H1216" s="509">
        <f>H67+H214+H240+H330+H405+H572+H623+H685+H777+H878+H1116+Лист1!Q33</f>
        <v>18038888.32</v>
      </c>
      <c r="I1216" s="423"/>
      <c r="J1216" s="415"/>
      <c r="K1216" s="415"/>
      <c r="L1216" s="415"/>
      <c r="M1216" s="415"/>
      <c r="N1216" s="415"/>
      <c r="O1216" s="415"/>
      <c r="P1216" s="415"/>
      <c r="Q1216" s="417"/>
      <c r="R1216" s="415"/>
      <c r="S1216" s="417"/>
      <c r="T1216" s="302"/>
      <c r="U1216" s="302"/>
      <c r="V1216" s="302"/>
      <c r="W1216" s="302"/>
      <c r="X1216" s="302"/>
      <c r="Y1216" s="302"/>
      <c r="Z1216" s="302"/>
      <c r="AA1216" s="302"/>
      <c r="AB1216" s="302"/>
      <c r="AC1216" s="302"/>
      <c r="AD1216" s="302"/>
      <c r="AE1216" s="302"/>
    </row>
    <row r="1217" spans="1:40" ht="18.75" x14ac:dyDescent="0.3">
      <c r="A1217" s="506"/>
      <c r="B1217" s="506"/>
      <c r="C1217" s="507"/>
      <c r="D1217" s="507"/>
      <c r="E1217" s="507"/>
      <c r="F1217" s="508"/>
      <c r="G1217" s="509">
        <f>'Пр.1.1. дох.23-24'!C9+'Пр.1.1. дох.23-24'!C79</f>
        <v>547196.24</v>
      </c>
      <c r="H1217" s="509">
        <f>'Пр.1.1. дох.23-24'!D9+'Пр.1.1. дох.23-24'!D79</f>
        <v>567369.71000000008</v>
      </c>
      <c r="I1217" s="423"/>
      <c r="J1217" s="415"/>
      <c r="K1217" s="416"/>
      <c r="L1217" s="415"/>
      <c r="M1217" s="415"/>
      <c r="N1217" s="415"/>
      <c r="O1217" s="415"/>
      <c r="P1217" s="415"/>
      <c r="Q1217" s="415"/>
      <c r="R1217" s="415"/>
      <c r="S1217" s="415"/>
      <c r="T1217" s="72"/>
      <c r="U1217" s="302"/>
      <c r="V1217" s="302"/>
      <c r="W1217" s="302"/>
      <c r="X1217" s="302"/>
      <c r="Y1217" s="302"/>
      <c r="Z1217" s="302"/>
      <c r="AA1217" s="302"/>
      <c r="AB1217" s="302"/>
      <c r="AC1217" s="302"/>
      <c r="AD1217" s="302"/>
      <c r="AE1217" s="302"/>
    </row>
    <row r="1218" spans="1:40" ht="15.75" x14ac:dyDescent="0.25">
      <c r="A1218" s="506"/>
      <c r="B1218" s="506"/>
      <c r="C1218" s="507"/>
      <c r="D1218" s="510"/>
      <c r="E1218" s="510"/>
      <c r="F1218" s="511" t="s">
        <v>326</v>
      </c>
      <c r="G1218" s="512"/>
      <c r="H1218" s="512"/>
      <c r="I1218" s="310"/>
      <c r="J1218" s="418"/>
      <c r="K1218" s="418"/>
      <c r="L1218" s="418"/>
      <c r="M1218" s="418"/>
      <c r="N1218" s="418"/>
      <c r="O1218" s="418"/>
      <c r="P1218" s="418"/>
      <c r="Q1218" s="418"/>
      <c r="R1218" s="389"/>
      <c r="S1218" s="418"/>
      <c r="T1218" s="302"/>
      <c r="U1218" s="302"/>
      <c r="V1218" s="302"/>
      <c r="W1218" s="302"/>
      <c r="X1218" s="302"/>
      <c r="Y1218" s="302"/>
      <c r="Z1218" s="302"/>
      <c r="AA1218" s="302"/>
      <c r="AB1218" s="302"/>
      <c r="AC1218" s="302"/>
      <c r="AD1218" s="302"/>
      <c r="AE1218" s="302"/>
    </row>
    <row r="1219" spans="1:40" ht="15.75" x14ac:dyDescent="0.25">
      <c r="A1219" s="506"/>
      <c r="B1219" s="506"/>
      <c r="C1219" s="507"/>
      <c r="D1219" s="510"/>
      <c r="E1219" s="510"/>
      <c r="F1219" s="510"/>
      <c r="G1219" s="512"/>
      <c r="H1219" s="512"/>
      <c r="I1219" s="310"/>
      <c r="J1219" s="70"/>
      <c r="K1219" s="70"/>
      <c r="L1219" s="302"/>
      <c r="M1219" s="302"/>
      <c r="N1219" s="302"/>
      <c r="O1219" s="70"/>
      <c r="P1219" s="302"/>
      <c r="Q1219" s="70"/>
      <c r="R1219" s="70"/>
      <c r="S1219" s="70"/>
      <c r="T1219" s="302"/>
      <c r="U1219" s="302"/>
      <c r="V1219" s="302"/>
      <c r="W1219" s="302"/>
      <c r="X1219" s="302"/>
      <c r="Y1219" s="302"/>
      <c r="Z1219" s="302"/>
      <c r="AA1219" s="302"/>
      <c r="AB1219" s="302"/>
      <c r="AC1219" s="302"/>
      <c r="AD1219" s="302"/>
      <c r="AE1219" s="302"/>
    </row>
    <row r="1220" spans="1:40" ht="15.75" x14ac:dyDescent="0.25">
      <c r="A1220" s="506"/>
      <c r="B1220" s="506"/>
      <c r="C1220" s="507"/>
      <c r="D1220" s="510"/>
      <c r="E1220" s="510"/>
      <c r="F1220" s="510"/>
      <c r="G1220" s="512"/>
      <c r="H1220" s="512"/>
      <c r="I1220" s="310"/>
      <c r="J1220" s="288"/>
      <c r="K1220" s="72"/>
      <c r="L1220" s="302"/>
      <c r="M1220" s="302"/>
      <c r="N1220" s="302"/>
      <c r="O1220" s="302"/>
      <c r="P1220" s="302"/>
      <c r="Q1220" s="302"/>
      <c r="R1220" s="302"/>
      <c r="S1220" s="72"/>
      <c r="T1220" s="302"/>
      <c r="U1220" s="302"/>
      <c r="V1220" s="302"/>
      <c r="W1220" s="302"/>
      <c r="X1220" s="302"/>
      <c r="Y1220" s="302"/>
      <c r="Z1220" s="302"/>
      <c r="AA1220" s="302"/>
      <c r="AB1220" s="302"/>
      <c r="AC1220" s="302"/>
      <c r="AD1220" s="302"/>
      <c r="AE1220" s="302"/>
    </row>
    <row r="1221" spans="1:40" ht="15.75" x14ac:dyDescent="0.25">
      <c r="A1221" s="506"/>
      <c r="B1221" s="506"/>
      <c r="C1221" s="513">
        <v>1</v>
      </c>
      <c r="D1221" s="510"/>
      <c r="E1221" s="510"/>
      <c r="F1221" s="510"/>
      <c r="G1221" s="512">
        <f>G11+G32+G247+G558+G609+G935+G1195+G844</f>
        <v>152214.39999999999</v>
      </c>
      <c r="H1221" s="512">
        <f>H11+H32+H247+H558+H609+H935+H1195+H844</f>
        <v>158064.19999999998</v>
      </c>
      <c r="I1221" s="310"/>
      <c r="J1221" s="288"/>
      <c r="K1221" s="302"/>
      <c r="L1221" s="302"/>
      <c r="M1221" s="302"/>
      <c r="N1221" s="302"/>
      <c r="O1221" s="302"/>
      <c r="P1221" s="302"/>
      <c r="Q1221" s="302"/>
      <c r="R1221" s="302"/>
      <c r="S1221" s="70"/>
      <c r="T1221" s="302"/>
      <c r="U1221" s="302"/>
      <c r="V1221" s="302"/>
      <c r="W1221" s="302"/>
      <c r="X1221" s="302"/>
      <c r="Y1221" s="302"/>
      <c r="Z1221" s="302"/>
      <c r="AA1221" s="302"/>
      <c r="AB1221" s="302"/>
      <c r="AC1221" s="302"/>
      <c r="AD1221" s="302"/>
      <c r="AE1221" s="302"/>
    </row>
    <row r="1222" spans="1:40" ht="15.75" customHeight="1" x14ac:dyDescent="0.25">
      <c r="A1222" s="506"/>
      <c r="B1222" s="506"/>
      <c r="C1222" s="513" t="s">
        <v>291</v>
      </c>
      <c r="D1222" s="510"/>
      <c r="E1222" s="510"/>
      <c r="F1222" s="510"/>
      <c r="G1222" s="512"/>
      <c r="H1222" s="512"/>
      <c r="I1222" s="318"/>
      <c r="J1222" s="288"/>
      <c r="K1222" s="302"/>
      <c r="L1222" s="302"/>
      <c r="M1222" s="302"/>
      <c r="N1222" s="302"/>
      <c r="O1222" s="302"/>
      <c r="P1222" s="302"/>
      <c r="Q1222" s="302"/>
      <c r="R1222" s="302"/>
      <c r="S1222" s="302"/>
      <c r="T1222" s="302"/>
      <c r="U1222" s="302"/>
      <c r="V1222" s="302"/>
      <c r="W1222" s="302"/>
      <c r="X1222" s="302"/>
      <c r="Y1222" s="302"/>
      <c r="Z1222" s="302"/>
      <c r="AA1222" s="302"/>
      <c r="AB1222" s="302"/>
      <c r="AC1222" s="302"/>
      <c r="AD1222" s="302"/>
      <c r="AE1222" s="302"/>
    </row>
    <row r="1223" spans="1:40" ht="15.75" x14ac:dyDescent="0.25">
      <c r="A1223" s="506"/>
      <c r="B1223" s="506"/>
      <c r="C1223" s="513" t="s">
        <v>292</v>
      </c>
      <c r="D1223" s="510"/>
      <c r="E1223" s="510"/>
      <c r="F1223" s="510"/>
      <c r="G1223" s="512"/>
      <c r="H1223" s="512"/>
      <c r="I1223" s="318"/>
      <c r="J1223" s="677"/>
      <c r="K1223" s="677"/>
      <c r="L1223" s="677"/>
      <c r="M1223" s="677"/>
      <c r="N1223" s="677"/>
      <c r="O1223" s="677"/>
      <c r="P1223" s="677"/>
      <c r="Q1223" s="677"/>
      <c r="R1223" s="677"/>
      <c r="S1223" s="677"/>
      <c r="T1223" s="677"/>
      <c r="U1223" s="677"/>
      <c r="V1223" s="677"/>
      <c r="W1223" s="677"/>
      <c r="X1223" s="677"/>
      <c r="Y1223" s="677"/>
      <c r="Z1223" s="677"/>
      <c r="AA1223" s="677"/>
      <c r="AB1223" s="677"/>
      <c r="AC1223" s="677"/>
      <c r="AD1223" s="677"/>
      <c r="AE1223" s="677"/>
      <c r="AF1223" s="380"/>
      <c r="AG1223" s="380"/>
      <c r="AH1223" s="380"/>
      <c r="AI1223" s="380"/>
      <c r="AJ1223" s="380"/>
      <c r="AK1223" s="380"/>
    </row>
    <row r="1224" spans="1:40" ht="60" x14ac:dyDescent="0.25">
      <c r="A1224" s="506"/>
      <c r="B1224" s="506"/>
      <c r="C1224" s="513">
        <v>2</v>
      </c>
      <c r="D1224" s="510"/>
      <c r="E1224" s="510"/>
      <c r="F1224" s="510"/>
      <c r="G1224" s="512">
        <f>G164</f>
        <v>0</v>
      </c>
      <c r="H1224" s="512">
        <f>H164</f>
        <v>0</v>
      </c>
      <c r="I1224" s="310"/>
      <c r="J1224" s="419"/>
      <c r="K1224" s="419"/>
      <c r="L1224" s="419"/>
      <c r="M1224" s="419"/>
      <c r="N1224" s="419"/>
      <c r="O1224" s="419"/>
      <c r="P1224" s="419"/>
      <c r="Q1224" s="419"/>
      <c r="R1224" s="675"/>
      <c r="S1224" s="675"/>
      <c r="T1224" s="675"/>
      <c r="U1224" s="419"/>
      <c r="V1224" s="419"/>
      <c r="W1224" s="419"/>
      <c r="X1224" s="419"/>
      <c r="Y1224" s="419"/>
      <c r="Z1224" s="419"/>
      <c r="AA1224" s="419"/>
      <c r="AB1224" s="419"/>
      <c r="AC1224" s="419"/>
      <c r="AD1224" s="419"/>
      <c r="AE1224" s="419"/>
      <c r="AF1224" s="388" t="s">
        <v>1042</v>
      </c>
      <c r="AG1224" s="289" t="s">
        <v>1057</v>
      </c>
      <c r="AH1224" s="289" t="s">
        <v>1064</v>
      </c>
      <c r="AI1224" s="289" t="s">
        <v>1072</v>
      </c>
      <c r="AJ1224" s="289" t="s">
        <v>1082</v>
      </c>
      <c r="AK1224" s="323" t="s">
        <v>1086</v>
      </c>
    </row>
    <row r="1225" spans="1:40" ht="15.75" x14ac:dyDescent="0.25">
      <c r="A1225" s="506"/>
      <c r="B1225" s="506"/>
      <c r="C1225" s="513">
        <v>3</v>
      </c>
      <c r="D1225" s="510"/>
      <c r="E1225" s="510"/>
      <c r="F1225" s="510"/>
      <c r="G1225" s="512">
        <f>G958+G171</f>
        <v>8292.2000000000007</v>
      </c>
      <c r="H1225" s="512">
        <f>H958+H171</f>
        <v>8292.2000000000007</v>
      </c>
      <c r="I1225" s="318"/>
      <c r="J1225" s="420"/>
      <c r="K1225" s="420"/>
      <c r="L1225" s="421"/>
      <c r="M1225" s="420"/>
      <c r="N1225" s="420"/>
      <c r="O1225" s="420"/>
      <c r="P1225" s="420"/>
      <c r="Q1225" s="420"/>
      <c r="R1225" s="422"/>
      <c r="S1225" s="422"/>
      <c r="T1225" s="422"/>
      <c r="U1225" s="420"/>
      <c r="V1225" s="421"/>
      <c r="W1225" s="421"/>
      <c r="X1225" s="421"/>
      <c r="Y1225" s="421"/>
      <c r="Z1225" s="420"/>
      <c r="AA1225" s="420"/>
      <c r="AB1225" s="420"/>
      <c r="AC1225" s="420"/>
      <c r="AD1225" s="420"/>
      <c r="AE1225" s="420"/>
      <c r="AF1225" s="411">
        <v>106.89</v>
      </c>
      <c r="AG1225" s="224">
        <v>21.5</v>
      </c>
      <c r="AH1225" s="224">
        <v>100</v>
      </c>
      <c r="AI1225" s="224">
        <v>205.9</v>
      </c>
      <c r="AJ1225" s="224">
        <v>463.7</v>
      </c>
      <c r="AK1225" s="262">
        <v>63.805999999999997</v>
      </c>
      <c r="AL1225" s="344">
        <f>SUM(J1225:AK1225)</f>
        <v>961.79600000000005</v>
      </c>
    </row>
    <row r="1226" spans="1:40" ht="15.75" x14ac:dyDescent="0.25">
      <c r="A1226" s="506"/>
      <c r="B1226" s="506"/>
      <c r="C1226" s="513" t="s">
        <v>291</v>
      </c>
      <c r="D1226" s="510"/>
      <c r="E1226" s="510"/>
      <c r="F1226" s="510"/>
      <c r="G1226" s="512">
        <f>G1225-G1227</f>
        <v>8392.2000000000007</v>
      </c>
      <c r="H1226" s="512">
        <f>H1225-H1227</f>
        <v>8498.1</v>
      </c>
      <c r="I1226" s="318"/>
      <c r="J1226" s="420"/>
      <c r="K1226" s="420"/>
      <c r="L1226" s="420"/>
      <c r="M1226" s="420"/>
      <c r="N1226" s="420"/>
      <c r="O1226" s="420"/>
      <c r="P1226" s="420"/>
      <c r="Q1226" s="420"/>
      <c r="R1226" s="421"/>
      <c r="S1226" s="421"/>
      <c r="T1226" s="421"/>
      <c r="U1226" s="420"/>
      <c r="V1226" s="421"/>
      <c r="W1226" s="421"/>
      <c r="X1226" s="420"/>
      <c r="Y1226" s="420"/>
      <c r="Z1226" s="420"/>
      <c r="AA1226" s="420"/>
      <c r="AB1226" s="420"/>
      <c r="AC1226" s="420"/>
      <c r="AD1226" s="420"/>
      <c r="AE1226" s="420"/>
      <c r="AF1226" s="411">
        <v>2500</v>
      </c>
      <c r="AG1226" s="224">
        <v>501.7</v>
      </c>
      <c r="AH1226" s="224">
        <v>448</v>
      </c>
      <c r="AI1226" s="224">
        <v>4816.3</v>
      </c>
      <c r="AJ1226" s="224">
        <v>4173.5</v>
      </c>
      <c r="AK1226" s="262">
        <v>1492.7</v>
      </c>
      <c r="AL1226" s="344">
        <f t="shared" ref="AL1226:AL1227" si="99">SUM(J1226:AK1226)</f>
        <v>13932.2</v>
      </c>
      <c r="AN1226" s="149">
        <f>S1220+AL1226</f>
        <v>13932.2</v>
      </c>
    </row>
    <row r="1227" spans="1:40" ht="15.75" x14ac:dyDescent="0.25">
      <c r="A1227" s="506"/>
      <c r="B1227" s="506"/>
      <c r="C1227" s="513" t="s">
        <v>292</v>
      </c>
      <c r="D1227" s="510"/>
      <c r="E1227" s="510"/>
      <c r="F1227" s="510"/>
      <c r="G1227" s="512">
        <f>G200-AH1225</f>
        <v>-100</v>
      </c>
      <c r="H1227" s="512">
        <f>H200-AI1225</f>
        <v>-205.9</v>
      </c>
      <c r="I1227" s="318"/>
      <c r="J1227" s="415"/>
      <c r="K1227" s="415"/>
      <c r="L1227" s="415"/>
      <c r="M1227" s="415"/>
      <c r="N1227" s="415"/>
      <c r="O1227" s="415"/>
      <c r="P1227" s="415"/>
      <c r="Q1227" s="415"/>
      <c r="R1227" s="415"/>
      <c r="S1227" s="415"/>
      <c r="T1227" s="415"/>
      <c r="U1227" s="415"/>
      <c r="V1227" s="415"/>
      <c r="W1227" s="415"/>
      <c r="X1227" s="415"/>
      <c r="Y1227" s="415"/>
      <c r="Z1227" s="415"/>
      <c r="AA1227" s="415"/>
      <c r="AB1227" s="415"/>
      <c r="AC1227" s="415"/>
      <c r="AD1227" s="415"/>
      <c r="AE1227" s="415"/>
      <c r="AF1227" s="412">
        <f t="shared" ref="AF1227:AK1227" si="100">AF1225+AF1226</f>
        <v>2606.89</v>
      </c>
      <c r="AG1227" s="256">
        <f t="shared" si="100"/>
        <v>523.20000000000005</v>
      </c>
      <c r="AH1227" s="256">
        <f t="shared" si="100"/>
        <v>548</v>
      </c>
      <c r="AI1227" s="256">
        <f t="shared" si="100"/>
        <v>5022.2</v>
      </c>
      <c r="AJ1227" s="256">
        <f t="shared" si="100"/>
        <v>4637.2</v>
      </c>
      <c r="AK1227" s="324">
        <f t="shared" si="100"/>
        <v>1556.5060000000001</v>
      </c>
      <c r="AL1227" s="344">
        <f t="shared" si="99"/>
        <v>14893.996000000001</v>
      </c>
    </row>
    <row r="1228" spans="1:40" ht="15.75" x14ac:dyDescent="0.25">
      <c r="A1228" s="506"/>
      <c r="B1228" s="506"/>
      <c r="C1228" s="513">
        <v>4</v>
      </c>
      <c r="D1228" s="510"/>
      <c r="E1228" s="510"/>
      <c r="F1228" s="510"/>
      <c r="G1228" s="512">
        <f>G974+G283+G201</f>
        <v>7019.3600000000006</v>
      </c>
      <c r="H1228" s="512">
        <f>H974+H283+H201</f>
        <v>7465.16</v>
      </c>
      <c r="I1228" s="310"/>
      <c r="J1228" s="418"/>
      <c r="K1228" s="418"/>
      <c r="L1228" s="418"/>
      <c r="M1228" s="418"/>
      <c r="N1228" s="418"/>
      <c r="O1228" s="418"/>
      <c r="P1228" s="418"/>
      <c r="Q1228" s="418"/>
      <c r="R1228" s="389"/>
      <c r="S1228" s="418"/>
      <c r="T1228" s="389"/>
      <c r="U1228" s="418"/>
      <c r="V1228" s="418"/>
      <c r="W1228" s="418"/>
      <c r="X1228" s="418"/>
      <c r="Y1228" s="418"/>
      <c r="Z1228" s="418"/>
      <c r="AA1228" s="418"/>
      <c r="AB1228" s="418"/>
      <c r="AC1228" s="418"/>
      <c r="AD1228" s="418"/>
      <c r="AE1228" s="418"/>
      <c r="AF1228" s="413" t="s">
        <v>968</v>
      </c>
      <c r="AG1228" s="263" t="s">
        <v>917</v>
      </c>
      <c r="AH1228" s="263" t="s">
        <v>1065</v>
      </c>
      <c r="AI1228" s="263" t="s">
        <v>1078</v>
      </c>
      <c r="AJ1228" s="263" t="s">
        <v>917</v>
      </c>
      <c r="AK1228" s="325" t="s">
        <v>917</v>
      </c>
    </row>
    <row r="1229" spans="1:40" ht="15.75" x14ac:dyDescent="0.25">
      <c r="A1229" s="506"/>
      <c r="B1229" s="506"/>
      <c r="C1229" s="513" t="s">
        <v>291</v>
      </c>
      <c r="D1229" s="510"/>
      <c r="E1229" s="510"/>
      <c r="F1229" s="510"/>
      <c r="G1229" s="512">
        <f>G1228-G1230</f>
        <v>6306.7000000000007</v>
      </c>
      <c r="H1229" s="512">
        <f>H1228-H1230</f>
        <v>6484.2</v>
      </c>
      <c r="I1229" s="310"/>
      <c r="J1229" s="302"/>
      <c r="K1229" s="302"/>
      <c r="L1229" s="302"/>
      <c r="M1229" s="302"/>
      <c r="N1229" s="302"/>
      <c r="O1229" s="302"/>
      <c r="P1229" s="302"/>
      <c r="Q1229" s="302"/>
      <c r="R1229" s="302"/>
      <c r="S1229" s="302"/>
      <c r="T1229" s="302"/>
      <c r="U1229" s="302"/>
      <c r="V1229" s="302"/>
      <c r="W1229" s="302"/>
      <c r="X1229" s="302"/>
      <c r="Y1229" s="302"/>
      <c r="Z1229" s="302"/>
      <c r="AA1229" s="302"/>
      <c r="AB1229" s="302"/>
      <c r="AC1229" s="302"/>
      <c r="AD1229" s="302"/>
      <c r="AE1229" s="302"/>
    </row>
    <row r="1230" spans="1:40" ht="15.75" x14ac:dyDescent="0.25">
      <c r="A1230" s="506"/>
      <c r="B1230" s="506"/>
      <c r="C1230" s="513" t="s">
        <v>292</v>
      </c>
      <c r="D1230" s="510"/>
      <c r="E1230" s="510"/>
      <c r="F1230" s="510"/>
      <c r="G1230" s="512">
        <f>G292+G222+G214+G205-U1225-W1225-Z1225</f>
        <v>712.66000000000008</v>
      </c>
      <c r="H1230" s="512">
        <f>H292+H222+H214+H205-V1225-X1225-AA1225</f>
        <v>980.96</v>
      </c>
    </row>
    <row r="1231" spans="1:40" ht="15.75" x14ac:dyDescent="0.25">
      <c r="A1231" s="506"/>
      <c r="B1231" s="506"/>
      <c r="C1231" s="513">
        <v>5</v>
      </c>
      <c r="D1231" s="510"/>
      <c r="E1231" s="510"/>
      <c r="F1231" s="510"/>
      <c r="G1231" s="512">
        <f>G995+G592</f>
        <v>62083.311999999998</v>
      </c>
      <c r="H1231" s="512">
        <f>H995+H592</f>
        <v>54832.87</v>
      </c>
      <c r="K1231" s="71"/>
      <c r="AA1231" s="149"/>
    </row>
    <row r="1232" spans="1:40" ht="15.75" x14ac:dyDescent="0.25">
      <c r="A1232" s="506"/>
      <c r="B1232" s="506"/>
      <c r="C1232" s="513" t="s">
        <v>291</v>
      </c>
      <c r="D1232" s="510"/>
      <c r="E1232" s="510"/>
      <c r="F1232" s="510"/>
      <c r="G1232" s="512">
        <f>G1231-G1233</f>
        <v>615448.75800000003</v>
      </c>
      <c r="H1232" s="512">
        <f>H1231-H1233</f>
        <v>48825.032000000007</v>
      </c>
      <c r="J1232" s="71"/>
      <c r="K1232" s="71"/>
      <c r="L1232" s="71"/>
      <c r="M1232" s="71"/>
      <c r="N1232" s="71"/>
      <c r="O1232" s="71"/>
      <c r="P1232" s="71"/>
      <c r="Q1232" s="71"/>
      <c r="T1232" s="71"/>
      <c r="U1232" s="71"/>
      <c r="V1232" s="71"/>
      <c r="W1232" s="71"/>
      <c r="X1232" s="71"/>
      <c r="Y1232" s="71"/>
      <c r="Z1232" s="71"/>
    </row>
    <row r="1233" spans="1:11" ht="15.75" x14ac:dyDescent="0.25">
      <c r="A1233" s="506"/>
      <c r="B1233" s="506"/>
      <c r="C1233" s="513" t="s">
        <v>292</v>
      </c>
      <c r="D1233" s="510"/>
      <c r="E1233" s="510"/>
      <c r="F1233" s="510"/>
      <c r="G1233" s="512">
        <f>G1027+G1116+G1133-J1215+G1088-P1215-AG1225-AC1225+G1126+G1012+G1130-AJ1225+G1139-AK1225</f>
        <v>-553365.446</v>
      </c>
      <c r="H1233" s="512">
        <f>H1027+H1116+H1133-K1215+H1088-Q1215-AH1225-AD1225+H1126+H1012+H1130-AK1225+H1139-AL1225</f>
        <v>6007.8379999999997</v>
      </c>
    </row>
    <row r="1234" spans="1:11" ht="15.75" x14ac:dyDescent="0.25">
      <c r="A1234" s="506"/>
      <c r="B1234" s="506"/>
      <c r="C1234" s="513">
        <v>7</v>
      </c>
      <c r="D1234" s="510"/>
      <c r="E1234" s="510"/>
      <c r="F1234" s="510"/>
      <c r="G1234" s="512">
        <f>G616+G303</f>
        <v>387335.6</v>
      </c>
      <c r="H1234" s="512">
        <f>H616+H303</f>
        <v>343390</v>
      </c>
      <c r="J1234" s="71"/>
    </row>
    <row r="1235" spans="1:11" ht="15.75" x14ac:dyDescent="0.25">
      <c r="A1235" s="506"/>
      <c r="B1235" s="506"/>
      <c r="C1235" s="513" t="s">
        <v>291</v>
      </c>
      <c r="D1235" s="510"/>
      <c r="E1235" s="510"/>
      <c r="F1235" s="510"/>
      <c r="G1235" s="512">
        <f>G1234-G1236</f>
        <v>147252.58000000002</v>
      </c>
      <c r="H1235" s="512">
        <f>H1234-H1236</f>
        <v>144966.78000000003</v>
      </c>
      <c r="J1235" s="149"/>
      <c r="K1235" s="149"/>
    </row>
    <row r="1236" spans="1:11" ht="15.75" x14ac:dyDescent="0.25">
      <c r="A1236" s="506"/>
      <c r="B1236" s="506"/>
      <c r="C1236" s="513" t="s">
        <v>292</v>
      </c>
      <c r="D1236" s="510"/>
      <c r="E1236" s="510"/>
      <c r="F1236" s="510"/>
      <c r="G1236" s="512">
        <f>G777+G685+G623+G330+G746+G658+G731-O1215+G750-Q1215-R1215+G804+G774+G735+G727+G723+G719+G655+G651+G314-K1225-L1225-M1225-N1225-O1225-P1225-Q1225-R1225-S1225-AB1225-AD1225-AE1225-AF1225+G664+G668+G738+G742+G368</f>
        <v>240083.01999999996</v>
      </c>
      <c r="H1236" s="512">
        <f>H777+H685+H623+H330+H746+H658+H731-P1215+H750-R1215-S1215+H804+H774+H735+H727+H723+H719+H655+H651+H314-L1225-M1225-N1225-O1225-P1225-Q1225-R1225-S1225-T1225-AC1225-AE1225-AF1225-AG1225+H664+H668+H738+H742+H368</f>
        <v>198423.21999999997</v>
      </c>
      <c r="J1236" s="149"/>
      <c r="K1236" s="149"/>
    </row>
    <row r="1237" spans="1:11" ht="15.75" x14ac:dyDescent="0.25">
      <c r="A1237" s="506"/>
      <c r="B1237" s="506"/>
      <c r="C1237" s="513">
        <v>8</v>
      </c>
      <c r="D1237" s="510"/>
      <c r="E1237" s="510"/>
      <c r="F1237" s="510"/>
      <c r="G1237" s="512">
        <f>G372</f>
        <v>82217.399999999994</v>
      </c>
      <c r="H1237" s="512">
        <f>H372</f>
        <v>82221.299999999988</v>
      </c>
      <c r="J1237" s="71"/>
    </row>
    <row r="1238" spans="1:11" ht="15.75" x14ac:dyDescent="0.25">
      <c r="A1238" s="506"/>
      <c r="B1238" s="506"/>
      <c r="C1238" s="513" t="s">
        <v>291</v>
      </c>
      <c r="D1238" s="510"/>
      <c r="E1238" s="510"/>
      <c r="F1238" s="510"/>
      <c r="G1238" s="512"/>
      <c r="H1238" s="512"/>
      <c r="J1238" s="71"/>
    </row>
    <row r="1239" spans="1:11" ht="15.75" x14ac:dyDescent="0.25">
      <c r="A1239" s="506"/>
      <c r="B1239" s="506"/>
      <c r="C1239" s="513" t="s">
        <v>292</v>
      </c>
      <c r="D1239" s="510"/>
      <c r="E1239" s="510"/>
      <c r="F1239" s="510"/>
      <c r="G1239" s="512"/>
      <c r="H1239" s="512"/>
      <c r="J1239" s="149"/>
    </row>
    <row r="1240" spans="1:11" ht="15.75" x14ac:dyDescent="0.25">
      <c r="A1240" s="506"/>
      <c r="B1240" s="506"/>
      <c r="C1240" s="513">
        <v>10</v>
      </c>
      <c r="D1240" s="510"/>
      <c r="E1240" s="510"/>
      <c r="F1240" s="510"/>
      <c r="G1240" s="512">
        <f>G1186+G496+G225+G602</f>
        <v>15259.300000000001</v>
      </c>
      <c r="H1240" s="512">
        <f>H1186+H496+H225+H602</f>
        <v>15374.45</v>
      </c>
    </row>
    <row r="1241" spans="1:11" ht="15.75" x14ac:dyDescent="0.25">
      <c r="A1241" s="506"/>
      <c r="B1241" s="506"/>
      <c r="C1241" s="513" t="s">
        <v>291</v>
      </c>
      <c r="D1241" s="510"/>
      <c r="E1241" s="510"/>
      <c r="F1241" s="510"/>
      <c r="G1241" s="512">
        <f>G1240-G1242</f>
        <v>11305.6</v>
      </c>
      <c r="H1241" s="512">
        <f>H1240-H1242</f>
        <v>11305.6</v>
      </c>
    </row>
    <row r="1242" spans="1:11" ht="15.75" x14ac:dyDescent="0.25">
      <c r="A1242" s="506"/>
      <c r="B1242" s="506"/>
      <c r="C1242" s="513" t="s">
        <v>292</v>
      </c>
      <c r="D1242" s="510"/>
      <c r="E1242" s="510"/>
      <c r="F1242" s="510"/>
      <c r="G1242" s="512">
        <f>G240+G501+G602-M1215+G235-V1225</f>
        <v>3953.7000000000003</v>
      </c>
      <c r="H1242" s="512">
        <f>H240+H501+H602-N1215+H235-W1225</f>
        <v>4068.85</v>
      </c>
      <c r="J1242" s="149"/>
    </row>
    <row r="1243" spans="1:11" ht="15.75" x14ac:dyDescent="0.25">
      <c r="A1243" s="506"/>
      <c r="B1243" s="506"/>
      <c r="C1243" s="513">
        <v>11</v>
      </c>
      <c r="D1243" s="510"/>
      <c r="E1243" s="510"/>
      <c r="F1243" s="510"/>
      <c r="G1243" s="512">
        <f>G851</f>
        <v>70328.3</v>
      </c>
      <c r="H1243" s="512">
        <f>H851</f>
        <v>70328.3</v>
      </c>
    </row>
    <row r="1244" spans="1:11" ht="15.75" x14ac:dyDescent="0.25">
      <c r="A1244" s="506"/>
      <c r="B1244" s="506"/>
      <c r="C1244" s="513" t="s">
        <v>291</v>
      </c>
      <c r="D1244" s="510"/>
      <c r="E1244" s="510"/>
      <c r="F1244" s="510"/>
      <c r="G1244" s="512">
        <f>G1243-G1245</f>
        <v>69650.3</v>
      </c>
      <c r="H1244" s="512">
        <f>H1243-H1245</f>
        <v>69908.100000000006</v>
      </c>
    </row>
    <row r="1245" spans="1:11" ht="15.75" x14ac:dyDescent="0.25">
      <c r="A1245" s="506"/>
      <c r="B1245" s="506"/>
      <c r="C1245" s="513" t="s">
        <v>292</v>
      </c>
      <c r="D1245" s="510"/>
      <c r="E1245" s="510"/>
      <c r="F1245" s="510"/>
      <c r="G1245" s="512">
        <f>G878+G890-S1215+G882-AI1225</f>
        <v>678</v>
      </c>
      <c r="H1245" s="512">
        <f>H878+H890-T1215+H882-AJ1225</f>
        <v>420.2</v>
      </c>
    </row>
    <row r="1246" spans="1:11" ht="15.75" x14ac:dyDescent="0.25">
      <c r="A1246" s="506"/>
      <c r="B1246" s="506"/>
      <c r="C1246" s="513">
        <v>12</v>
      </c>
      <c r="D1246" s="510"/>
      <c r="E1246" s="510"/>
      <c r="F1246" s="510"/>
      <c r="G1246" s="512">
        <f>G521</f>
        <v>6358.2</v>
      </c>
      <c r="H1246" s="512">
        <f>H521</f>
        <v>6358.2</v>
      </c>
    </row>
    <row r="1247" spans="1:11" ht="15.75" x14ac:dyDescent="0.25">
      <c r="A1247" s="506"/>
      <c r="B1247" s="506"/>
      <c r="C1247" s="514"/>
      <c r="D1247" s="510"/>
      <c r="E1247" s="510"/>
      <c r="F1247" s="510"/>
      <c r="G1247" s="515">
        <f>G1221+G1224+G1225+G1228+G1231+G1234+G1237+G1240+G1243+G1246</f>
        <v>791108.07200000004</v>
      </c>
      <c r="H1247" s="515">
        <f>H1221+H1224+H1225+H1228+H1231+H1234+H1237+H1240+H1243+H1246</f>
        <v>746326.67999999993</v>
      </c>
    </row>
    <row r="1248" spans="1:11" ht="15.75" x14ac:dyDescent="0.25">
      <c r="A1248" s="506"/>
      <c r="B1248" s="506"/>
      <c r="C1248" s="513" t="s">
        <v>291</v>
      </c>
      <c r="D1248" s="510"/>
      <c r="E1248" s="510"/>
      <c r="F1248" s="510"/>
      <c r="G1248" s="515">
        <f>G1222+G1224+G1226+G1229+G1232+G1235+G1238+G1241+G1244+G1246</f>
        <v>864714.33800000011</v>
      </c>
      <c r="H1248" s="515">
        <f>H1222+H1224+H1226+H1229+H1232+H1235+H1238+H1241+H1244+H1246</f>
        <v>296346.01200000005</v>
      </c>
    </row>
    <row r="1249" spans="1:8" ht="15.75" x14ac:dyDescent="0.25">
      <c r="A1249" s="506"/>
      <c r="B1249" s="506"/>
      <c r="C1249" s="513" t="s">
        <v>292</v>
      </c>
      <c r="D1249" s="510"/>
      <c r="E1249" s="510"/>
      <c r="F1249" s="510"/>
      <c r="G1249" s="515">
        <f>G1223+G1230+G1233+G1236+G1239+G1242+G1245+G1227</f>
        <v>-308038.06599999999</v>
      </c>
      <c r="H1249" s="515">
        <f>H1223+H1230+H1233+H1236+H1239+H1242+H1245+H1227</f>
        <v>209695.16800000001</v>
      </c>
    </row>
    <row r="1251" spans="1:8" ht="18.75" x14ac:dyDescent="0.3">
      <c r="D1251" s="397" t="s">
        <v>293</v>
      </c>
      <c r="E1251" s="397">
        <v>50</v>
      </c>
      <c r="G1251" s="516">
        <f>G982</f>
        <v>3048.7</v>
      </c>
      <c r="H1251" s="516">
        <f>H982</f>
        <v>3226.2</v>
      </c>
    </row>
    <row r="1252" spans="1:8" ht="18.75" x14ac:dyDescent="0.3">
      <c r="E1252" s="397">
        <v>51</v>
      </c>
      <c r="G1252" s="516">
        <f>G249+G286+G348+G485+G498</f>
        <v>3451.06</v>
      </c>
      <c r="H1252" s="516">
        <f>H249+H286+H348+H485+H498</f>
        <v>3415.41</v>
      </c>
    </row>
    <row r="1253" spans="1:8" ht="18.75" x14ac:dyDescent="0.3">
      <c r="E1253" s="397">
        <v>52</v>
      </c>
      <c r="G1253" s="516">
        <f>G618+G680+G769+G802</f>
        <v>341515.20999999996</v>
      </c>
      <c r="H1253" s="516">
        <f>H618+H680+H769+H802</f>
        <v>297462.90999999997</v>
      </c>
    </row>
    <row r="1254" spans="1:8" ht="18.75" x14ac:dyDescent="0.3">
      <c r="E1254" s="397">
        <v>53</v>
      </c>
      <c r="G1254" s="516">
        <f>G220</f>
        <v>149.9</v>
      </c>
      <c r="H1254" s="516">
        <f>H220</f>
        <v>150</v>
      </c>
    </row>
    <row r="1255" spans="1:8" ht="18.75" x14ac:dyDescent="0.3">
      <c r="E1255" s="397">
        <v>54</v>
      </c>
      <c r="G1255" s="516">
        <f>G44+G86</f>
        <v>604</v>
      </c>
      <c r="H1255" s="516">
        <f>H44+H86</f>
        <v>604</v>
      </c>
    </row>
    <row r="1256" spans="1:8" ht="18.75" x14ac:dyDescent="0.3">
      <c r="E1256" s="397">
        <v>55</v>
      </c>
      <c r="G1256" s="516">
        <f>G233</f>
        <v>10</v>
      </c>
      <c r="H1256" s="516">
        <f>H233</f>
        <v>10</v>
      </c>
    </row>
    <row r="1257" spans="1:8" ht="18.75" x14ac:dyDescent="0.3">
      <c r="E1257" s="397">
        <v>56</v>
      </c>
      <c r="G1257" s="516"/>
      <c r="H1257" s="516"/>
    </row>
    <row r="1258" spans="1:8" ht="18.75" x14ac:dyDescent="0.3">
      <c r="E1258" s="397">
        <v>57</v>
      </c>
      <c r="G1258" s="516">
        <f>G853+G927</f>
        <v>58776.1</v>
      </c>
      <c r="H1258" s="516">
        <f>H853+H927</f>
        <v>58776.1</v>
      </c>
    </row>
    <row r="1259" spans="1:8" ht="18.75" x14ac:dyDescent="0.3">
      <c r="E1259" s="397">
        <v>58</v>
      </c>
      <c r="G1259" s="516">
        <f>G305+G374+G523</f>
        <v>85949.400000000009</v>
      </c>
      <c r="H1259" s="516">
        <f>H305+H374+H523</f>
        <v>85949.400000000009</v>
      </c>
    </row>
    <row r="1260" spans="1:8" ht="18.75" x14ac:dyDescent="0.3">
      <c r="E1260" s="397">
        <v>59</v>
      </c>
      <c r="G1260" s="516">
        <f>G136+G337+G439+G491+G669+G758+G1181</f>
        <v>168</v>
      </c>
      <c r="H1260" s="516">
        <f>H136+H337+H439+H491+H669+H758+H1181</f>
        <v>117</v>
      </c>
    </row>
    <row r="1261" spans="1:8" ht="18.75" x14ac:dyDescent="0.3">
      <c r="E1261" s="397">
        <v>60</v>
      </c>
      <c r="G1261" s="516">
        <f>G1084</f>
        <v>8881.4399999999987</v>
      </c>
      <c r="H1261" s="516">
        <f>H1084</f>
        <v>8881.4399999999987</v>
      </c>
    </row>
    <row r="1262" spans="1:8" ht="18.75" x14ac:dyDescent="0.3">
      <c r="E1262" s="397">
        <v>61</v>
      </c>
      <c r="G1262" s="516">
        <f>G203</f>
        <v>19.199999999999989</v>
      </c>
      <c r="H1262" s="516">
        <f>H203</f>
        <v>274.2</v>
      </c>
    </row>
    <row r="1263" spans="1:8" ht="18.75" x14ac:dyDescent="0.3">
      <c r="E1263" s="397">
        <v>62</v>
      </c>
      <c r="G1263" s="516">
        <f>G1044</f>
        <v>700</v>
      </c>
      <c r="H1263" s="516">
        <f>H1044</f>
        <v>700</v>
      </c>
    </row>
    <row r="1264" spans="1:8" ht="18.75" x14ac:dyDescent="0.3">
      <c r="E1264" s="397">
        <v>63</v>
      </c>
      <c r="G1264" s="516">
        <f>G261+G611+G846</f>
        <v>120</v>
      </c>
      <c r="H1264" s="516">
        <f>H261+H611+H846</f>
        <v>120</v>
      </c>
    </row>
    <row r="1265" spans="1:45" ht="18.75" x14ac:dyDescent="0.3">
      <c r="E1265" s="397">
        <v>64</v>
      </c>
      <c r="G1265" s="516">
        <f>G140+G190+G278+G342+G447+G536+G674+G763+G796+G894</f>
        <v>3826.6400000000003</v>
      </c>
      <c r="H1265" s="516">
        <f>H140+H190+H278+H342+H447+H536+H674+H763+H796+H894</f>
        <v>3826.6400000000003</v>
      </c>
    </row>
    <row r="1266" spans="1:45" ht="18.75" x14ac:dyDescent="0.3">
      <c r="E1266" s="397">
        <v>65</v>
      </c>
      <c r="G1266" s="516">
        <f>G1131</f>
        <v>500</v>
      </c>
      <c r="H1266" s="516">
        <f>H1131</f>
        <v>500</v>
      </c>
    </row>
    <row r="1267" spans="1:45" ht="18.75" x14ac:dyDescent="0.3">
      <c r="E1267" s="397">
        <v>66</v>
      </c>
      <c r="G1267" s="516">
        <f>G587</f>
        <v>0</v>
      </c>
      <c r="H1267" s="516">
        <f>H587</f>
        <v>0</v>
      </c>
    </row>
    <row r="1268" spans="1:45" ht="18.75" x14ac:dyDescent="0.3">
      <c r="E1268" s="397">
        <v>67</v>
      </c>
      <c r="G1268" s="516">
        <f>G149</f>
        <v>45</v>
      </c>
      <c r="H1268" s="516">
        <f>H149</f>
        <v>45</v>
      </c>
    </row>
    <row r="1269" spans="1:45" ht="18.75" x14ac:dyDescent="0.3">
      <c r="E1269" s="397">
        <v>68</v>
      </c>
      <c r="G1269" s="516">
        <f>G158</f>
        <v>30</v>
      </c>
      <c r="H1269" s="516">
        <f>H158</f>
        <v>30</v>
      </c>
    </row>
    <row r="1270" spans="1:45" ht="18.75" x14ac:dyDescent="0.3">
      <c r="E1270" s="397">
        <v>69</v>
      </c>
      <c r="G1270" s="516">
        <f>G159</f>
        <v>80</v>
      </c>
      <c r="H1270" s="516">
        <f>H159</f>
        <v>80</v>
      </c>
    </row>
    <row r="1271" spans="1:45" ht="18.75" x14ac:dyDescent="0.3">
      <c r="E1271" s="397">
        <v>70</v>
      </c>
      <c r="G1271" s="516">
        <f>G1077</f>
        <v>204</v>
      </c>
      <c r="H1271" s="516">
        <f>H1077</f>
        <v>204</v>
      </c>
    </row>
    <row r="1272" spans="1:45" s="311" customFormat="1" ht="18.75" x14ac:dyDescent="0.3">
      <c r="A1272" s="397"/>
      <c r="B1272" s="397"/>
      <c r="C1272" s="397"/>
      <c r="D1272" s="397"/>
      <c r="E1272" s="397"/>
      <c r="F1272" s="397"/>
      <c r="G1272" s="516">
        <f>SUM(G1251:G1271)</f>
        <v>508078.65</v>
      </c>
      <c r="H1272" s="516">
        <f>SUM(H1251:H1271)</f>
        <v>464372.3</v>
      </c>
      <c r="J1272" s="344"/>
      <c r="K1272" s="344"/>
      <c r="L1272" s="344"/>
      <c r="M1272" s="344"/>
      <c r="N1272" s="344"/>
      <c r="O1272" s="344"/>
      <c r="P1272" s="344"/>
      <c r="Q1272" s="344"/>
      <c r="R1272" s="344"/>
      <c r="S1272" s="344"/>
      <c r="T1272" s="344"/>
      <c r="U1272" s="344"/>
      <c r="V1272" s="344"/>
      <c r="W1272" s="344"/>
      <c r="X1272" s="344"/>
      <c r="Y1272" s="344"/>
      <c r="Z1272" s="344"/>
      <c r="AA1272" s="344"/>
      <c r="AB1272" s="344"/>
      <c r="AC1272" s="344"/>
      <c r="AD1272" s="344"/>
      <c r="AE1272" s="344"/>
      <c r="AF1272" s="344"/>
      <c r="AG1272" s="344"/>
      <c r="AH1272" s="344"/>
      <c r="AI1272" s="344"/>
      <c r="AJ1272" s="344"/>
      <c r="AK1272" s="344"/>
      <c r="AL1272" s="344"/>
      <c r="AM1272" s="344"/>
      <c r="AN1272" s="344"/>
      <c r="AO1272" s="344"/>
      <c r="AP1272" s="344"/>
      <c r="AQ1272" s="344"/>
      <c r="AR1272" s="344"/>
      <c r="AS1272" s="344"/>
    </row>
    <row r="1273" spans="1:45" s="311" customFormat="1" x14ac:dyDescent="0.25">
      <c r="A1273" s="397"/>
      <c r="B1273" s="397"/>
      <c r="C1273" s="397"/>
      <c r="D1273" s="397"/>
      <c r="E1273" s="397"/>
      <c r="F1273" s="397"/>
      <c r="G1273" s="447"/>
      <c r="H1273" s="447"/>
      <c r="J1273" s="344"/>
      <c r="K1273" s="344"/>
      <c r="L1273" s="344"/>
      <c r="M1273" s="344"/>
      <c r="N1273" s="344"/>
      <c r="O1273" s="344"/>
      <c r="P1273" s="344"/>
      <c r="Q1273" s="344"/>
      <c r="R1273" s="344"/>
      <c r="S1273" s="344"/>
      <c r="T1273" s="344"/>
      <c r="U1273" s="344"/>
      <c r="V1273" s="344"/>
      <c r="W1273" s="344"/>
      <c r="X1273" s="344"/>
      <c r="Y1273" s="344"/>
      <c r="Z1273" s="344"/>
      <c r="AA1273" s="344"/>
      <c r="AB1273" s="344"/>
      <c r="AC1273" s="344"/>
      <c r="AD1273" s="344"/>
      <c r="AE1273" s="344"/>
      <c r="AF1273" s="344"/>
      <c r="AG1273" s="344"/>
      <c r="AH1273" s="344"/>
      <c r="AI1273" s="344"/>
      <c r="AJ1273" s="344"/>
      <c r="AK1273" s="344"/>
      <c r="AL1273" s="344"/>
      <c r="AM1273" s="344"/>
      <c r="AN1273" s="344"/>
      <c r="AO1273" s="344"/>
      <c r="AP1273" s="344"/>
      <c r="AQ1273" s="344"/>
      <c r="AR1273" s="344"/>
      <c r="AS1273" s="344"/>
    </row>
  </sheetData>
  <mergeCells count="7">
    <mergeCell ref="R1224:T1224"/>
    <mergeCell ref="A5:G5"/>
    <mergeCell ref="J1213:S1213"/>
    <mergeCell ref="J1223:AE1223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1212" max="6" man="1"/>
  </rowBreaks>
  <colBreaks count="3" manualBreakCount="3">
    <brk id="8" max="1201" man="1"/>
    <brk id="15" max="1201" man="1"/>
    <brk id="22" max="11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9"/>
  <sheetViews>
    <sheetView topLeftCell="A1077" zoomScaleNormal="100" zoomScaleSheetLayoutView="100" workbookViewId="0">
      <selection activeCell="F1097" sqref="F1097"/>
    </sheetView>
  </sheetViews>
  <sheetFormatPr defaultRowHeight="15" x14ac:dyDescent="0.25"/>
  <cols>
    <col min="1" max="1" width="56.28515625" style="344" customWidth="1"/>
    <col min="2" max="2" width="17.42578125" style="344" customWidth="1"/>
    <col min="3" max="3" width="8.28515625" style="344" customWidth="1"/>
    <col min="4" max="4" width="7.28515625" style="344" customWidth="1"/>
    <col min="5" max="5" width="8.7109375" style="344" customWidth="1"/>
    <col min="6" max="6" width="9.140625" style="344"/>
    <col min="7" max="7" width="15.85546875" style="71" customWidth="1"/>
    <col min="8" max="8" width="13.140625" style="129" hidden="1" customWidth="1"/>
    <col min="9" max="9" width="0" hidden="1" customWidth="1"/>
    <col min="10" max="10" width="10.7109375" hidden="1" customWidth="1"/>
    <col min="11" max="13" width="0" hidden="1" customWidth="1"/>
    <col min="14" max="14" width="11.5703125" customWidth="1"/>
  </cols>
  <sheetData>
    <row r="1" spans="1:8" ht="15.75" x14ac:dyDescent="0.25">
      <c r="F1" s="689" t="s">
        <v>107</v>
      </c>
      <c r="G1" s="689"/>
    </row>
    <row r="2" spans="1:8" ht="15.75" x14ac:dyDescent="0.25">
      <c r="F2" s="689" t="s">
        <v>294</v>
      </c>
      <c r="G2" s="689"/>
    </row>
    <row r="3" spans="1:8" ht="15.75" x14ac:dyDescent="0.25">
      <c r="F3" s="668" t="s">
        <v>1371</v>
      </c>
      <c r="G3" s="668"/>
    </row>
    <row r="4" spans="1:8" s="128" customFormat="1" ht="15.75" x14ac:dyDescent="0.25">
      <c r="A4" s="344"/>
      <c r="B4" s="344"/>
      <c r="C4" s="344"/>
      <c r="D4" s="344"/>
      <c r="E4" s="344"/>
      <c r="F4" s="38"/>
      <c r="G4" s="642"/>
      <c r="H4" s="129"/>
    </row>
    <row r="5" spans="1:8" ht="38.25" customHeight="1" x14ac:dyDescent="0.25">
      <c r="A5" s="673" t="s">
        <v>1182</v>
      </c>
      <c r="B5" s="673"/>
      <c r="C5" s="673"/>
      <c r="D5" s="673"/>
      <c r="E5" s="673"/>
      <c r="F5" s="673"/>
      <c r="G5" s="673"/>
    </row>
    <row r="6" spans="1:8" ht="16.5" x14ac:dyDescent="0.25">
      <c r="A6" s="390"/>
      <c r="B6" s="390"/>
      <c r="C6" s="390"/>
      <c r="D6" s="390"/>
      <c r="E6" s="390"/>
      <c r="F6" s="390"/>
    </row>
    <row r="7" spans="1:8" ht="15.75" x14ac:dyDescent="0.25">
      <c r="A7" s="38"/>
      <c r="B7" s="38"/>
      <c r="C7" s="38"/>
      <c r="D7" s="38"/>
      <c r="E7" s="40"/>
      <c r="F7" s="40"/>
      <c r="G7" s="179" t="s">
        <v>1</v>
      </c>
    </row>
    <row r="8" spans="1:8" ht="31.5" x14ac:dyDescent="0.25">
      <c r="A8" s="41" t="s">
        <v>295</v>
      </c>
      <c r="B8" s="41" t="s">
        <v>297</v>
      </c>
      <c r="C8" s="41" t="s">
        <v>298</v>
      </c>
      <c r="D8" s="41" t="s">
        <v>299</v>
      </c>
      <c r="E8" s="41" t="s">
        <v>300</v>
      </c>
      <c r="F8" s="41" t="s">
        <v>301</v>
      </c>
      <c r="G8" s="251" t="s">
        <v>588</v>
      </c>
    </row>
    <row r="9" spans="1:8" ht="47.25" x14ac:dyDescent="0.25">
      <c r="A9" s="34" t="s">
        <v>889</v>
      </c>
      <c r="B9" s="6" t="s">
        <v>259</v>
      </c>
      <c r="C9" s="6"/>
      <c r="D9" s="6"/>
      <c r="E9" s="6"/>
      <c r="F9" s="6"/>
      <c r="G9" s="294">
        <f>G10+G17</f>
        <v>4110.4000000000005</v>
      </c>
      <c r="H9" s="129">
        <v>4766.6000000000004</v>
      </c>
    </row>
    <row r="10" spans="1:8" s="128" customFormat="1" ht="31.5" x14ac:dyDescent="0.25">
      <c r="A10" s="24" t="s">
        <v>560</v>
      </c>
      <c r="B10" s="6" t="s">
        <v>521</v>
      </c>
      <c r="C10" s="341"/>
      <c r="D10" s="341"/>
      <c r="E10" s="341"/>
      <c r="F10" s="341"/>
      <c r="G10" s="295">
        <f>G13</f>
        <v>144.30000000000001</v>
      </c>
      <c r="H10" s="129"/>
    </row>
    <row r="11" spans="1:8" ht="15.75" x14ac:dyDescent="0.25">
      <c r="A11" s="20" t="s">
        <v>166</v>
      </c>
      <c r="B11" s="341" t="s">
        <v>521</v>
      </c>
      <c r="C11" s="341" t="s">
        <v>139</v>
      </c>
      <c r="D11" s="341"/>
      <c r="E11" s="341"/>
      <c r="F11" s="341"/>
      <c r="G11" s="295">
        <f t="shared" ref="G11" si="0">G12</f>
        <v>144.30000000000001</v>
      </c>
    </row>
    <row r="12" spans="1:8" ht="15.75" x14ac:dyDescent="0.25">
      <c r="A12" s="20" t="s">
        <v>258</v>
      </c>
      <c r="B12" s="341" t="s">
        <v>521</v>
      </c>
      <c r="C12" s="341" t="s">
        <v>139</v>
      </c>
      <c r="D12" s="341" t="s">
        <v>161</v>
      </c>
      <c r="E12" s="341"/>
      <c r="F12" s="341"/>
      <c r="G12" s="295">
        <f>G13</f>
        <v>144.30000000000001</v>
      </c>
    </row>
    <row r="13" spans="1:8" s="128" customFormat="1" ht="15.75" x14ac:dyDescent="0.25">
      <c r="A13" s="20" t="s">
        <v>562</v>
      </c>
      <c r="B13" s="341" t="s">
        <v>561</v>
      </c>
      <c r="C13" s="341" t="s">
        <v>139</v>
      </c>
      <c r="D13" s="341" t="s">
        <v>161</v>
      </c>
      <c r="E13" s="341"/>
      <c r="F13" s="341"/>
      <c r="G13" s="295">
        <f>G14</f>
        <v>144.30000000000001</v>
      </c>
      <c r="H13" s="129"/>
    </row>
    <row r="14" spans="1:8" s="128" customFormat="1" ht="31.5" x14ac:dyDescent="0.25">
      <c r="A14" s="345" t="s">
        <v>123</v>
      </c>
      <c r="B14" s="341" t="s">
        <v>561</v>
      </c>
      <c r="C14" s="341" t="s">
        <v>139</v>
      </c>
      <c r="D14" s="341" t="s">
        <v>161</v>
      </c>
      <c r="E14" s="341" t="s">
        <v>124</v>
      </c>
      <c r="F14" s="341"/>
      <c r="G14" s="295">
        <f>G15</f>
        <v>144.30000000000001</v>
      </c>
      <c r="H14" s="129"/>
    </row>
    <row r="15" spans="1:8" s="128" customFormat="1" ht="31.5" x14ac:dyDescent="0.25">
      <c r="A15" s="345" t="s">
        <v>125</v>
      </c>
      <c r="B15" s="341" t="s">
        <v>561</v>
      </c>
      <c r="C15" s="341" t="s">
        <v>139</v>
      </c>
      <c r="D15" s="341" t="s">
        <v>161</v>
      </c>
      <c r="E15" s="341" t="s">
        <v>126</v>
      </c>
      <c r="F15" s="341"/>
      <c r="G15" s="295">
        <f>'Пр.4 ведом.22'!G1097</f>
        <v>144.30000000000001</v>
      </c>
      <c r="H15" s="129"/>
    </row>
    <row r="16" spans="1:8" s="128" customFormat="1" ht="40.700000000000003" customHeight="1" x14ac:dyDescent="0.25">
      <c r="A16" s="29" t="s">
        <v>302</v>
      </c>
      <c r="B16" s="341" t="s">
        <v>561</v>
      </c>
      <c r="C16" s="341" t="s">
        <v>139</v>
      </c>
      <c r="D16" s="341" t="s">
        <v>161</v>
      </c>
      <c r="E16" s="341" t="s">
        <v>126</v>
      </c>
      <c r="F16" s="341" t="s">
        <v>303</v>
      </c>
      <c r="G16" s="295">
        <f>G15</f>
        <v>144.30000000000001</v>
      </c>
      <c r="H16" s="129"/>
    </row>
    <row r="17" spans="1:9" s="128" customFormat="1" ht="31.5" x14ac:dyDescent="0.25">
      <c r="A17" s="24" t="s">
        <v>616</v>
      </c>
      <c r="B17" s="299" t="s">
        <v>522</v>
      </c>
      <c r="C17" s="341"/>
      <c r="D17" s="341"/>
      <c r="E17" s="341"/>
      <c r="F17" s="341"/>
      <c r="G17" s="294">
        <f>G18</f>
        <v>3966.1000000000004</v>
      </c>
      <c r="H17" s="129"/>
    </row>
    <row r="18" spans="1:9" s="128" customFormat="1" ht="15.75" x14ac:dyDescent="0.25">
      <c r="A18" s="20" t="s">
        <v>166</v>
      </c>
      <c r="B18" s="341" t="s">
        <v>522</v>
      </c>
      <c r="C18" s="341" t="s">
        <v>139</v>
      </c>
      <c r="D18" s="341"/>
      <c r="E18" s="341"/>
      <c r="F18" s="341"/>
      <c r="G18" s="295">
        <f>G19</f>
        <v>3966.1000000000004</v>
      </c>
      <c r="H18" s="129"/>
    </row>
    <row r="19" spans="1:9" s="128" customFormat="1" ht="15.75" x14ac:dyDescent="0.25">
      <c r="A19" s="20" t="s">
        <v>258</v>
      </c>
      <c r="B19" s="341" t="s">
        <v>522</v>
      </c>
      <c r="C19" s="341" t="s">
        <v>139</v>
      </c>
      <c r="D19" s="341" t="s">
        <v>161</v>
      </c>
      <c r="E19" s="341"/>
      <c r="F19" s="341"/>
      <c r="G19" s="295">
        <f>G20</f>
        <v>3966.1000000000004</v>
      </c>
      <c r="H19" s="129"/>
    </row>
    <row r="20" spans="1:9" ht="15.75" x14ac:dyDescent="0.25">
      <c r="A20" s="20" t="s">
        <v>260</v>
      </c>
      <c r="B20" s="341" t="s">
        <v>563</v>
      </c>
      <c r="C20" s="341" t="s">
        <v>139</v>
      </c>
      <c r="D20" s="341" t="s">
        <v>161</v>
      </c>
      <c r="E20" s="341"/>
      <c r="F20" s="341"/>
      <c r="G20" s="295">
        <f>G24+G27+G22</f>
        <v>3966.1000000000004</v>
      </c>
    </row>
    <row r="21" spans="1:9" s="128" customFormat="1" ht="78.75" x14ac:dyDescent="0.25">
      <c r="A21" s="345" t="s">
        <v>119</v>
      </c>
      <c r="B21" s="341" t="s">
        <v>563</v>
      </c>
      <c r="C21" s="341" t="s">
        <v>139</v>
      </c>
      <c r="D21" s="341" t="s">
        <v>161</v>
      </c>
      <c r="E21" s="341" t="s">
        <v>120</v>
      </c>
      <c r="F21" s="341"/>
      <c r="G21" s="295">
        <f>G22</f>
        <v>2770.4</v>
      </c>
      <c r="H21" s="129"/>
    </row>
    <row r="22" spans="1:9" s="128" customFormat="1" ht="15.75" x14ac:dyDescent="0.25">
      <c r="A22" s="345" t="s">
        <v>212</v>
      </c>
      <c r="B22" s="341" t="s">
        <v>563</v>
      </c>
      <c r="C22" s="341" t="s">
        <v>139</v>
      </c>
      <c r="D22" s="341" t="s">
        <v>161</v>
      </c>
      <c r="E22" s="341" t="s">
        <v>156</v>
      </c>
      <c r="F22" s="341"/>
      <c r="G22" s="295">
        <f>'Пр.4 ведом.22'!G1101</f>
        <v>2770.4</v>
      </c>
      <c r="H22" s="129"/>
    </row>
    <row r="23" spans="1:9" s="128" customFormat="1" ht="31.5" x14ac:dyDescent="0.25">
      <c r="A23" s="29" t="s">
        <v>302</v>
      </c>
      <c r="B23" s="341" t="s">
        <v>563</v>
      </c>
      <c r="C23" s="341" t="s">
        <v>139</v>
      </c>
      <c r="D23" s="341" t="s">
        <v>161</v>
      </c>
      <c r="E23" s="341" t="s">
        <v>156</v>
      </c>
      <c r="F23" s="341" t="s">
        <v>303</v>
      </c>
      <c r="G23" s="295">
        <f>G22</f>
        <v>2770.4</v>
      </c>
      <c r="H23" s="129"/>
    </row>
    <row r="24" spans="1:9" ht="31.5" x14ac:dyDescent="0.25">
      <c r="A24" s="20" t="s">
        <v>123</v>
      </c>
      <c r="B24" s="341" t="s">
        <v>563</v>
      </c>
      <c r="C24" s="341" t="s">
        <v>139</v>
      </c>
      <c r="D24" s="341" t="s">
        <v>161</v>
      </c>
      <c r="E24" s="341" t="s">
        <v>124</v>
      </c>
      <c r="F24" s="341"/>
      <c r="G24" s="295">
        <f t="shared" ref="G24" si="1">G25</f>
        <v>1195.7</v>
      </c>
    </row>
    <row r="25" spans="1:9" ht="31.5" x14ac:dyDescent="0.25">
      <c r="A25" s="20" t="s">
        <v>125</v>
      </c>
      <c r="B25" s="341" t="s">
        <v>563</v>
      </c>
      <c r="C25" s="341" t="s">
        <v>139</v>
      </c>
      <c r="D25" s="341" t="s">
        <v>161</v>
      </c>
      <c r="E25" s="341" t="s">
        <v>126</v>
      </c>
      <c r="F25" s="341"/>
      <c r="G25" s="295">
        <f>'Пр.4 ведом.22'!G1103</f>
        <v>1195.7</v>
      </c>
    </row>
    <row r="26" spans="1:9" s="128" customFormat="1" ht="31.5" x14ac:dyDescent="0.25">
      <c r="A26" s="29" t="s">
        <v>302</v>
      </c>
      <c r="B26" s="341" t="s">
        <v>563</v>
      </c>
      <c r="C26" s="341" t="s">
        <v>139</v>
      </c>
      <c r="D26" s="341" t="s">
        <v>161</v>
      </c>
      <c r="E26" s="341" t="s">
        <v>126</v>
      </c>
      <c r="F26" s="341" t="s">
        <v>303</v>
      </c>
      <c r="G26" s="295">
        <f>G25</f>
        <v>1195.7</v>
      </c>
      <c r="H26" s="129"/>
    </row>
    <row r="27" spans="1:9" ht="15.75" hidden="1" x14ac:dyDescent="0.25">
      <c r="A27" s="345" t="s">
        <v>127</v>
      </c>
      <c r="B27" s="341" t="s">
        <v>563</v>
      </c>
      <c r="C27" s="341" t="s">
        <v>139</v>
      </c>
      <c r="D27" s="341" t="s">
        <v>161</v>
      </c>
      <c r="E27" s="341" t="s">
        <v>134</v>
      </c>
      <c r="F27" s="341"/>
      <c r="G27" s="295">
        <f t="shared" ref="G27" si="2">G28</f>
        <v>0</v>
      </c>
    </row>
    <row r="28" spans="1:9" ht="15.75" hidden="1" x14ac:dyDescent="0.25">
      <c r="A28" s="345" t="s">
        <v>129</v>
      </c>
      <c r="B28" s="341" t="s">
        <v>563</v>
      </c>
      <c r="C28" s="341" t="s">
        <v>139</v>
      </c>
      <c r="D28" s="341" t="s">
        <v>161</v>
      </c>
      <c r="E28" s="341" t="s">
        <v>130</v>
      </c>
      <c r="F28" s="341"/>
      <c r="G28" s="295">
        <f>'Пр.4 ведом.22'!G1105</f>
        <v>0</v>
      </c>
    </row>
    <row r="29" spans="1:9" ht="31.5" hidden="1" x14ac:dyDescent="0.25">
      <c r="A29" s="29" t="s">
        <v>302</v>
      </c>
      <c r="B29" s="341" t="s">
        <v>563</v>
      </c>
      <c r="C29" s="341" t="s">
        <v>139</v>
      </c>
      <c r="D29" s="341" t="s">
        <v>161</v>
      </c>
      <c r="E29" s="341" t="s">
        <v>130</v>
      </c>
      <c r="F29" s="341" t="s">
        <v>303</v>
      </c>
      <c r="G29" s="295">
        <f>G28</f>
        <v>0</v>
      </c>
    </row>
    <row r="30" spans="1:9" ht="47.25" x14ac:dyDescent="0.25">
      <c r="A30" s="34" t="s">
        <v>890</v>
      </c>
      <c r="B30" s="6" t="s">
        <v>213</v>
      </c>
      <c r="C30" s="6"/>
      <c r="D30" s="6"/>
      <c r="E30" s="6"/>
      <c r="F30" s="6"/>
      <c r="G30" s="35">
        <f>G31+G69+G77+G106+G122</f>
        <v>3277.28089</v>
      </c>
      <c r="H30" s="129">
        <v>4043</v>
      </c>
      <c r="I30" s="15">
        <f>H30-G30</f>
        <v>765.71911</v>
      </c>
    </row>
    <row r="31" spans="1:9" ht="31.5" x14ac:dyDescent="0.25">
      <c r="A31" s="34" t="s">
        <v>304</v>
      </c>
      <c r="B31" s="6" t="s">
        <v>215</v>
      </c>
      <c r="C31" s="6"/>
      <c r="D31" s="6"/>
      <c r="E31" s="6"/>
      <c r="F31" s="6"/>
      <c r="G31" s="35">
        <f>G33+G47+G61</f>
        <v>972.3</v>
      </c>
    </row>
    <row r="32" spans="1:9" s="128" customFormat="1" ht="47.25" x14ac:dyDescent="0.25">
      <c r="A32" s="339" t="s">
        <v>589</v>
      </c>
      <c r="B32" s="299" t="s">
        <v>463</v>
      </c>
      <c r="C32" s="6"/>
      <c r="D32" s="6"/>
      <c r="E32" s="341"/>
      <c r="F32" s="341"/>
      <c r="G32" s="35">
        <f>G33</f>
        <v>459.2</v>
      </c>
      <c r="H32" s="129"/>
    </row>
    <row r="33" spans="1:8" ht="15.75" x14ac:dyDescent="0.25">
      <c r="A33" s="29" t="s">
        <v>186</v>
      </c>
      <c r="B33" s="341" t="s">
        <v>463</v>
      </c>
      <c r="C33" s="341" t="s">
        <v>187</v>
      </c>
      <c r="D33" s="341"/>
      <c r="E33" s="341"/>
      <c r="F33" s="341"/>
      <c r="G33" s="9">
        <f t="shared" ref="G33" si="3">G34</f>
        <v>459.2</v>
      </c>
    </row>
    <row r="34" spans="1:8" ht="15.75" x14ac:dyDescent="0.25">
      <c r="A34" s="29" t="s">
        <v>246</v>
      </c>
      <c r="B34" s="341" t="s">
        <v>463</v>
      </c>
      <c r="C34" s="341" t="s">
        <v>187</v>
      </c>
      <c r="D34" s="341" t="s">
        <v>187</v>
      </c>
      <c r="E34" s="341"/>
      <c r="F34" s="341"/>
      <c r="G34" s="9">
        <f>G35+G39+G43</f>
        <v>459.2</v>
      </c>
    </row>
    <row r="35" spans="1:8" s="128" customFormat="1" ht="31.5" hidden="1" x14ac:dyDescent="0.25">
      <c r="A35" s="67" t="s">
        <v>595</v>
      </c>
      <c r="B35" s="346" t="s">
        <v>464</v>
      </c>
      <c r="C35" s="341" t="s">
        <v>187</v>
      </c>
      <c r="D35" s="341" t="s">
        <v>187</v>
      </c>
      <c r="E35" s="341"/>
      <c r="F35" s="341"/>
      <c r="G35" s="9">
        <f>G36</f>
        <v>0</v>
      </c>
      <c r="H35" s="129"/>
    </row>
    <row r="36" spans="1:8" s="128" customFormat="1" ht="78.75" hidden="1" x14ac:dyDescent="0.25">
      <c r="A36" s="345" t="s">
        <v>119</v>
      </c>
      <c r="B36" s="346" t="s">
        <v>464</v>
      </c>
      <c r="C36" s="341" t="s">
        <v>187</v>
      </c>
      <c r="D36" s="341" t="s">
        <v>187</v>
      </c>
      <c r="E36" s="341" t="s">
        <v>120</v>
      </c>
      <c r="F36" s="341"/>
      <c r="G36" s="9">
        <f>G37</f>
        <v>0</v>
      </c>
      <c r="H36" s="129"/>
    </row>
    <row r="37" spans="1:8" s="128" customFormat="1" ht="15.75" hidden="1" x14ac:dyDescent="0.25">
      <c r="A37" s="345" t="s">
        <v>212</v>
      </c>
      <c r="B37" s="346" t="s">
        <v>464</v>
      </c>
      <c r="C37" s="341" t="s">
        <v>187</v>
      </c>
      <c r="D37" s="341" t="s">
        <v>187</v>
      </c>
      <c r="E37" s="341" t="s">
        <v>156</v>
      </c>
      <c r="F37" s="341"/>
      <c r="G37" s="9">
        <f>'Пр.4 ведом.22'!G382</f>
        <v>0</v>
      </c>
      <c r="H37" s="129"/>
    </row>
    <row r="38" spans="1:8" s="128" customFormat="1" ht="47.25" hidden="1" x14ac:dyDescent="0.25">
      <c r="A38" s="29" t="s">
        <v>185</v>
      </c>
      <c r="B38" s="346" t="s">
        <v>464</v>
      </c>
      <c r="C38" s="341" t="s">
        <v>187</v>
      </c>
      <c r="D38" s="341" t="s">
        <v>187</v>
      </c>
      <c r="E38" s="341" t="s">
        <v>156</v>
      </c>
      <c r="F38" s="341" t="s">
        <v>305</v>
      </c>
      <c r="G38" s="295">
        <f>G37</f>
        <v>0</v>
      </c>
      <c r="H38" s="129"/>
    </row>
    <row r="39" spans="1:8" s="128" customFormat="1" ht="15.75" hidden="1" x14ac:dyDescent="0.25">
      <c r="A39" s="345" t="s">
        <v>590</v>
      </c>
      <c r="B39" s="346" t="s">
        <v>605</v>
      </c>
      <c r="C39" s="341" t="s">
        <v>187</v>
      </c>
      <c r="D39" s="341" t="s">
        <v>187</v>
      </c>
      <c r="E39" s="341"/>
      <c r="F39" s="341"/>
      <c r="G39" s="9">
        <f>G40</f>
        <v>0</v>
      </c>
      <c r="H39" s="129"/>
    </row>
    <row r="40" spans="1:8" s="128" customFormat="1" ht="31.5" hidden="1" x14ac:dyDescent="0.25">
      <c r="A40" s="345" t="s">
        <v>123</v>
      </c>
      <c r="B40" s="346" t="s">
        <v>605</v>
      </c>
      <c r="C40" s="341" t="s">
        <v>187</v>
      </c>
      <c r="D40" s="341" t="s">
        <v>187</v>
      </c>
      <c r="E40" s="341" t="s">
        <v>124</v>
      </c>
      <c r="F40" s="341"/>
      <c r="G40" s="9">
        <f>G41</f>
        <v>0</v>
      </c>
      <c r="H40" s="129"/>
    </row>
    <row r="41" spans="1:8" s="128" customFormat="1" ht="31.5" hidden="1" x14ac:dyDescent="0.25">
      <c r="A41" s="345" t="s">
        <v>125</v>
      </c>
      <c r="B41" s="346" t="s">
        <v>605</v>
      </c>
      <c r="C41" s="341" t="s">
        <v>187</v>
      </c>
      <c r="D41" s="341" t="s">
        <v>187</v>
      </c>
      <c r="E41" s="341" t="s">
        <v>126</v>
      </c>
      <c r="F41" s="341"/>
      <c r="G41" s="9">
        <f>'Пр.3 Рд,пр, ЦС,ВР 22'!F816</f>
        <v>0</v>
      </c>
      <c r="H41" s="129"/>
    </row>
    <row r="42" spans="1:8" s="128" customFormat="1" ht="47.25" hidden="1" x14ac:dyDescent="0.25">
      <c r="A42" s="29" t="s">
        <v>185</v>
      </c>
      <c r="B42" s="346" t="s">
        <v>605</v>
      </c>
      <c r="C42" s="341" t="s">
        <v>187</v>
      </c>
      <c r="D42" s="341" t="s">
        <v>187</v>
      </c>
      <c r="E42" s="341" t="s">
        <v>126</v>
      </c>
      <c r="F42" s="341" t="s">
        <v>305</v>
      </c>
      <c r="G42" s="295">
        <f>G41</f>
        <v>0</v>
      </c>
      <c r="H42" s="129"/>
    </row>
    <row r="43" spans="1:8" s="343" customFormat="1" ht="31.5" x14ac:dyDescent="0.25">
      <c r="A43" s="345" t="s">
        <v>1322</v>
      </c>
      <c r="B43" s="346" t="s">
        <v>1327</v>
      </c>
      <c r="C43" s="341" t="s">
        <v>187</v>
      </c>
      <c r="D43" s="341" t="s">
        <v>187</v>
      </c>
      <c r="E43" s="341"/>
      <c r="F43" s="341"/>
      <c r="G43" s="295">
        <f>G44</f>
        <v>459.2</v>
      </c>
      <c r="H43" s="344"/>
    </row>
    <row r="44" spans="1:8" s="343" customFormat="1" ht="31.5" x14ac:dyDescent="0.25">
      <c r="A44" s="345" t="s">
        <v>191</v>
      </c>
      <c r="B44" s="346" t="s">
        <v>1327</v>
      </c>
      <c r="C44" s="341" t="s">
        <v>187</v>
      </c>
      <c r="D44" s="341" t="s">
        <v>187</v>
      </c>
      <c r="E44" s="341" t="s">
        <v>192</v>
      </c>
      <c r="F44" s="341"/>
      <c r="G44" s="295">
        <f>G45</f>
        <v>459.2</v>
      </c>
      <c r="H44" s="344"/>
    </row>
    <row r="45" spans="1:8" s="343" customFormat="1" ht="15.75" x14ac:dyDescent="0.25">
      <c r="A45" s="345" t="s">
        <v>193</v>
      </c>
      <c r="B45" s="346" t="s">
        <v>1327</v>
      </c>
      <c r="C45" s="341" t="s">
        <v>187</v>
      </c>
      <c r="D45" s="341" t="s">
        <v>187</v>
      </c>
      <c r="E45" s="341" t="s">
        <v>194</v>
      </c>
      <c r="F45" s="341"/>
      <c r="G45" s="295">
        <f>'Пр.4 ведом.22'!G388</f>
        <v>459.2</v>
      </c>
      <c r="H45" s="344"/>
    </row>
    <row r="46" spans="1:8" s="343" customFormat="1" ht="47.25" x14ac:dyDescent="0.25">
      <c r="A46" s="29" t="s">
        <v>185</v>
      </c>
      <c r="B46" s="346" t="s">
        <v>1327</v>
      </c>
      <c r="C46" s="341" t="s">
        <v>187</v>
      </c>
      <c r="D46" s="341" t="s">
        <v>187</v>
      </c>
      <c r="E46" s="341" t="s">
        <v>194</v>
      </c>
      <c r="F46" s="341" t="s">
        <v>305</v>
      </c>
      <c r="G46" s="295">
        <f>G45</f>
        <v>459.2</v>
      </c>
      <c r="H46" s="344"/>
    </row>
    <row r="47" spans="1:8" s="128" customFormat="1" ht="63" x14ac:dyDescent="0.25">
      <c r="A47" s="298" t="s">
        <v>591</v>
      </c>
      <c r="B47" s="299" t="s">
        <v>465</v>
      </c>
      <c r="C47" s="341"/>
      <c r="D47" s="341"/>
      <c r="E47" s="341"/>
      <c r="F47" s="341"/>
      <c r="G47" s="35">
        <f>G48</f>
        <v>463.1</v>
      </c>
      <c r="H47" s="129"/>
    </row>
    <row r="48" spans="1:8" s="128" customFormat="1" ht="15.75" x14ac:dyDescent="0.25">
      <c r="A48" s="29" t="s">
        <v>186</v>
      </c>
      <c r="B48" s="341" t="s">
        <v>465</v>
      </c>
      <c r="C48" s="341" t="s">
        <v>187</v>
      </c>
      <c r="D48" s="341"/>
      <c r="E48" s="341"/>
      <c r="F48" s="341"/>
      <c r="G48" s="9">
        <f>G49</f>
        <v>463.1</v>
      </c>
      <c r="H48" s="129"/>
    </row>
    <row r="49" spans="1:8" s="128" customFormat="1" ht="15.75" x14ac:dyDescent="0.25">
      <c r="A49" s="29" t="s">
        <v>246</v>
      </c>
      <c r="B49" s="341" t="s">
        <v>465</v>
      </c>
      <c r="C49" s="341" t="s">
        <v>187</v>
      </c>
      <c r="D49" s="341" t="s">
        <v>187</v>
      </c>
      <c r="E49" s="341"/>
      <c r="F49" s="341"/>
      <c r="G49" s="9">
        <f>G50+G54+G57</f>
        <v>463.1</v>
      </c>
      <c r="H49" s="129"/>
    </row>
    <row r="50" spans="1:8" ht="15.75" x14ac:dyDescent="0.25">
      <c r="A50" s="345" t="s">
        <v>592</v>
      </c>
      <c r="B50" s="346" t="s">
        <v>470</v>
      </c>
      <c r="C50" s="341" t="s">
        <v>187</v>
      </c>
      <c r="D50" s="341" t="s">
        <v>187</v>
      </c>
      <c r="E50" s="341"/>
      <c r="F50" s="341"/>
      <c r="G50" s="9">
        <f>G51</f>
        <v>40.1</v>
      </c>
    </row>
    <row r="51" spans="1:8" ht="78.75" x14ac:dyDescent="0.25">
      <c r="A51" s="345" t="s">
        <v>119</v>
      </c>
      <c r="B51" s="346" t="s">
        <v>470</v>
      </c>
      <c r="C51" s="341" t="s">
        <v>187</v>
      </c>
      <c r="D51" s="341" t="s">
        <v>187</v>
      </c>
      <c r="E51" s="341" t="s">
        <v>120</v>
      </c>
      <c r="F51" s="341"/>
      <c r="G51" s="9">
        <f t="shared" ref="G51" si="4">G52</f>
        <v>40.1</v>
      </c>
    </row>
    <row r="52" spans="1:8" ht="15.75" x14ac:dyDescent="0.25">
      <c r="A52" s="345" t="s">
        <v>212</v>
      </c>
      <c r="B52" s="346" t="s">
        <v>470</v>
      </c>
      <c r="C52" s="341" t="s">
        <v>187</v>
      </c>
      <c r="D52" s="341" t="s">
        <v>187</v>
      </c>
      <c r="E52" s="341" t="s">
        <v>156</v>
      </c>
      <c r="F52" s="341"/>
      <c r="G52" s="9">
        <f>'Пр.4 ведом.22'!G392</f>
        <v>40.1</v>
      </c>
    </row>
    <row r="53" spans="1:8" s="128" customFormat="1" ht="47.25" x14ac:dyDescent="0.25">
      <c r="A53" s="29" t="s">
        <v>185</v>
      </c>
      <c r="B53" s="346" t="s">
        <v>470</v>
      </c>
      <c r="C53" s="341" t="s">
        <v>187</v>
      </c>
      <c r="D53" s="341" t="s">
        <v>187</v>
      </c>
      <c r="E53" s="341" t="s">
        <v>156</v>
      </c>
      <c r="F53" s="341" t="s">
        <v>305</v>
      </c>
      <c r="G53" s="295">
        <f>G52</f>
        <v>40.1</v>
      </c>
      <c r="H53" s="129"/>
    </row>
    <row r="54" spans="1:8" ht="31.5" x14ac:dyDescent="0.25">
      <c r="A54" s="345" t="s">
        <v>123</v>
      </c>
      <c r="B54" s="346" t="s">
        <v>470</v>
      </c>
      <c r="C54" s="341" t="s">
        <v>187</v>
      </c>
      <c r="D54" s="341" t="s">
        <v>187</v>
      </c>
      <c r="E54" s="341" t="s">
        <v>124</v>
      </c>
      <c r="F54" s="341"/>
      <c r="G54" s="9">
        <f t="shared" ref="G54" si="5">G55</f>
        <v>423</v>
      </c>
    </row>
    <row r="55" spans="1:8" ht="31.5" x14ac:dyDescent="0.25">
      <c r="A55" s="345" t="s">
        <v>125</v>
      </c>
      <c r="B55" s="346" t="s">
        <v>470</v>
      </c>
      <c r="C55" s="341" t="s">
        <v>187</v>
      </c>
      <c r="D55" s="341" t="s">
        <v>187</v>
      </c>
      <c r="E55" s="341" t="s">
        <v>126</v>
      </c>
      <c r="F55" s="341"/>
      <c r="G55" s="295">
        <f>'Пр.4 ведом.22'!G394</f>
        <v>423</v>
      </c>
    </row>
    <row r="56" spans="1:8" s="128" customFormat="1" ht="47.25" x14ac:dyDescent="0.25">
      <c r="A56" s="29" t="s">
        <v>185</v>
      </c>
      <c r="B56" s="346" t="s">
        <v>470</v>
      </c>
      <c r="C56" s="341" t="s">
        <v>187</v>
      </c>
      <c r="D56" s="341" t="s">
        <v>187</v>
      </c>
      <c r="E56" s="341" t="s">
        <v>126</v>
      </c>
      <c r="F56" s="341" t="s">
        <v>305</v>
      </c>
      <c r="G56" s="295">
        <f>G55</f>
        <v>423</v>
      </c>
      <c r="H56" s="129"/>
    </row>
    <row r="57" spans="1:8" s="343" customFormat="1" ht="15.75" hidden="1" x14ac:dyDescent="0.25">
      <c r="A57" s="345" t="s">
        <v>1284</v>
      </c>
      <c r="B57" s="346" t="s">
        <v>1285</v>
      </c>
      <c r="C57" s="341" t="s">
        <v>187</v>
      </c>
      <c r="D57" s="341" t="s">
        <v>187</v>
      </c>
      <c r="E57" s="341"/>
      <c r="F57" s="341"/>
      <c r="G57" s="295">
        <f>G58</f>
        <v>-2.8421709430404007E-14</v>
      </c>
      <c r="H57" s="344"/>
    </row>
    <row r="58" spans="1:8" s="343" customFormat="1" ht="31.5" hidden="1" x14ac:dyDescent="0.25">
      <c r="A58" s="345" t="s">
        <v>123</v>
      </c>
      <c r="B58" s="346" t="s">
        <v>1285</v>
      </c>
      <c r="C58" s="341" t="s">
        <v>187</v>
      </c>
      <c r="D58" s="341" t="s">
        <v>187</v>
      </c>
      <c r="E58" s="341" t="s">
        <v>124</v>
      </c>
      <c r="F58" s="341"/>
      <c r="G58" s="295">
        <f>G59</f>
        <v>-2.8421709430404007E-14</v>
      </c>
      <c r="H58" s="344"/>
    </row>
    <row r="59" spans="1:8" s="343" customFormat="1" ht="31.5" hidden="1" x14ac:dyDescent="0.25">
      <c r="A59" s="345" t="s">
        <v>125</v>
      </c>
      <c r="B59" s="346" t="s">
        <v>1285</v>
      </c>
      <c r="C59" s="341" t="s">
        <v>187</v>
      </c>
      <c r="D59" s="341" t="s">
        <v>187</v>
      </c>
      <c r="E59" s="341" t="s">
        <v>126</v>
      </c>
      <c r="F59" s="341"/>
      <c r="G59" s="295">
        <f>'Пр.4 ведом.22'!G397</f>
        <v>-2.8421709430404007E-14</v>
      </c>
      <c r="H59" s="344"/>
    </row>
    <row r="60" spans="1:8" s="343" customFormat="1" ht="47.25" hidden="1" x14ac:dyDescent="0.25">
      <c r="A60" s="29" t="s">
        <v>185</v>
      </c>
      <c r="B60" s="346" t="s">
        <v>1285</v>
      </c>
      <c r="C60" s="341" t="s">
        <v>187</v>
      </c>
      <c r="D60" s="341" t="s">
        <v>187</v>
      </c>
      <c r="E60" s="341" t="s">
        <v>126</v>
      </c>
      <c r="F60" s="341" t="s">
        <v>305</v>
      </c>
      <c r="G60" s="295">
        <f>G59</f>
        <v>-2.8421709430404007E-14</v>
      </c>
      <c r="H60" s="344"/>
    </row>
    <row r="61" spans="1:8" ht="33" customHeight="1" x14ac:dyDescent="0.25">
      <c r="A61" s="298" t="s">
        <v>597</v>
      </c>
      <c r="B61" s="299" t="s">
        <v>593</v>
      </c>
      <c r="C61" s="341"/>
      <c r="D61" s="341"/>
      <c r="E61" s="341"/>
      <c r="F61" s="341"/>
      <c r="G61" s="294">
        <f>G64</f>
        <v>50</v>
      </c>
    </row>
    <row r="62" spans="1:8" s="128" customFormat="1" ht="16.5" customHeight="1" x14ac:dyDescent="0.25">
      <c r="A62" s="29" t="s">
        <v>186</v>
      </c>
      <c r="B62" s="341" t="s">
        <v>593</v>
      </c>
      <c r="C62" s="341" t="s">
        <v>187</v>
      </c>
      <c r="D62" s="341"/>
      <c r="E62" s="341"/>
      <c r="F62" s="341"/>
      <c r="G62" s="9">
        <f>G63</f>
        <v>50</v>
      </c>
      <c r="H62" s="129"/>
    </row>
    <row r="63" spans="1:8" s="128" customFormat="1" ht="18.75" customHeight="1" x14ac:dyDescent="0.25">
      <c r="A63" s="29" t="s">
        <v>246</v>
      </c>
      <c r="B63" s="341" t="s">
        <v>593</v>
      </c>
      <c r="C63" s="341" t="s">
        <v>187</v>
      </c>
      <c r="D63" s="341" t="s">
        <v>187</v>
      </c>
      <c r="E63" s="341"/>
      <c r="F63" s="341"/>
      <c r="G63" s="9">
        <f>G64</f>
        <v>50</v>
      </c>
      <c r="H63" s="129"/>
    </row>
    <row r="64" spans="1:8" ht="47.25" x14ac:dyDescent="0.25">
      <c r="A64" s="150" t="s">
        <v>594</v>
      </c>
      <c r="B64" s="346" t="s">
        <v>606</v>
      </c>
      <c r="C64" s="341" t="s">
        <v>187</v>
      </c>
      <c r="D64" s="341" t="s">
        <v>187</v>
      </c>
      <c r="E64" s="346"/>
      <c r="F64" s="341"/>
      <c r="G64" s="295">
        <f t="shared" ref="G64" si="6">G65</f>
        <v>50</v>
      </c>
    </row>
    <row r="65" spans="1:8" ht="15.75" x14ac:dyDescent="0.25">
      <c r="A65" s="345" t="s">
        <v>177</v>
      </c>
      <c r="B65" s="346" t="s">
        <v>606</v>
      </c>
      <c r="C65" s="341" t="s">
        <v>187</v>
      </c>
      <c r="D65" s="341" t="s">
        <v>187</v>
      </c>
      <c r="E65" s="346" t="s">
        <v>178</v>
      </c>
      <c r="F65" s="341"/>
      <c r="G65" s="295">
        <f>G67+G66</f>
        <v>50</v>
      </c>
    </row>
    <row r="66" spans="1:8" s="343" customFormat="1" ht="31.5" x14ac:dyDescent="0.25">
      <c r="A66" s="345" t="s">
        <v>179</v>
      </c>
      <c r="B66" s="346" t="s">
        <v>606</v>
      </c>
      <c r="C66" s="341" t="s">
        <v>187</v>
      </c>
      <c r="D66" s="341" t="s">
        <v>187</v>
      </c>
      <c r="E66" s="346" t="s">
        <v>180</v>
      </c>
      <c r="F66" s="341"/>
      <c r="G66" s="295">
        <f>'Пр.4 ведом.22'!G401</f>
        <v>50</v>
      </c>
      <c r="H66" s="344"/>
    </row>
    <row r="67" spans="1:8" ht="32.25" hidden="1" customHeight="1" x14ac:dyDescent="0.25">
      <c r="A67" s="345" t="s">
        <v>734</v>
      </c>
      <c r="B67" s="346" t="s">
        <v>606</v>
      </c>
      <c r="C67" s="341" t="s">
        <v>187</v>
      </c>
      <c r="D67" s="341" t="s">
        <v>187</v>
      </c>
      <c r="E67" s="346" t="s">
        <v>733</v>
      </c>
      <c r="F67" s="341"/>
      <c r="G67" s="9">
        <f>'Пр.4 ведом.22'!G402</f>
        <v>0</v>
      </c>
    </row>
    <row r="68" spans="1:8" s="128" customFormat="1" ht="47.25" x14ac:dyDescent="0.25">
      <c r="A68" s="29" t="s">
        <v>185</v>
      </c>
      <c r="B68" s="346" t="s">
        <v>606</v>
      </c>
      <c r="C68" s="341" t="s">
        <v>187</v>
      </c>
      <c r="D68" s="341" t="s">
        <v>187</v>
      </c>
      <c r="E68" s="341" t="s">
        <v>733</v>
      </c>
      <c r="F68" s="341" t="s">
        <v>305</v>
      </c>
      <c r="G68" s="295">
        <f>G67+G66</f>
        <v>50</v>
      </c>
      <c r="H68" s="129"/>
    </row>
    <row r="69" spans="1:8" ht="31.5" hidden="1" x14ac:dyDescent="0.25">
      <c r="A69" s="34" t="s">
        <v>891</v>
      </c>
      <c r="B69" s="6" t="s">
        <v>219</v>
      </c>
      <c r="C69" s="6"/>
      <c r="D69" s="6"/>
      <c r="E69" s="6"/>
      <c r="F69" s="6"/>
      <c r="G69" s="35">
        <f>G70</f>
        <v>-1.1041514924592377E-14</v>
      </c>
    </row>
    <row r="70" spans="1:8" s="128" customFormat="1" ht="31.5" hidden="1" x14ac:dyDescent="0.25">
      <c r="A70" s="298" t="s">
        <v>474</v>
      </c>
      <c r="B70" s="299" t="s">
        <v>473</v>
      </c>
      <c r="C70" s="6"/>
      <c r="D70" s="6"/>
      <c r="E70" s="6"/>
      <c r="F70" s="6"/>
      <c r="G70" s="35">
        <f>G71</f>
        <v>-1.1041514924592377E-14</v>
      </c>
      <c r="H70" s="129"/>
    </row>
    <row r="71" spans="1:8" ht="15.75" hidden="1" x14ac:dyDescent="0.25">
      <c r="A71" s="29" t="s">
        <v>173</v>
      </c>
      <c r="B71" s="341" t="s">
        <v>473</v>
      </c>
      <c r="C71" s="341" t="s">
        <v>174</v>
      </c>
      <c r="D71" s="341"/>
      <c r="E71" s="341"/>
      <c r="F71" s="341"/>
      <c r="G71" s="9">
        <f t="shared" ref="G71:G74" si="7">G72</f>
        <v>-1.1041514924592377E-14</v>
      </c>
    </row>
    <row r="72" spans="1:8" ht="15.75" hidden="1" x14ac:dyDescent="0.25">
      <c r="A72" s="29" t="s">
        <v>181</v>
      </c>
      <c r="B72" s="341" t="s">
        <v>473</v>
      </c>
      <c r="C72" s="341" t="s">
        <v>174</v>
      </c>
      <c r="D72" s="341" t="s">
        <v>159</v>
      </c>
      <c r="E72" s="341"/>
      <c r="F72" s="341"/>
      <c r="G72" s="9">
        <f>G73</f>
        <v>-1.1041514924592377E-14</v>
      </c>
    </row>
    <row r="73" spans="1:8" ht="31.5" hidden="1" x14ac:dyDescent="0.25">
      <c r="A73" s="345" t="s">
        <v>399</v>
      </c>
      <c r="B73" s="346" t="s">
        <v>475</v>
      </c>
      <c r="C73" s="341" t="s">
        <v>174</v>
      </c>
      <c r="D73" s="341" t="s">
        <v>159</v>
      </c>
      <c r="E73" s="341"/>
      <c r="F73" s="341"/>
      <c r="G73" s="9">
        <f t="shared" si="7"/>
        <v>-1.1041514924592377E-14</v>
      </c>
    </row>
    <row r="74" spans="1:8" ht="15.75" hidden="1" x14ac:dyDescent="0.25">
      <c r="A74" s="20" t="s">
        <v>177</v>
      </c>
      <c r="B74" s="346" t="s">
        <v>475</v>
      </c>
      <c r="C74" s="341" t="s">
        <v>174</v>
      </c>
      <c r="D74" s="341" t="s">
        <v>159</v>
      </c>
      <c r="E74" s="341" t="s">
        <v>178</v>
      </c>
      <c r="F74" s="341"/>
      <c r="G74" s="9">
        <f t="shared" si="7"/>
        <v>-1.1041514924592377E-14</v>
      </c>
    </row>
    <row r="75" spans="1:8" ht="31.5" hidden="1" x14ac:dyDescent="0.25">
      <c r="A75" s="20" t="s">
        <v>179</v>
      </c>
      <c r="B75" s="346" t="s">
        <v>475</v>
      </c>
      <c r="C75" s="341" t="s">
        <v>174</v>
      </c>
      <c r="D75" s="341" t="s">
        <v>159</v>
      </c>
      <c r="E75" s="341" t="s">
        <v>180</v>
      </c>
      <c r="F75" s="341"/>
      <c r="G75" s="9">
        <f>'Пр.4 ведом.22'!G559</f>
        <v>-1.1041514924592377E-14</v>
      </c>
    </row>
    <row r="76" spans="1:8" ht="47.25" hidden="1" x14ac:dyDescent="0.25">
      <c r="A76" s="29" t="s">
        <v>185</v>
      </c>
      <c r="B76" s="346" t="s">
        <v>475</v>
      </c>
      <c r="C76" s="341" t="s">
        <v>174</v>
      </c>
      <c r="D76" s="341" t="s">
        <v>159</v>
      </c>
      <c r="E76" s="341" t="s">
        <v>180</v>
      </c>
      <c r="F76" s="341" t="s">
        <v>305</v>
      </c>
      <c r="G76" s="9">
        <f t="shared" ref="G76" si="8">G69</f>
        <v>-1.1041514924592377E-14</v>
      </c>
    </row>
    <row r="77" spans="1:8" s="128" customFormat="1" ht="54" customHeight="1" x14ac:dyDescent="0.25">
      <c r="A77" s="340" t="s">
        <v>892</v>
      </c>
      <c r="B77" s="6" t="s">
        <v>221</v>
      </c>
      <c r="C77" s="6"/>
      <c r="D77" s="6"/>
      <c r="E77" s="6"/>
      <c r="F77" s="6"/>
      <c r="G77" s="35">
        <f>G78+G85+G92+G99</f>
        <v>60</v>
      </c>
      <c r="H77" s="129"/>
    </row>
    <row r="78" spans="1:8" s="128" customFormat="1" ht="47.25" hidden="1" x14ac:dyDescent="0.25">
      <c r="A78" s="136" t="s">
        <v>602</v>
      </c>
      <c r="B78" s="299" t="s">
        <v>476</v>
      </c>
      <c r="C78" s="6"/>
      <c r="D78" s="6"/>
      <c r="E78" s="6"/>
      <c r="F78" s="6"/>
      <c r="G78" s="35">
        <f>G79</f>
        <v>0</v>
      </c>
      <c r="H78" s="129"/>
    </row>
    <row r="79" spans="1:8" s="128" customFormat="1" ht="15.75" hidden="1" x14ac:dyDescent="0.25">
      <c r="A79" s="29" t="s">
        <v>166</v>
      </c>
      <c r="B79" s="341" t="s">
        <v>476</v>
      </c>
      <c r="C79" s="341" t="s">
        <v>139</v>
      </c>
      <c r="D79" s="341"/>
      <c r="E79" s="341"/>
      <c r="F79" s="341"/>
      <c r="G79" s="9">
        <f>G80</f>
        <v>0</v>
      </c>
      <c r="H79" s="129"/>
    </row>
    <row r="80" spans="1:8" s="128" customFormat="1" ht="15.75" hidden="1" x14ac:dyDescent="0.25">
      <c r="A80" s="29" t="s">
        <v>170</v>
      </c>
      <c r="B80" s="341" t="s">
        <v>476</v>
      </c>
      <c r="C80" s="341" t="s">
        <v>139</v>
      </c>
      <c r="D80" s="341" t="s">
        <v>171</v>
      </c>
      <c r="E80" s="341"/>
      <c r="F80" s="341"/>
      <c r="G80" s="9">
        <f>G81</f>
        <v>0</v>
      </c>
      <c r="H80" s="129"/>
    </row>
    <row r="81" spans="1:8" s="128" customFormat="1" ht="47.25" hidden="1" x14ac:dyDescent="0.25">
      <c r="A81" s="345" t="s">
        <v>227</v>
      </c>
      <c r="B81" s="346" t="s">
        <v>825</v>
      </c>
      <c r="C81" s="341" t="s">
        <v>139</v>
      </c>
      <c r="D81" s="341" t="s">
        <v>171</v>
      </c>
      <c r="E81" s="341"/>
      <c r="F81" s="341"/>
      <c r="G81" s="9">
        <f>G82</f>
        <v>0</v>
      </c>
      <c r="H81" s="129"/>
    </row>
    <row r="82" spans="1:8" s="128" customFormat="1" ht="15.75" hidden="1" x14ac:dyDescent="0.25">
      <c r="A82" s="345" t="s">
        <v>177</v>
      </c>
      <c r="B82" s="346" t="s">
        <v>825</v>
      </c>
      <c r="C82" s="341" t="s">
        <v>139</v>
      </c>
      <c r="D82" s="341" t="s">
        <v>171</v>
      </c>
      <c r="E82" s="341" t="s">
        <v>178</v>
      </c>
      <c r="F82" s="341"/>
      <c r="G82" s="9">
        <f>G83</f>
        <v>0</v>
      </c>
      <c r="H82" s="129"/>
    </row>
    <row r="83" spans="1:8" s="128" customFormat="1" ht="31.5" hidden="1" x14ac:dyDescent="0.25">
      <c r="A83" s="345" t="s">
        <v>179</v>
      </c>
      <c r="B83" s="346" t="s">
        <v>825</v>
      </c>
      <c r="C83" s="341" t="s">
        <v>139</v>
      </c>
      <c r="D83" s="341" t="s">
        <v>171</v>
      </c>
      <c r="E83" s="341" t="s">
        <v>180</v>
      </c>
      <c r="F83" s="341"/>
      <c r="G83" s="9">
        <f>'Пр.4 ведом.22'!G319</f>
        <v>0</v>
      </c>
      <c r="H83" s="129"/>
    </row>
    <row r="84" spans="1:8" s="128" customFormat="1" ht="47.25" hidden="1" x14ac:dyDescent="0.25">
      <c r="A84" s="29" t="s">
        <v>185</v>
      </c>
      <c r="B84" s="346" t="s">
        <v>825</v>
      </c>
      <c r="C84" s="341" t="s">
        <v>139</v>
      </c>
      <c r="D84" s="341" t="s">
        <v>171</v>
      </c>
      <c r="E84" s="341" t="s">
        <v>180</v>
      </c>
      <c r="F84" s="341" t="s">
        <v>305</v>
      </c>
      <c r="G84" s="9">
        <f>G83</f>
        <v>0</v>
      </c>
      <c r="H84" s="129"/>
    </row>
    <row r="85" spans="1:8" s="128" customFormat="1" ht="31.5" x14ac:dyDescent="0.25">
      <c r="A85" s="298" t="s">
        <v>601</v>
      </c>
      <c r="B85" s="6" t="s">
        <v>737</v>
      </c>
      <c r="C85" s="6"/>
      <c r="D85" s="6"/>
      <c r="E85" s="6"/>
      <c r="F85" s="6"/>
      <c r="G85" s="35">
        <f>G86</f>
        <v>60</v>
      </c>
      <c r="H85" s="129"/>
    </row>
    <row r="86" spans="1:8" s="128" customFormat="1" ht="15.75" x14ac:dyDescent="0.25">
      <c r="A86" s="29" t="s">
        <v>166</v>
      </c>
      <c r="B86" s="341" t="s">
        <v>737</v>
      </c>
      <c r="C86" s="341" t="s">
        <v>139</v>
      </c>
      <c r="D86" s="341"/>
      <c r="E86" s="341"/>
      <c r="F86" s="341"/>
      <c r="G86" s="9">
        <f>G87</f>
        <v>60</v>
      </c>
      <c r="H86" s="129"/>
    </row>
    <row r="87" spans="1:8" s="128" customFormat="1" ht="15.75" x14ac:dyDescent="0.25">
      <c r="A87" s="29" t="s">
        <v>170</v>
      </c>
      <c r="B87" s="341" t="s">
        <v>737</v>
      </c>
      <c r="C87" s="341" t="s">
        <v>139</v>
      </c>
      <c r="D87" s="341" t="s">
        <v>171</v>
      </c>
      <c r="E87" s="341"/>
      <c r="F87" s="341"/>
      <c r="G87" s="9">
        <f>G88</f>
        <v>60</v>
      </c>
      <c r="H87" s="129"/>
    </row>
    <row r="88" spans="1:8" s="128" customFormat="1" ht="101.25" customHeight="1" x14ac:dyDescent="0.25">
      <c r="A88" s="345" t="s">
        <v>971</v>
      </c>
      <c r="B88" s="346" t="s">
        <v>738</v>
      </c>
      <c r="C88" s="341" t="s">
        <v>139</v>
      </c>
      <c r="D88" s="341" t="s">
        <v>171</v>
      </c>
      <c r="E88" s="341"/>
      <c r="F88" s="341"/>
      <c r="G88" s="9">
        <f>G89</f>
        <v>60</v>
      </c>
      <c r="H88" s="129"/>
    </row>
    <row r="89" spans="1:8" s="128" customFormat="1" ht="31.5" x14ac:dyDescent="0.25">
      <c r="A89" s="345" t="s">
        <v>191</v>
      </c>
      <c r="B89" s="346" t="s">
        <v>738</v>
      </c>
      <c r="C89" s="341" t="s">
        <v>139</v>
      </c>
      <c r="D89" s="341" t="s">
        <v>171</v>
      </c>
      <c r="E89" s="341" t="s">
        <v>192</v>
      </c>
      <c r="F89" s="341"/>
      <c r="G89" s="9">
        <f>G90</f>
        <v>60</v>
      </c>
      <c r="H89" s="129"/>
    </row>
    <row r="90" spans="1:8" s="128" customFormat="1" ht="63" x14ac:dyDescent="0.25">
      <c r="A90" s="345" t="s">
        <v>641</v>
      </c>
      <c r="B90" s="346" t="s">
        <v>738</v>
      </c>
      <c r="C90" s="341" t="s">
        <v>139</v>
      </c>
      <c r="D90" s="341" t="s">
        <v>171</v>
      </c>
      <c r="E90" s="341" t="s">
        <v>225</v>
      </c>
      <c r="F90" s="341"/>
      <c r="G90" s="9">
        <f>'Пр.4 ведом.22'!G323</f>
        <v>60</v>
      </c>
      <c r="H90" s="129"/>
    </row>
    <row r="91" spans="1:8" s="128" customFormat="1" ht="47.25" x14ac:dyDescent="0.25">
      <c r="A91" s="29" t="s">
        <v>185</v>
      </c>
      <c r="B91" s="346" t="s">
        <v>738</v>
      </c>
      <c r="C91" s="341" t="s">
        <v>139</v>
      </c>
      <c r="D91" s="341" t="s">
        <v>171</v>
      </c>
      <c r="E91" s="341" t="s">
        <v>225</v>
      </c>
      <c r="F91" s="341" t="s">
        <v>305</v>
      </c>
      <c r="G91" s="9">
        <f>G90</f>
        <v>60</v>
      </c>
      <c r="H91" s="129"/>
    </row>
    <row r="92" spans="1:8" s="128" customFormat="1" ht="31.5" hidden="1" x14ac:dyDescent="0.25">
      <c r="A92" s="298" t="s">
        <v>556</v>
      </c>
      <c r="B92" s="299" t="s">
        <v>822</v>
      </c>
      <c r="C92" s="6"/>
      <c r="D92" s="6"/>
      <c r="E92" s="6"/>
      <c r="F92" s="6"/>
      <c r="G92" s="35">
        <f>G93</f>
        <v>0</v>
      </c>
      <c r="H92" s="129"/>
    </row>
    <row r="93" spans="1:8" s="128" customFormat="1" ht="15.75" hidden="1" x14ac:dyDescent="0.25">
      <c r="A93" s="29" t="s">
        <v>166</v>
      </c>
      <c r="B93" s="341" t="s">
        <v>822</v>
      </c>
      <c r="C93" s="341" t="s">
        <v>139</v>
      </c>
      <c r="D93" s="341"/>
      <c r="E93" s="341"/>
      <c r="F93" s="341"/>
      <c r="G93" s="9">
        <f>G94</f>
        <v>0</v>
      </c>
      <c r="H93" s="129"/>
    </row>
    <row r="94" spans="1:8" s="128" customFormat="1" ht="15.75" hidden="1" x14ac:dyDescent="0.25">
      <c r="A94" s="29" t="s">
        <v>170</v>
      </c>
      <c r="B94" s="341" t="s">
        <v>822</v>
      </c>
      <c r="C94" s="341" t="s">
        <v>139</v>
      </c>
      <c r="D94" s="341" t="s">
        <v>171</v>
      </c>
      <c r="E94" s="341"/>
      <c r="F94" s="341"/>
      <c r="G94" s="9">
        <f>G95</f>
        <v>0</v>
      </c>
      <c r="H94" s="129"/>
    </row>
    <row r="95" spans="1:8" s="128" customFormat="1" ht="31.5" hidden="1" x14ac:dyDescent="0.25">
      <c r="A95" s="166" t="s">
        <v>603</v>
      </c>
      <c r="B95" s="346" t="s">
        <v>823</v>
      </c>
      <c r="C95" s="341" t="s">
        <v>139</v>
      </c>
      <c r="D95" s="341" t="s">
        <v>171</v>
      </c>
      <c r="E95" s="341"/>
      <c r="F95" s="341"/>
      <c r="G95" s="9">
        <f>G96</f>
        <v>0</v>
      </c>
      <c r="H95" s="129"/>
    </row>
    <row r="96" spans="1:8" s="128" customFormat="1" ht="31.5" hidden="1" x14ac:dyDescent="0.25">
      <c r="A96" s="345" t="s">
        <v>123</v>
      </c>
      <c r="B96" s="346" t="s">
        <v>823</v>
      </c>
      <c r="C96" s="341" t="s">
        <v>139</v>
      </c>
      <c r="D96" s="341" t="s">
        <v>171</v>
      </c>
      <c r="E96" s="341" t="s">
        <v>124</v>
      </c>
      <c r="F96" s="341"/>
      <c r="G96" s="9">
        <f>G97</f>
        <v>0</v>
      </c>
      <c r="H96" s="129"/>
    </row>
    <row r="97" spans="1:8" s="128" customFormat="1" ht="31.5" hidden="1" x14ac:dyDescent="0.25">
      <c r="A97" s="345" t="s">
        <v>125</v>
      </c>
      <c r="B97" s="346" t="s">
        <v>823</v>
      </c>
      <c r="C97" s="341" t="s">
        <v>139</v>
      </c>
      <c r="D97" s="341" t="s">
        <v>171</v>
      </c>
      <c r="E97" s="341" t="s">
        <v>126</v>
      </c>
      <c r="F97" s="341"/>
      <c r="G97" s="9">
        <f>'Пр.4 ведом.22'!G327</f>
        <v>0</v>
      </c>
      <c r="H97" s="129"/>
    </row>
    <row r="98" spans="1:8" s="128" customFormat="1" ht="47.25" hidden="1" x14ac:dyDescent="0.25">
      <c r="A98" s="29" t="s">
        <v>185</v>
      </c>
      <c r="B98" s="346" t="s">
        <v>823</v>
      </c>
      <c r="C98" s="341" t="s">
        <v>139</v>
      </c>
      <c r="D98" s="341" t="s">
        <v>171</v>
      </c>
      <c r="E98" s="341" t="s">
        <v>126</v>
      </c>
      <c r="F98" s="8" t="s">
        <v>305</v>
      </c>
      <c r="G98" s="9">
        <f>G97</f>
        <v>0</v>
      </c>
      <c r="H98" s="129"/>
    </row>
    <row r="99" spans="1:8" s="128" customFormat="1" ht="31.5" hidden="1" x14ac:dyDescent="0.25">
      <c r="A99" s="303" t="s">
        <v>654</v>
      </c>
      <c r="B99" s="299" t="s">
        <v>739</v>
      </c>
      <c r="C99" s="6"/>
      <c r="D99" s="6"/>
      <c r="E99" s="6"/>
      <c r="F99" s="6"/>
      <c r="G99" s="35">
        <f>G100</f>
        <v>0</v>
      </c>
      <c r="H99" s="129"/>
    </row>
    <row r="100" spans="1:8" s="128" customFormat="1" ht="15.75" hidden="1" x14ac:dyDescent="0.25">
      <c r="A100" s="29" t="s">
        <v>166</v>
      </c>
      <c r="B100" s="341" t="s">
        <v>739</v>
      </c>
      <c r="C100" s="341" t="s">
        <v>139</v>
      </c>
      <c r="D100" s="341"/>
      <c r="E100" s="341"/>
      <c r="F100" s="341"/>
      <c r="G100" s="9">
        <f>G101</f>
        <v>0</v>
      </c>
      <c r="H100" s="129"/>
    </row>
    <row r="101" spans="1:8" s="128" customFormat="1" ht="15.75" hidden="1" x14ac:dyDescent="0.25">
      <c r="A101" s="29" t="s">
        <v>170</v>
      </c>
      <c r="B101" s="341" t="s">
        <v>739</v>
      </c>
      <c r="C101" s="341" t="s">
        <v>139</v>
      </c>
      <c r="D101" s="341" t="s">
        <v>171</v>
      </c>
      <c r="E101" s="341"/>
      <c r="F101" s="341"/>
      <c r="G101" s="9">
        <f>G102</f>
        <v>0</v>
      </c>
      <c r="H101" s="129"/>
    </row>
    <row r="102" spans="1:8" s="128" customFormat="1" ht="31.5" hidden="1" x14ac:dyDescent="0.25">
      <c r="A102" s="150" t="s">
        <v>893</v>
      </c>
      <c r="B102" s="346" t="s">
        <v>740</v>
      </c>
      <c r="C102" s="341" t="s">
        <v>139</v>
      </c>
      <c r="D102" s="341" t="s">
        <v>171</v>
      </c>
      <c r="E102" s="341"/>
      <c r="F102" s="341"/>
      <c r="G102" s="9">
        <f>G103</f>
        <v>0</v>
      </c>
      <c r="H102" s="129"/>
    </row>
    <row r="103" spans="1:8" s="128" customFormat="1" ht="31.5" hidden="1" x14ac:dyDescent="0.25">
      <c r="A103" s="345" t="s">
        <v>123</v>
      </c>
      <c r="B103" s="346" t="s">
        <v>740</v>
      </c>
      <c r="C103" s="341" t="s">
        <v>139</v>
      </c>
      <c r="D103" s="341" t="s">
        <v>171</v>
      </c>
      <c r="E103" s="341" t="s">
        <v>124</v>
      </c>
      <c r="F103" s="341"/>
      <c r="G103" s="9">
        <f>G104</f>
        <v>0</v>
      </c>
      <c r="H103" s="129"/>
    </row>
    <row r="104" spans="1:8" s="128" customFormat="1" ht="31.5" hidden="1" x14ac:dyDescent="0.25">
      <c r="A104" s="345" t="s">
        <v>125</v>
      </c>
      <c r="B104" s="346" t="s">
        <v>740</v>
      </c>
      <c r="C104" s="341" t="s">
        <v>139</v>
      </c>
      <c r="D104" s="341" t="s">
        <v>171</v>
      </c>
      <c r="E104" s="341" t="s">
        <v>126</v>
      </c>
      <c r="F104" s="341"/>
      <c r="G104" s="9">
        <f>'Пр.4 ведом.22'!G331</f>
        <v>0</v>
      </c>
      <c r="H104" s="129"/>
    </row>
    <row r="105" spans="1:8" s="128" customFormat="1" ht="47.25" hidden="1" x14ac:dyDescent="0.25">
      <c r="A105" s="29" t="s">
        <v>185</v>
      </c>
      <c r="B105" s="346" t="s">
        <v>740</v>
      </c>
      <c r="C105" s="341" t="s">
        <v>139</v>
      </c>
      <c r="D105" s="341" t="s">
        <v>171</v>
      </c>
      <c r="E105" s="341" t="s">
        <v>126</v>
      </c>
      <c r="F105" s="8" t="s">
        <v>305</v>
      </c>
      <c r="G105" s="9">
        <f>G104</f>
        <v>0</v>
      </c>
      <c r="H105" s="129"/>
    </row>
    <row r="106" spans="1:8" s="128" customFormat="1" ht="78.75" x14ac:dyDescent="0.25">
      <c r="A106" s="340" t="s">
        <v>852</v>
      </c>
      <c r="B106" s="6" t="s">
        <v>222</v>
      </c>
      <c r="C106" s="6"/>
      <c r="D106" s="6"/>
      <c r="E106" s="6"/>
      <c r="F106" s="7"/>
      <c r="G106" s="35">
        <f>G107</f>
        <v>698.69299999999987</v>
      </c>
      <c r="H106" s="129"/>
    </row>
    <row r="107" spans="1:8" s="128" customFormat="1" ht="47.25" x14ac:dyDescent="0.25">
      <c r="A107" s="164" t="s">
        <v>604</v>
      </c>
      <c r="B107" s="6" t="s">
        <v>478</v>
      </c>
      <c r="C107" s="6"/>
      <c r="D107" s="6"/>
      <c r="E107" s="6"/>
      <c r="F107" s="7"/>
      <c r="G107" s="35">
        <f>G108</f>
        <v>698.69299999999987</v>
      </c>
      <c r="H107" s="129"/>
    </row>
    <row r="108" spans="1:8" s="128" customFormat="1" ht="15.75" x14ac:dyDescent="0.25">
      <c r="A108" s="29" t="s">
        <v>115</v>
      </c>
      <c r="B108" s="341" t="s">
        <v>478</v>
      </c>
      <c r="C108" s="341" t="s">
        <v>116</v>
      </c>
      <c r="D108" s="341"/>
      <c r="E108" s="341"/>
      <c r="F108" s="8"/>
      <c r="G108" s="9">
        <f t="shared" ref="G108:G111" si="9">G109</f>
        <v>698.69299999999987</v>
      </c>
      <c r="H108" s="129"/>
    </row>
    <row r="109" spans="1:8" s="128" customFormat="1" ht="15.75" x14ac:dyDescent="0.25">
      <c r="A109" s="29" t="s">
        <v>131</v>
      </c>
      <c r="B109" s="341" t="s">
        <v>478</v>
      </c>
      <c r="C109" s="341" t="s">
        <v>116</v>
      </c>
      <c r="D109" s="341" t="s">
        <v>132</v>
      </c>
      <c r="E109" s="341"/>
      <c r="F109" s="8"/>
      <c r="G109" s="9">
        <f>G110+G114+G118</f>
        <v>698.69299999999987</v>
      </c>
      <c r="H109" s="129"/>
    </row>
    <row r="110" spans="1:8" s="128" customFormat="1" ht="31.5" x14ac:dyDescent="0.25">
      <c r="A110" s="67" t="s">
        <v>647</v>
      </c>
      <c r="B110" s="341" t="s">
        <v>736</v>
      </c>
      <c r="C110" s="341" t="s">
        <v>116</v>
      </c>
      <c r="D110" s="341" t="s">
        <v>132</v>
      </c>
      <c r="E110" s="341"/>
      <c r="F110" s="8"/>
      <c r="G110" s="9">
        <f t="shared" si="9"/>
        <v>507.99999999999994</v>
      </c>
      <c r="H110" s="129"/>
    </row>
    <row r="111" spans="1:8" s="128" customFormat="1" ht="31.5" x14ac:dyDescent="0.25">
      <c r="A111" s="20" t="s">
        <v>123</v>
      </c>
      <c r="B111" s="341" t="s">
        <v>736</v>
      </c>
      <c r="C111" s="341" t="s">
        <v>116</v>
      </c>
      <c r="D111" s="341" t="s">
        <v>132</v>
      </c>
      <c r="E111" s="341" t="s">
        <v>124</v>
      </c>
      <c r="F111" s="8"/>
      <c r="G111" s="9">
        <f t="shared" si="9"/>
        <v>507.99999999999994</v>
      </c>
      <c r="H111" s="129"/>
    </row>
    <row r="112" spans="1:8" s="128" customFormat="1" ht="31.5" x14ac:dyDescent="0.25">
      <c r="A112" s="20" t="s">
        <v>125</v>
      </c>
      <c r="B112" s="341" t="s">
        <v>736</v>
      </c>
      <c r="C112" s="341" t="s">
        <v>116</v>
      </c>
      <c r="D112" s="341" t="s">
        <v>132</v>
      </c>
      <c r="E112" s="341" t="s">
        <v>126</v>
      </c>
      <c r="F112" s="8"/>
      <c r="G112" s="9">
        <f>'Пр.4 ведом.22'!G283</f>
        <v>507.99999999999994</v>
      </c>
      <c r="H112" s="129"/>
    </row>
    <row r="113" spans="1:8" s="128" customFormat="1" ht="47.25" x14ac:dyDescent="0.25">
      <c r="A113" s="29" t="s">
        <v>185</v>
      </c>
      <c r="B113" s="341" t="s">
        <v>736</v>
      </c>
      <c r="C113" s="341" t="s">
        <v>116</v>
      </c>
      <c r="D113" s="341" t="s">
        <v>132</v>
      </c>
      <c r="E113" s="341" t="s">
        <v>126</v>
      </c>
      <c r="F113" s="8" t="s">
        <v>305</v>
      </c>
      <c r="G113" s="9">
        <f>G112</f>
        <v>507.99999999999994</v>
      </c>
      <c r="H113" s="129"/>
    </row>
    <row r="114" spans="1:8" s="280" customFormat="1" ht="31.5" x14ac:dyDescent="0.25">
      <c r="A114" s="29" t="s">
        <v>1025</v>
      </c>
      <c r="B114" s="341" t="s">
        <v>1059</v>
      </c>
      <c r="C114" s="341" t="s">
        <v>116</v>
      </c>
      <c r="D114" s="341" t="s">
        <v>132</v>
      </c>
      <c r="E114" s="341"/>
      <c r="F114" s="8"/>
      <c r="G114" s="9">
        <f>G115</f>
        <v>153.1</v>
      </c>
      <c r="H114" s="129"/>
    </row>
    <row r="115" spans="1:8" s="280" customFormat="1" ht="31.5" x14ac:dyDescent="0.25">
      <c r="A115" s="20" t="s">
        <v>123</v>
      </c>
      <c r="B115" s="341" t="s">
        <v>1059</v>
      </c>
      <c r="C115" s="341" t="s">
        <v>116</v>
      </c>
      <c r="D115" s="341" t="s">
        <v>132</v>
      </c>
      <c r="E115" s="341" t="s">
        <v>124</v>
      </c>
      <c r="F115" s="8"/>
      <c r="G115" s="9">
        <f>G116</f>
        <v>153.1</v>
      </c>
      <c r="H115" s="129"/>
    </row>
    <row r="116" spans="1:8" s="280" customFormat="1" ht="31.5" x14ac:dyDescent="0.25">
      <c r="A116" s="20" t="s">
        <v>125</v>
      </c>
      <c r="B116" s="341" t="s">
        <v>1059</v>
      </c>
      <c r="C116" s="341" t="s">
        <v>116</v>
      </c>
      <c r="D116" s="341" t="s">
        <v>132</v>
      </c>
      <c r="E116" s="341" t="s">
        <v>126</v>
      </c>
      <c r="F116" s="8"/>
      <c r="G116" s="9">
        <f>'Пр.4 ведом.22'!G286</f>
        <v>153.1</v>
      </c>
      <c r="H116" s="129"/>
    </row>
    <row r="117" spans="1:8" s="280" customFormat="1" ht="47.25" x14ac:dyDescent="0.25">
      <c r="A117" s="29" t="s">
        <v>185</v>
      </c>
      <c r="B117" s="341" t="s">
        <v>1059</v>
      </c>
      <c r="C117" s="341" t="s">
        <v>116</v>
      </c>
      <c r="D117" s="341" t="s">
        <v>132</v>
      </c>
      <c r="E117" s="341" t="s">
        <v>126</v>
      </c>
      <c r="F117" s="8" t="s">
        <v>305</v>
      </c>
      <c r="G117" s="9">
        <f>G116</f>
        <v>153.1</v>
      </c>
      <c r="H117" s="129"/>
    </row>
    <row r="118" spans="1:8" s="343" customFormat="1" ht="31.5" x14ac:dyDescent="0.25">
      <c r="A118" s="20" t="s">
        <v>1149</v>
      </c>
      <c r="B118" s="8" t="s">
        <v>1150</v>
      </c>
      <c r="C118" s="341" t="s">
        <v>116</v>
      </c>
      <c r="D118" s="341" t="s">
        <v>132</v>
      </c>
      <c r="E118" s="341"/>
      <c r="F118" s="8"/>
      <c r="G118" s="9">
        <f>G119</f>
        <v>37.593000000000004</v>
      </c>
      <c r="H118" s="344"/>
    </row>
    <row r="119" spans="1:8" s="343" customFormat="1" ht="31.5" x14ac:dyDescent="0.25">
      <c r="A119" s="20" t="s">
        <v>123</v>
      </c>
      <c r="B119" s="8" t="s">
        <v>1150</v>
      </c>
      <c r="C119" s="341" t="s">
        <v>116</v>
      </c>
      <c r="D119" s="341" t="s">
        <v>132</v>
      </c>
      <c r="E119" s="341" t="s">
        <v>124</v>
      </c>
      <c r="F119" s="8"/>
      <c r="G119" s="9">
        <f>G120</f>
        <v>37.593000000000004</v>
      </c>
      <c r="H119" s="344"/>
    </row>
    <row r="120" spans="1:8" s="343" customFormat="1" ht="31.5" x14ac:dyDescent="0.25">
      <c r="A120" s="20" t="s">
        <v>125</v>
      </c>
      <c r="B120" s="8" t="s">
        <v>1150</v>
      </c>
      <c r="C120" s="341" t="s">
        <v>116</v>
      </c>
      <c r="D120" s="341" t="s">
        <v>132</v>
      </c>
      <c r="E120" s="341" t="s">
        <v>126</v>
      </c>
      <c r="F120" s="8"/>
      <c r="G120" s="9">
        <f>'Пр.4 ведом.22'!G289</f>
        <v>37.593000000000004</v>
      </c>
      <c r="H120" s="344"/>
    </row>
    <row r="121" spans="1:8" s="343" customFormat="1" ht="47.25" x14ac:dyDescent="0.25">
      <c r="A121" s="29" t="s">
        <v>185</v>
      </c>
      <c r="B121" s="8" t="s">
        <v>1150</v>
      </c>
      <c r="C121" s="341" t="s">
        <v>116</v>
      </c>
      <c r="D121" s="341" t="s">
        <v>132</v>
      </c>
      <c r="E121" s="341" t="s">
        <v>126</v>
      </c>
      <c r="F121" s="8" t="s">
        <v>305</v>
      </c>
      <c r="G121" s="9">
        <f>G120</f>
        <v>37.593000000000004</v>
      </c>
      <c r="H121" s="344"/>
    </row>
    <row r="122" spans="1:8" ht="39.200000000000003" customHeight="1" x14ac:dyDescent="0.25">
      <c r="A122" s="34" t="s">
        <v>306</v>
      </c>
      <c r="B122" s="6" t="s">
        <v>223</v>
      </c>
      <c r="C122" s="6"/>
      <c r="D122" s="6"/>
      <c r="E122" s="6"/>
      <c r="F122" s="6"/>
      <c r="G122" s="35">
        <f>G123+G133+G143</f>
        <v>1546.2878900000001</v>
      </c>
    </row>
    <row r="123" spans="1:8" s="128" customFormat="1" ht="31.5" x14ac:dyDescent="0.25">
      <c r="A123" s="298" t="s">
        <v>598</v>
      </c>
      <c r="B123" s="299" t="s">
        <v>482</v>
      </c>
      <c r="C123" s="341"/>
      <c r="D123" s="341"/>
      <c r="E123" s="341"/>
      <c r="F123" s="341"/>
      <c r="G123" s="35">
        <f>G124</f>
        <v>774.98788999999999</v>
      </c>
      <c r="H123" s="129"/>
    </row>
    <row r="124" spans="1:8" ht="15.75" x14ac:dyDescent="0.25">
      <c r="A124" s="29" t="s">
        <v>173</v>
      </c>
      <c r="B124" s="341" t="s">
        <v>482</v>
      </c>
      <c r="C124" s="341" t="s">
        <v>174</v>
      </c>
      <c r="D124" s="341"/>
      <c r="E124" s="341"/>
      <c r="F124" s="341"/>
      <c r="G124" s="9">
        <f t="shared" ref="G124:G130" si="10">G125</f>
        <v>774.98788999999999</v>
      </c>
    </row>
    <row r="125" spans="1:8" ht="15.75" x14ac:dyDescent="0.25">
      <c r="A125" s="29" t="s">
        <v>181</v>
      </c>
      <c r="B125" s="341" t="s">
        <v>482</v>
      </c>
      <c r="C125" s="341" t="s">
        <v>174</v>
      </c>
      <c r="D125" s="341" t="s">
        <v>159</v>
      </c>
      <c r="E125" s="341"/>
      <c r="F125" s="341"/>
      <c r="G125" s="9">
        <f>G126</f>
        <v>774.98788999999999</v>
      </c>
    </row>
    <row r="126" spans="1:8" ht="47.25" x14ac:dyDescent="0.25">
      <c r="A126" s="67" t="s">
        <v>599</v>
      </c>
      <c r="B126" s="346" t="s">
        <v>758</v>
      </c>
      <c r="C126" s="341" t="s">
        <v>174</v>
      </c>
      <c r="D126" s="341" t="s">
        <v>159</v>
      </c>
      <c r="E126" s="341"/>
      <c r="F126" s="341"/>
      <c r="G126" s="9">
        <f>G130+G127</f>
        <v>774.98788999999999</v>
      </c>
    </row>
    <row r="127" spans="1:8" s="128" customFormat="1" ht="31.5" x14ac:dyDescent="0.25">
      <c r="A127" s="20" t="s">
        <v>123</v>
      </c>
      <c r="B127" s="346" t="s">
        <v>758</v>
      </c>
      <c r="C127" s="341" t="s">
        <v>174</v>
      </c>
      <c r="D127" s="341" t="s">
        <v>159</v>
      </c>
      <c r="E127" s="341" t="s">
        <v>124</v>
      </c>
      <c r="F127" s="341"/>
      <c r="G127" s="9">
        <f>G128</f>
        <v>125.18789000000001</v>
      </c>
      <c r="H127" s="129"/>
    </row>
    <row r="128" spans="1:8" s="128" customFormat="1" ht="31.5" x14ac:dyDescent="0.25">
      <c r="A128" s="20" t="s">
        <v>125</v>
      </c>
      <c r="B128" s="346" t="s">
        <v>758</v>
      </c>
      <c r="C128" s="341" t="s">
        <v>174</v>
      </c>
      <c r="D128" s="341" t="s">
        <v>159</v>
      </c>
      <c r="E128" s="341" t="s">
        <v>126</v>
      </c>
      <c r="F128" s="341"/>
      <c r="G128" s="9">
        <f>'Пр.4 ведом.22'!G564</f>
        <v>125.18789000000001</v>
      </c>
      <c r="H128" s="129"/>
    </row>
    <row r="129" spans="1:8" s="128" customFormat="1" ht="47.25" x14ac:dyDescent="0.25">
      <c r="A129" s="29" t="s">
        <v>185</v>
      </c>
      <c r="B129" s="346" t="s">
        <v>758</v>
      </c>
      <c r="C129" s="341" t="s">
        <v>174</v>
      </c>
      <c r="D129" s="341" t="s">
        <v>159</v>
      </c>
      <c r="E129" s="341" t="s">
        <v>126</v>
      </c>
      <c r="F129" s="341" t="s">
        <v>305</v>
      </c>
      <c r="G129" s="9">
        <f>G128</f>
        <v>125.18789000000001</v>
      </c>
      <c r="H129" s="129"/>
    </row>
    <row r="130" spans="1:8" ht="15.75" x14ac:dyDescent="0.25">
      <c r="A130" s="345" t="s">
        <v>177</v>
      </c>
      <c r="B130" s="346" t="s">
        <v>758</v>
      </c>
      <c r="C130" s="341" t="s">
        <v>174</v>
      </c>
      <c r="D130" s="341" t="s">
        <v>159</v>
      </c>
      <c r="E130" s="341" t="s">
        <v>178</v>
      </c>
      <c r="F130" s="341"/>
      <c r="G130" s="9">
        <f t="shared" si="10"/>
        <v>649.79999999999995</v>
      </c>
    </row>
    <row r="131" spans="1:8" ht="31.5" x14ac:dyDescent="0.25">
      <c r="A131" s="345" t="s">
        <v>216</v>
      </c>
      <c r="B131" s="346" t="s">
        <v>758</v>
      </c>
      <c r="C131" s="341" t="s">
        <v>174</v>
      </c>
      <c r="D131" s="341" t="s">
        <v>159</v>
      </c>
      <c r="E131" s="341" t="s">
        <v>217</v>
      </c>
      <c r="F131" s="341"/>
      <c r="G131" s="9">
        <f>'Пр.4 ведом.22'!G566</f>
        <v>649.79999999999995</v>
      </c>
    </row>
    <row r="132" spans="1:8" ht="47.25" x14ac:dyDescent="0.25">
      <c r="A132" s="29" t="s">
        <v>185</v>
      </c>
      <c r="B132" s="346" t="s">
        <v>758</v>
      </c>
      <c r="C132" s="341" t="s">
        <v>174</v>
      </c>
      <c r="D132" s="341" t="s">
        <v>159</v>
      </c>
      <c r="E132" s="341" t="s">
        <v>217</v>
      </c>
      <c r="F132" s="341" t="s">
        <v>305</v>
      </c>
      <c r="G132" s="9">
        <f>G131</f>
        <v>649.79999999999995</v>
      </c>
    </row>
    <row r="133" spans="1:8" s="128" customFormat="1" ht="31.5" x14ac:dyDescent="0.25">
      <c r="A133" s="298" t="s">
        <v>894</v>
      </c>
      <c r="B133" s="299" t="s">
        <v>760</v>
      </c>
      <c r="C133" s="6"/>
      <c r="D133" s="6"/>
      <c r="E133" s="6"/>
      <c r="F133" s="6"/>
      <c r="G133" s="35">
        <f>G134</f>
        <v>192.1</v>
      </c>
      <c r="H133" s="129"/>
    </row>
    <row r="134" spans="1:8" s="128" customFormat="1" ht="15.75" x14ac:dyDescent="0.25">
      <c r="A134" s="29" t="s">
        <v>173</v>
      </c>
      <c r="B134" s="341" t="s">
        <v>760</v>
      </c>
      <c r="C134" s="341" t="s">
        <v>174</v>
      </c>
      <c r="D134" s="341"/>
      <c r="E134" s="341"/>
      <c r="F134" s="341"/>
      <c r="G134" s="9">
        <f t="shared" ref="G134" si="11">G135</f>
        <v>192.1</v>
      </c>
      <c r="H134" s="129"/>
    </row>
    <row r="135" spans="1:8" s="128" customFormat="1" ht="15.75" x14ac:dyDescent="0.25">
      <c r="A135" s="29" t="s">
        <v>181</v>
      </c>
      <c r="B135" s="341" t="s">
        <v>760</v>
      </c>
      <c r="C135" s="341" t="s">
        <v>174</v>
      </c>
      <c r="D135" s="341" t="s">
        <v>159</v>
      </c>
      <c r="E135" s="341"/>
      <c r="F135" s="341"/>
      <c r="G135" s="9">
        <f>G136</f>
        <v>192.1</v>
      </c>
      <c r="H135" s="129"/>
    </row>
    <row r="136" spans="1:8" s="128" customFormat="1" ht="31.5" x14ac:dyDescent="0.25">
      <c r="A136" s="345" t="s">
        <v>759</v>
      </c>
      <c r="B136" s="346" t="s">
        <v>761</v>
      </c>
      <c r="C136" s="341" t="s">
        <v>174</v>
      </c>
      <c r="D136" s="341" t="s">
        <v>159</v>
      </c>
      <c r="E136" s="341"/>
      <c r="F136" s="341"/>
      <c r="G136" s="9">
        <f>G137+G140</f>
        <v>192.1</v>
      </c>
      <c r="H136" s="129"/>
    </row>
    <row r="137" spans="1:8" s="128" customFormat="1" ht="31.5" hidden="1" x14ac:dyDescent="0.25">
      <c r="A137" s="345" t="s">
        <v>123</v>
      </c>
      <c r="B137" s="346" t="s">
        <v>761</v>
      </c>
      <c r="C137" s="341" t="s">
        <v>174</v>
      </c>
      <c r="D137" s="341" t="s">
        <v>159</v>
      </c>
      <c r="E137" s="341" t="s">
        <v>124</v>
      </c>
      <c r="F137" s="341"/>
      <c r="G137" s="9">
        <f>G138</f>
        <v>0</v>
      </c>
      <c r="H137" s="129"/>
    </row>
    <row r="138" spans="1:8" s="128" customFormat="1" ht="31.5" hidden="1" x14ac:dyDescent="0.25">
      <c r="A138" s="345" t="s">
        <v>125</v>
      </c>
      <c r="B138" s="346" t="s">
        <v>761</v>
      </c>
      <c r="C138" s="341" t="s">
        <v>174</v>
      </c>
      <c r="D138" s="341" t="s">
        <v>159</v>
      </c>
      <c r="E138" s="341" t="s">
        <v>126</v>
      </c>
      <c r="F138" s="341"/>
      <c r="G138" s="9">
        <f>'Пр.4 ведом.22'!G570</f>
        <v>0</v>
      </c>
      <c r="H138" s="129"/>
    </row>
    <row r="139" spans="1:8" s="128" customFormat="1" ht="47.25" hidden="1" x14ac:dyDescent="0.25">
      <c r="A139" s="29" t="s">
        <v>185</v>
      </c>
      <c r="B139" s="346" t="s">
        <v>761</v>
      </c>
      <c r="C139" s="341" t="s">
        <v>174</v>
      </c>
      <c r="D139" s="341" t="s">
        <v>159</v>
      </c>
      <c r="E139" s="341" t="s">
        <v>126</v>
      </c>
      <c r="F139" s="341" t="s">
        <v>305</v>
      </c>
      <c r="G139" s="9">
        <f>G138</f>
        <v>0</v>
      </c>
      <c r="H139" s="129"/>
    </row>
    <row r="140" spans="1:8" s="128" customFormat="1" ht="15.75" x14ac:dyDescent="0.25">
      <c r="A140" s="345" t="s">
        <v>177</v>
      </c>
      <c r="B140" s="346" t="s">
        <v>761</v>
      </c>
      <c r="C140" s="341" t="s">
        <v>174</v>
      </c>
      <c r="D140" s="341" t="s">
        <v>159</v>
      </c>
      <c r="E140" s="341" t="s">
        <v>178</v>
      </c>
      <c r="F140" s="341"/>
      <c r="G140" s="9">
        <f>G141</f>
        <v>192.1</v>
      </c>
      <c r="H140" s="129"/>
    </row>
    <row r="141" spans="1:8" s="128" customFormat="1" ht="31.5" x14ac:dyDescent="0.25">
      <c r="A141" s="345" t="s">
        <v>216</v>
      </c>
      <c r="B141" s="346" t="s">
        <v>761</v>
      </c>
      <c r="C141" s="341" t="s">
        <v>174</v>
      </c>
      <c r="D141" s="341" t="s">
        <v>159</v>
      </c>
      <c r="E141" s="341" t="s">
        <v>217</v>
      </c>
      <c r="F141" s="341"/>
      <c r="G141" s="9">
        <f>'Пр.4 ведом.22'!G572</f>
        <v>192.1</v>
      </c>
      <c r="H141" s="129"/>
    </row>
    <row r="142" spans="1:8" s="128" customFormat="1" ht="47.25" x14ac:dyDescent="0.25">
      <c r="A142" s="29" t="s">
        <v>185</v>
      </c>
      <c r="B142" s="346" t="s">
        <v>761</v>
      </c>
      <c r="C142" s="341" t="s">
        <v>174</v>
      </c>
      <c r="D142" s="341" t="s">
        <v>159</v>
      </c>
      <c r="E142" s="341" t="s">
        <v>217</v>
      </c>
      <c r="F142" s="341" t="s">
        <v>305</v>
      </c>
      <c r="G142" s="9">
        <f>G141</f>
        <v>192.1</v>
      </c>
      <c r="H142" s="129"/>
    </row>
    <row r="143" spans="1:8" s="128" customFormat="1" ht="31.5" x14ac:dyDescent="0.25">
      <c r="A143" s="298" t="s">
        <v>558</v>
      </c>
      <c r="B143" s="299" t="s">
        <v>755</v>
      </c>
      <c r="C143" s="6"/>
      <c r="D143" s="6"/>
      <c r="E143" s="6"/>
      <c r="F143" s="6"/>
      <c r="G143" s="35">
        <f>G150+G144</f>
        <v>579.20000000000005</v>
      </c>
      <c r="H143" s="129"/>
    </row>
    <row r="144" spans="1:8" s="128" customFormat="1" ht="15.75" x14ac:dyDescent="0.25">
      <c r="A144" s="345" t="s">
        <v>202</v>
      </c>
      <c r="B144" s="346" t="s">
        <v>755</v>
      </c>
      <c r="C144" s="341" t="s">
        <v>203</v>
      </c>
      <c r="D144" s="341"/>
      <c r="E144" s="6"/>
      <c r="F144" s="6"/>
      <c r="G144" s="9">
        <f>G145</f>
        <v>187</v>
      </c>
      <c r="H144" s="129"/>
    </row>
    <row r="145" spans="1:11" s="128" customFormat="1" ht="15.75" x14ac:dyDescent="0.25">
      <c r="A145" s="345" t="s">
        <v>208</v>
      </c>
      <c r="B145" s="346" t="s">
        <v>755</v>
      </c>
      <c r="C145" s="341" t="s">
        <v>203</v>
      </c>
      <c r="D145" s="341" t="s">
        <v>139</v>
      </c>
      <c r="E145" s="6"/>
      <c r="F145" s="6"/>
      <c r="G145" s="9">
        <f>G146</f>
        <v>187</v>
      </c>
      <c r="H145" s="129"/>
    </row>
    <row r="146" spans="1:11" s="128" customFormat="1" ht="31.5" x14ac:dyDescent="0.25">
      <c r="A146" s="345" t="s">
        <v>557</v>
      </c>
      <c r="B146" s="346" t="s">
        <v>756</v>
      </c>
      <c r="C146" s="341" t="s">
        <v>203</v>
      </c>
      <c r="D146" s="341" t="s">
        <v>139</v>
      </c>
      <c r="E146" s="6"/>
      <c r="F146" s="6"/>
      <c r="G146" s="9">
        <f>G147</f>
        <v>187</v>
      </c>
      <c r="H146" s="129"/>
    </row>
    <row r="147" spans="1:11" s="128" customFormat="1" ht="31.5" x14ac:dyDescent="0.25">
      <c r="A147" s="345" t="s">
        <v>123</v>
      </c>
      <c r="B147" s="346" t="s">
        <v>756</v>
      </c>
      <c r="C147" s="341" t="s">
        <v>203</v>
      </c>
      <c r="D147" s="341" t="s">
        <v>139</v>
      </c>
      <c r="E147" s="341" t="s">
        <v>124</v>
      </c>
      <c r="F147" s="341"/>
      <c r="G147" s="9">
        <f>G148</f>
        <v>187</v>
      </c>
      <c r="H147" s="129"/>
    </row>
    <row r="148" spans="1:11" s="128" customFormat="1" ht="31.5" x14ac:dyDescent="0.25">
      <c r="A148" s="345" t="s">
        <v>125</v>
      </c>
      <c r="B148" s="346" t="s">
        <v>756</v>
      </c>
      <c r="C148" s="341" t="s">
        <v>203</v>
      </c>
      <c r="D148" s="341" t="s">
        <v>139</v>
      </c>
      <c r="E148" s="341" t="s">
        <v>126</v>
      </c>
      <c r="F148" s="341"/>
      <c r="G148" s="9">
        <f>'Пр.4 ведом.22'!G546</f>
        <v>187</v>
      </c>
      <c r="H148" s="129"/>
    </row>
    <row r="149" spans="1:11" s="128" customFormat="1" ht="47.25" x14ac:dyDescent="0.25">
      <c r="A149" s="29" t="s">
        <v>185</v>
      </c>
      <c r="B149" s="346" t="s">
        <v>756</v>
      </c>
      <c r="C149" s="341" t="s">
        <v>203</v>
      </c>
      <c r="D149" s="341" t="s">
        <v>139</v>
      </c>
      <c r="E149" s="341" t="s">
        <v>126</v>
      </c>
      <c r="F149" s="341" t="s">
        <v>305</v>
      </c>
      <c r="G149" s="9">
        <f>G148</f>
        <v>187</v>
      </c>
      <c r="H149" s="129"/>
    </row>
    <row r="150" spans="1:11" s="128" customFormat="1" ht="15.75" x14ac:dyDescent="0.25">
      <c r="A150" s="29" t="s">
        <v>173</v>
      </c>
      <c r="B150" s="346" t="s">
        <v>755</v>
      </c>
      <c r="C150" s="341" t="s">
        <v>174</v>
      </c>
      <c r="D150" s="341"/>
      <c r="E150" s="341"/>
      <c r="F150" s="341"/>
      <c r="G150" s="9">
        <f>G151</f>
        <v>392.2</v>
      </c>
      <c r="H150" s="129"/>
    </row>
    <row r="151" spans="1:11" s="128" customFormat="1" ht="15.75" x14ac:dyDescent="0.25">
      <c r="A151" s="29" t="s">
        <v>181</v>
      </c>
      <c r="B151" s="346" t="s">
        <v>755</v>
      </c>
      <c r="C151" s="341" t="s">
        <v>174</v>
      </c>
      <c r="D151" s="341" t="s">
        <v>159</v>
      </c>
      <c r="E151" s="341"/>
      <c r="F151" s="341"/>
      <c r="G151" s="9">
        <f>G152</f>
        <v>392.2</v>
      </c>
      <c r="H151" s="129"/>
    </row>
    <row r="152" spans="1:11" s="128" customFormat="1" ht="15.75" x14ac:dyDescent="0.25">
      <c r="A152" s="345" t="s">
        <v>596</v>
      </c>
      <c r="B152" s="346" t="s">
        <v>757</v>
      </c>
      <c r="C152" s="341" t="s">
        <v>174</v>
      </c>
      <c r="D152" s="341" t="s">
        <v>159</v>
      </c>
      <c r="E152" s="341"/>
      <c r="F152" s="341"/>
      <c r="G152" s="9">
        <f>G153</f>
        <v>392.2</v>
      </c>
      <c r="H152" s="129"/>
    </row>
    <row r="153" spans="1:11" s="128" customFormat="1" ht="15.75" x14ac:dyDescent="0.25">
      <c r="A153" s="345" t="s">
        <v>177</v>
      </c>
      <c r="B153" s="346" t="s">
        <v>757</v>
      </c>
      <c r="C153" s="341" t="s">
        <v>174</v>
      </c>
      <c r="D153" s="341" t="s">
        <v>159</v>
      </c>
      <c r="E153" s="341" t="s">
        <v>178</v>
      </c>
      <c r="F153" s="341"/>
      <c r="G153" s="9">
        <f>G154</f>
        <v>392.2</v>
      </c>
      <c r="H153" s="129"/>
    </row>
    <row r="154" spans="1:11" s="128" customFormat="1" ht="31.5" x14ac:dyDescent="0.25">
      <c r="A154" s="345" t="s">
        <v>216</v>
      </c>
      <c r="B154" s="346" t="s">
        <v>757</v>
      </c>
      <c r="C154" s="341" t="s">
        <v>174</v>
      </c>
      <c r="D154" s="341" t="s">
        <v>159</v>
      </c>
      <c r="E154" s="341" t="s">
        <v>217</v>
      </c>
      <c r="F154" s="341"/>
      <c r="G154" s="9">
        <f>'Пр.4 ведом.22'!G576</f>
        <v>392.2</v>
      </c>
      <c r="H154" s="129"/>
    </row>
    <row r="155" spans="1:11" s="128" customFormat="1" ht="47.25" x14ac:dyDescent="0.25">
      <c r="A155" s="29" t="s">
        <v>185</v>
      </c>
      <c r="B155" s="346" t="s">
        <v>757</v>
      </c>
      <c r="C155" s="341" t="s">
        <v>174</v>
      </c>
      <c r="D155" s="341" t="s">
        <v>159</v>
      </c>
      <c r="E155" s="341" t="s">
        <v>217</v>
      </c>
      <c r="F155" s="341" t="s">
        <v>305</v>
      </c>
      <c r="G155" s="9">
        <f>G154</f>
        <v>392.2</v>
      </c>
      <c r="H155" s="129"/>
    </row>
    <row r="156" spans="1:11" ht="31.5" x14ac:dyDescent="0.25">
      <c r="A156" s="34" t="s">
        <v>861</v>
      </c>
      <c r="B156" s="6" t="s">
        <v>237</v>
      </c>
      <c r="C156" s="6"/>
      <c r="D156" s="6"/>
      <c r="E156" s="6"/>
      <c r="F156" s="6"/>
      <c r="G156" s="35">
        <f>G157+G178+G215+G252+G259+G288+G300+G307+G375+G314+G321+G328+G340+G354+G361+G347+G368</f>
        <v>344682.777</v>
      </c>
      <c r="H156" s="129">
        <v>269740.2</v>
      </c>
      <c r="I156" s="15">
        <f>H156-G156</f>
        <v>-74942.57699999999</v>
      </c>
      <c r="K156" s="151"/>
    </row>
    <row r="157" spans="1:11" s="128" customFormat="1" ht="31.5" x14ac:dyDescent="0.25">
      <c r="A157" s="298" t="s">
        <v>505</v>
      </c>
      <c r="B157" s="299" t="s">
        <v>764</v>
      </c>
      <c r="C157" s="6"/>
      <c r="D157" s="6"/>
      <c r="E157" s="6"/>
      <c r="F157" s="6"/>
      <c r="G157" s="35">
        <f>G158+G165+G170+G174</f>
        <v>86663.09</v>
      </c>
      <c r="H157" s="129"/>
    </row>
    <row r="158" spans="1:11" ht="15.75" x14ac:dyDescent="0.25">
      <c r="A158" s="20" t="s">
        <v>186</v>
      </c>
      <c r="B158" s="341" t="s">
        <v>764</v>
      </c>
      <c r="C158" s="341" t="s">
        <v>187</v>
      </c>
      <c r="D158" s="341"/>
      <c r="E158" s="341"/>
      <c r="F158" s="341"/>
      <c r="G158" s="9">
        <f>G159</f>
        <v>17453.150000000001</v>
      </c>
    </row>
    <row r="159" spans="1:11" ht="15.75" x14ac:dyDescent="0.25">
      <c r="A159" s="29" t="s">
        <v>236</v>
      </c>
      <c r="B159" s="341" t="s">
        <v>764</v>
      </c>
      <c r="C159" s="341" t="s">
        <v>187</v>
      </c>
      <c r="D159" s="341" t="s">
        <v>116</v>
      </c>
      <c r="E159" s="341"/>
      <c r="F159" s="341"/>
      <c r="G159" s="9">
        <f>G160</f>
        <v>17453.150000000001</v>
      </c>
    </row>
    <row r="160" spans="1:11" ht="31.5" x14ac:dyDescent="0.25">
      <c r="A160" s="345" t="s">
        <v>763</v>
      </c>
      <c r="B160" s="346" t="s">
        <v>765</v>
      </c>
      <c r="C160" s="341" t="s">
        <v>187</v>
      </c>
      <c r="D160" s="341" t="s">
        <v>116</v>
      </c>
      <c r="E160" s="341"/>
      <c r="F160" s="341"/>
      <c r="G160" s="9">
        <f t="shared" ref="G160:G161" si="12">G161</f>
        <v>17453.150000000001</v>
      </c>
    </row>
    <row r="161" spans="1:8" ht="31.5" x14ac:dyDescent="0.25">
      <c r="A161" s="345" t="s">
        <v>191</v>
      </c>
      <c r="B161" s="346" t="s">
        <v>765</v>
      </c>
      <c r="C161" s="341" t="s">
        <v>187</v>
      </c>
      <c r="D161" s="341" t="s">
        <v>116</v>
      </c>
      <c r="E161" s="341" t="s">
        <v>192</v>
      </c>
      <c r="F161" s="341"/>
      <c r="G161" s="9">
        <f t="shared" si="12"/>
        <v>17453.150000000001</v>
      </c>
    </row>
    <row r="162" spans="1:8" ht="15.75" x14ac:dyDescent="0.25">
      <c r="A162" s="345" t="s">
        <v>193</v>
      </c>
      <c r="B162" s="346" t="s">
        <v>765</v>
      </c>
      <c r="C162" s="341" t="s">
        <v>187</v>
      </c>
      <c r="D162" s="341" t="s">
        <v>116</v>
      </c>
      <c r="E162" s="341" t="s">
        <v>194</v>
      </c>
      <c r="F162" s="341"/>
      <c r="G162" s="295">
        <f>'Пр.4 ведом.22'!G693</f>
        <v>17453.150000000001</v>
      </c>
    </row>
    <row r="163" spans="1:8" s="128" customFormat="1" ht="31.5" x14ac:dyDescent="0.25">
      <c r="A163" s="20" t="s">
        <v>235</v>
      </c>
      <c r="B163" s="346" t="s">
        <v>765</v>
      </c>
      <c r="C163" s="341" t="s">
        <v>187</v>
      </c>
      <c r="D163" s="341" t="s">
        <v>116</v>
      </c>
      <c r="E163" s="341" t="s">
        <v>194</v>
      </c>
      <c r="F163" s="341" t="s">
        <v>307</v>
      </c>
      <c r="G163" s="9">
        <f>G162</f>
        <v>17453.150000000001</v>
      </c>
      <c r="H163" s="129"/>
    </row>
    <row r="164" spans="1:8" s="128" customFormat="1" ht="15.75" x14ac:dyDescent="0.25">
      <c r="A164" s="20" t="s">
        <v>239</v>
      </c>
      <c r="B164" s="341" t="s">
        <v>764</v>
      </c>
      <c r="C164" s="341" t="s">
        <v>187</v>
      </c>
      <c r="D164" s="341" t="s">
        <v>158</v>
      </c>
      <c r="E164" s="341"/>
      <c r="F164" s="341"/>
      <c r="G164" s="9">
        <f>G165</f>
        <v>32181.86</v>
      </c>
      <c r="H164" s="129"/>
    </row>
    <row r="165" spans="1:8" s="128" customFormat="1" ht="31.5" x14ac:dyDescent="0.25">
      <c r="A165" s="345" t="s">
        <v>240</v>
      </c>
      <c r="B165" s="346" t="s">
        <v>778</v>
      </c>
      <c r="C165" s="341" t="s">
        <v>187</v>
      </c>
      <c r="D165" s="341" t="s">
        <v>158</v>
      </c>
      <c r="E165" s="341"/>
      <c r="F165" s="341"/>
      <c r="G165" s="295">
        <f>G166</f>
        <v>32181.86</v>
      </c>
      <c r="H165" s="129"/>
    </row>
    <row r="166" spans="1:8" s="128" customFormat="1" ht="31.5" x14ac:dyDescent="0.25">
      <c r="A166" s="345" t="s">
        <v>191</v>
      </c>
      <c r="B166" s="346" t="s">
        <v>778</v>
      </c>
      <c r="C166" s="341" t="s">
        <v>187</v>
      </c>
      <c r="D166" s="341" t="s">
        <v>158</v>
      </c>
      <c r="E166" s="341" t="s">
        <v>192</v>
      </c>
      <c r="F166" s="341"/>
      <c r="G166" s="295">
        <f>G167</f>
        <v>32181.86</v>
      </c>
      <c r="H166" s="129"/>
    </row>
    <row r="167" spans="1:8" s="128" customFormat="1" ht="15.75" x14ac:dyDescent="0.25">
      <c r="A167" s="345" t="s">
        <v>193</v>
      </c>
      <c r="B167" s="346" t="s">
        <v>778</v>
      </c>
      <c r="C167" s="341" t="s">
        <v>187</v>
      </c>
      <c r="D167" s="341" t="s">
        <v>158</v>
      </c>
      <c r="E167" s="341" t="s">
        <v>194</v>
      </c>
      <c r="F167" s="341"/>
      <c r="G167" s="295">
        <f>'Пр.4 ведом.22'!G758</f>
        <v>32181.86</v>
      </c>
      <c r="H167" s="129"/>
    </row>
    <row r="168" spans="1:8" s="128" customFormat="1" ht="31.5" x14ac:dyDescent="0.25">
      <c r="A168" s="20" t="s">
        <v>235</v>
      </c>
      <c r="B168" s="346" t="s">
        <v>778</v>
      </c>
      <c r="C168" s="341" t="s">
        <v>187</v>
      </c>
      <c r="D168" s="341" t="s">
        <v>158</v>
      </c>
      <c r="E168" s="341" t="s">
        <v>194</v>
      </c>
      <c r="F168" s="341" t="s">
        <v>307</v>
      </c>
      <c r="G168" s="9">
        <f>G167</f>
        <v>32181.86</v>
      </c>
      <c r="H168" s="129"/>
    </row>
    <row r="169" spans="1:8" s="128" customFormat="1" ht="15.75" x14ac:dyDescent="0.25">
      <c r="A169" s="20" t="s">
        <v>188</v>
      </c>
      <c r="B169" s="341" t="s">
        <v>764</v>
      </c>
      <c r="C169" s="341" t="s">
        <v>187</v>
      </c>
      <c r="D169" s="341" t="s">
        <v>159</v>
      </c>
      <c r="E169" s="341"/>
      <c r="F169" s="341"/>
      <c r="G169" s="295">
        <f>G170+G174</f>
        <v>37028.080000000002</v>
      </c>
      <c r="H169" s="129"/>
    </row>
    <row r="170" spans="1:8" s="128" customFormat="1" ht="47.25" x14ac:dyDescent="0.25">
      <c r="A170" s="20" t="s">
        <v>190</v>
      </c>
      <c r="B170" s="346" t="s">
        <v>786</v>
      </c>
      <c r="C170" s="341" t="s">
        <v>187</v>
      </c>
      <c r="D170" s="341" t="s">
        <v>159</v>
      </c>
      <c r="E170" s="6"/>
      <c r="F170" s="6"/>
      <c r="G170" s="9">
        <f t="shared" ref="G170:G171" si="13">G171</f>
        <v>37028.080000000002</v>
      </c>
      <c r="H170" s="129"/>
    </row>
    <row r="171" spans="1:8" s="128" customFormat="1" ht="31.5" x14ac:dyDescent="0.25">
      <c r="A171" s="20" t="s">
        <v>191</v>
      </c>
      <c r="B171" s="346" t="s">
        <v>786</v>
      </c>
      <c r="C171" s="341" t="s">
        <v>187</v>
      </c>
      <c r="D171" s="341" t="s">
        <v>159</v>
      </c>
      <c r="E171" s="341" t="s">
        <v>192</v>
      </c>
      <c r="F171" s="341"/>
      <c r="G171" s="9">
        <f t="shared" si="13"/>
        <v>37028.080000000002</v>
      </c>
      <c r="H171" s="129"/>
    </row>
    <row r="172" spans="1:8" s="128" customFormat="1" ht="15.75" x14ac:dyDescent="0.25">
      <c r="A172" s="20" t="s">
        <v>193</v>
      </c>
      <c r="B172" s="346" t="s">
        <v>786</v>
      </c>
      <c r="C172" s="341" t="s">
        <v>187</v>
      </c>
      <c r="D172" s="341" t="s">
        <v>159</v>
      </c>
      <c r="E172" s="341" t="s">
        <v>194</v>
      </c>
      <c r="F172" s="341"/>
      <c r="G172" s="295">
        <f>'Пр.4 ведом.22'!G850</f>
        <v>37028.080000000002</v>
      </c>
      <c r="H172" s="129"/>
    </row>
    <row r="173" spans="1:8" s="128" customFormat="1" ht="31.5" x14ac:dyDescent="0.25">
      <c r="A173" s="20" t="s">
        <v>235</v>
      </c>
      <c r="B173" s="346" t="s">
        <v>786</v>
      </c>
      <c r="C173" s="341" t="s">
        <v>187</v>
      </c>
      <c r="D173" s="341" t="s">
        <v>159</v>
      </c>
      <c r="E173" s="341" t="s">
        <v>194</v>
      </c>
      <c r="F173" s="341" t="s">
        <v>307</v>
      </c>
      <c r="G173" s="9">
        <f>G172</f>
        <v>37028.080000000002</v>
      </c>
      <c r="H173" s="129"/>
    </row>
    <row r="174" spans="1:8" s="128" customFormat="1" ht="31.5" hidden="1" x14ac:dyDescent="0.25">
      <c r="A174" s="22" t="s">
        <v>974</v>
      </c>
      <c r="B174" s="346" t="s">
        <v>973</v>
      </c>
      <c r="C174" s="346" t="s">
        <v>187</v>
      </c>
      <c r="D174" s="346" t="s">
        <v>159</v>
      </c>
      <c r="E174" s="346"/>
      <c r="F174" s="341"/>
      <c r="G174" s="9">
        <f>G175</f>
        <v>0</v>
      </c>
      <c r="H174" s="129"/>
    </row>
    <row r="175" spans="1:8" s="128" customFormat="1" ht="31.5" hidden="1" x14ac:dyDescent="0.25">
      <c r="A175" s="345" t="s">
        <v>191</v>
      </c>
      <c r="B175" s="346" t="s">
        <v>973</v>
      </c>
      <c r="C175" s="346" t="s">
        <v>187</v>
      </c>
      <c r="D175" s="346" t="s">
        <v>159</v>
      </c>
      <c r="E175" s="346" t="s">
        <v>192</v>
      </c>
      <c r="F175" s="341"/>
      <c r="G175" s="9">
        <f>G176</f>
        <v>0</v>
      </c>
      <c r="H175" s="129"/>
    </row>
    <row r="176" spans="1:8" s="128" customFormat="1" ht="15.75" hidden="1" x14ac:dyDescent="0.25">
      <c r="A176" s="22" t="s">
        <v>193</v>
      </c>
      <c r="B176" s="346" t="s">
        <v>973</v>
      </c>
      <c r="C176" s="346" t="s">
        <v>187</v>
      </c>
      <c r="D176" s="346" t="s">
        <v>159</v>
      </c>
      <c r="E176" s="346" t="s">
        <v>194</v>
      </c>
      <c r="F176" s="341"/>
      <c r="G176" s="9">
        <f>'Пр.4 ведом.22'!G853</f>
        <v>0</v>
      </c>
      <c r="H176" s="129"/>
    </row>
    <row r="177" spans="1:10" s="128" customFormat="1" ht="31.5" hidden="1" x14ac:dyDescent="0.25">
      <c r="A177" s="108" t="s">
        <v>235</v>
      </c>
      <c r="B177" s="346" t="s">
        <v>973</v>
      </c>
      <c r="C177" s="346" t="s">
        <v>187</v>
      </c>
      <c r="D177" s="346" t="s">
        <v>159</v>
      </c>
      <c r="E177" s="346" t="s">
        <v>194</v>
      </c>
      <c r="F177" s="341" t="s">
        <v>307</v>
      </c>
      <c r="G177" s="9">
        <f>G174</f>
        <v>0</v>
      </c>
      <c r="H177" s="129"/>
    </row>
    <row r="178" spans="1:10" s="128" customFormat="1" ht="47.25" x14ac:dyDescent="0.25">
      <c r="A178" s="298" t="s">
        <v>469</v>
      </c>
      <c r="B178" s="299" t="s">
        <v>766</v>
      </c>
      <c r="C178" s="6"/>
      <c r="D178" s="6"/>
      <c r="E178" s="6"/>
      <c r="F178" s="6"/>
      <c r="G178" s="294">
        <f>G179</f>
        <v>221946.66300000003</v>
      </c>
      <c r="H178" s="129"/>
    </row>
    <row r="179" spans="1:10" s="128" customFormat="1" ht="15.75" x14ac:dyDescent="0.25">
      <c r="A179" s="20" t="s">
        <v>186</v>
      </c>
      <c r="B179" s="341" t="s">
        <v>766</v>
      </c>
      <c r="C179" s="341" t="s">
        <v>187</v>
      </c>
      <c r="D179" s="341"/>
      <c r="E179" s="341"/>
      <c r="F179" s="341"/>
      <c r="G179" s="9">
        <f>G180+G189+G206</f>
        <v>221946.66300000003</v>
      </c>
      <c r="H179" s="129"/>
    </row>
    <row r="180" spans="1:10" s="128" customFormat="1" ht="15.75" x14ac:dyDescent="0.25">
      <c r="A180" s="29" t="s">
        <v>236</v>
      </c>
      <c r="B180" s="341" t="s">
        <v>766</v>
      </c>
      <c r="C180" s="341" t="s">
        <v>187</v>
      </c>
      <c r="D180" s="341" t="s">
        <v>116</v>
      </c>
      <c r="E180" s="341"/>
      <c r="F180" s="341"/>
      <c r="G180" s="9">
        <f>G181+G185</f>
        <v>71195.937000000005</v>
      </c>
      <c r="H180" s="129"/>
    </row>
    <row r="181" spans="1:10" s="128" customFormat="1" ht="94.5" x14ac:dyDescent="0.25">
      <c r="A181" s="22" t="s">
        <v>200</v>
      </c>
      <c r="B181" s="346" t="s">
        <v>885</v>
      </c>
      <c r="C181" s="341" t="s">
        <v>187</v>
      </c>
      <c r="D181" s="341" t="s">
        <v>116</v>
      </c>
      <c r="E181" s="341"/>
      <c r="F181" s="341"/>
      <c r="G181" s="295">
        <f>G182</f>
        <v>2629</v>
      </c>
      <c r="H181" s="129"/>
      <c r="J181" s="151"/>
    </row>
    <row r="182" spans="1:10" s="128" customFormat="1" ht="31.5" x14ac:dyDescent="0.25">
      <c r="A182" s="345" t="s">
        <v>191</v>
      </c>
      <c r="B182" s="346" t="s">
        <v>885</v>
      </c>
      <c r="C182" s="341" t="s">
        <v>187</v>
      </c>
      <c r="D182" s="341" t="s">
        <v>116</v>
      </c>
      <c r="E182" s="341" t="s">
        <v>192</v>
      </c>
      <c r="F182" s="341"/>
      <c r="G182" s="295">
        <f>G183</f>
        <v>2629</v>
      </c>
      <c r="H182" s="129"/>
    </row>
    <row r="183" spans="1:10" s="128" customFormat="1" ht="15.75" x14ac:dyDescent="0.25">
      <c r="A183" s="345" t="s">
        <v>193</v>
      </c>
      <c r="B183" s="346" t="s">
        <v>885</v>
      </c>
      <c r="C183" s="341" t="s">
        <v>187</v>
      </c>
      <c r="D183" s="341" t="s">
        <v>116</v>
      </c>
      <c r="E183" s="341" t="s">
        <v>194</v>
      </c>
      <c r="F183" s="341"/>
      <c r="G183" s="295">
        <f>'Пр.3 Рд,пр, ЦС,ВР 22'!F589</f>
        <v>2629</v>
      </c>
      <c r="H183" s="129"/>
    </row>
    <row r="184" spans="1:10" s="128" customFormat="1" ht="31.5" x14ac:dyDescent="0.25">
      <c r="A184" s="20" t="s">
        <v>235</v>
      </c>
      <c r="B184" s="346" t="s">
        <v>885</v>
      </c>
      <c r="C184" s="341" t="s">
        <v>187</v>
      </c>
      <c r="D184" s="341" t="s">
        <v>116</v>
      </c>
      <c r="E184" s="341" t="s">
        <v>194</v>
      </c>
      <c r="F184" s="341" t="s">
        <v>307</v>
      </c>
      <c r="G184" s="9">
        <f>G183</f>
        <v>2629</v>
      </c>
      <c r="H184" s="129"/>
    </row>
    <row r="185" spans="1:10" s="128" customFormat="1" ht="47.25" x14ac:dyDescent="0.25">
      <c r="A185" s="345" t="s">
        <v>1165</v>
      </c>
      <c r="B185" s="346" t="s">
        <v>1166</v>
      </c>
      <c r="C185" s="341" t="s">
        <v>187</v>
      </c>
      <c r="D185" s="341" t="s">
        <v>116</v>
      </c>
      <c r="E185" s="341"/>
      <c r="F185" s="341"/>
      <c r="G185" s="295">
        <f>G186</f>
        <v>68566.937000000005</v>
      </c>
      <c r="H185" s="129"/>
      <c r="J185" s="151"/>
    </row>
    <row r="186" spans="1:10" s="128" customFormat="1" ht="31.5" x14ac:dyDescent="0.25">
      <c r="A186" s="345" t="s">
        <v>191</v>
      </c>
      <c r="B186" s="346" t="s">
        <v>1166</v>
      </c>
      <c r="C186" s="341" t="s">
        <v>187</v>
      </c>
      <c r="D186" s="341" t="s">
        <v>116</v>
      </c>
      <c r="E186" s="341" t="s">
        <v>192</v>
      </c>
      <c r="F186" s="341"/>
      <c r="G186" s="295">
        <f>G187</f>
        <v>68566.937000000005</v>
      </c>
      <c r="H186" s="129"/>
      <c r="J186" s="151"/>
    </row>
    <row r="187" spans="1:10" s="128" customFormat="1" ht="15.75" x14ac:dyDescent="0.25">
      <c r="A187" s="345" t="s">
        <v>193</v>
      </c>
      <c r="B187" s="346" t="s">
        <v>1166</v>
      </c>
      <c r="C187" s="341" t="s">
        <v>187</v>
      </c>
      <c r="D187" s="341" t="s">
        <v>116</v>
      </c>
      <c r="E187" s="341" t="s">
        <v>194</v>
      </c>
      <c r="F187" s="341"/>
      <c r="G187" s="295">
        <f>'Пр.3 Рд,пр, ЦС,ВР 22'!F592</f>
        <v>68566.937000000005</v>
      </c>
      <c r="H187" s="129"/>
    </row>
    <row r="188" spans="1:10" s="128" customFormat="1" ht="31.5" x14ac:dyDescent="0.25">
      <c r="A188" s="20" t="s">
        <v>235</v>
      </c>
      <c r="B188" s="346" t="s">
        <v>1166</v>
      </c>
      <c r="C188" s="341" t="s">
        <v>187</v>
      </c>
      <c r="D188" s="341" t="s">
        <v>116</v>
      </c>
      <c r="E188" s="341" t="s">
        <v>194</v>
      </c>
      <c r="F188" s="341" t="s">
        <v>307</v>
      </c>
      <c r="G188" s="9">
        <f>G187</f>
        <v>68566.937000000005</v>
      </c>
      <c r="H188" s="129"/>
    </row>
    <row r="189" spans="1:10" ht="15.75" x14ac:dyDescent="0.25">
      <c r="A189" s="20" t="s">
        <v>239</v>
      </c>
      <c r="B189" s="341" t="s">
        <v>766</v>
      </c>
      <c r="C189" s="341" t="s">
        <v>187</v>
      </c>
      <c r="D189" s="341" t="s">
        <v>158</v>
      </c>
      <c r="E189" s="341"/>
      <c r="F189" s="341"/>
      <c r="G189" s="9">
        <f>G190+G194+G198+G202</f>
        <v>149207.22600000002</v>
      </c>
    </row>
    <row r="190" spans="1:10" s="128" customFormat="1" ht="63" x14ac:dyDescent="0.25">
      <c r="A190" s="345" t="s">
        <v>887</v>
      </c>
      <c r="B190" s="346" t="s">
        <v>888</v>
      </c>
      <c r="C190" s="341" t="s">
        <v>187</v>
      </c>
      <c r="D190" s="341" t="s">
        <v>158</v>
      </c>
      <c r="E190" s="341"/>
      <c r="F190" s="341"/>
      <c r="G190" s="9">
        <f>G191</f>
        <v>7062.0999999999995</v>
      </c>
      <c r="H190" s="129"/>
    </row>
    <row r="191" spans="1:10" s="128" customFormat="1" ht="31.5" x14ac:dyDescent="0.25">
      <c r="A191" s="345" t="s">
        <v>191</v>
      </c>
      <c r="B191" s="346" t="s">
        <v>888</v>
      </c>
      <c r="C191" s="341" t="s">
        <v>187</v>
      </c>
      <c r="D191" s="341" t="s">
        <v>158</v>
      </c>
      <c r="E191" s="341" t="s">
        <v>192</v>
      </c>
      <c r="F191" s="341"/>
      <c r="G191" s="9">
        <f>G192</f>
        <v>7062.0999999999995</v>
      </c>
      <c r="H191" s="129"/>
    </row>
    <row r="192" spans="1:10" s="128" customFormat="1" ht="15.75" x14ac:dyDescent="0.25">
      <c r="A192" s="345" t="s">
        <v>193</v>
      </c>
      <c r="B192" s="346" t="s">
        <v>888</v>
      </c>
      <c r="C192" s="341" t="s">
        <v>187</v>
      </c>
      <c r="D192" s="341" t="s">
        <v>158</v>
      </c>
      <c r="E192" s="341" t="s">
        <v>194</v>
      </c>
      <c r="F192" s="341"/>
      <c r="G192" s="9">
        <f>'Пр.4 ведом.22'!G762</f>
        <v>7062.0999999999995</v>
      </c>
      <c r="H192" s="129"/>
    </row>
    <row r="193" spans="1:8" s="128" customFormat="1" ht="31.5" x14ac:dyDescent="0.25">
      <c r="A193" s="29" t="s">
        <v>235</v>
      </c>
      <c r="B193" s="346" t="s">
        <v>888</v>
      </c>
      <c r="C193" s="341" t="s">
        <v>187</v>
      </c>
      <c r="D193" s="341" t="s">
        <v>158</v>
      </c>
      <c r="E193" s="341" t="s">
        <v>194</v>
      </c>
      <c r="F193" s="341" t="s">
        <v>307</v>
      </c>
      <c r="G193" s="9">
        <f>G190</f>
        <v>7062.0999999999995</v>
      </c>
      <c r="H193" s="129"/>
    </row>
    <row r="194" spans="1:8" s="128" customFormat="1" ht="94.5" x14ac:dyDescent="0.25">
      <c r="A194" s="22" t="s">
        <v>245</v>
      </c>
      <c r="B194" s="346" t="s">
        <v>885</v>
      </c>
      <c r="C194" s="341" t="s">
        <v>187</v>
      </c>
      <c r="D194" s="341" t="s">
        <v>158</v>
      </c>
      <c r="E194" s="341"/>
      <c r="F194" s="341"/>
      <c r="G194" s="295">
        <f>G195</f>
        <v>4631</v>
      </c>
      <c r="H194" s="129"/>
    </row>
    <row r="195" spans="1:8" s="128" customFormat="1" ht="31.5" x14ac:dyDescent="0.25">
      <c r="A195" s="345" t="s">
        <v>191</v>
      </c>
      <c r="B195" s="346" t="s">
        <v>885</v>
      </c>
      <c r="C195" s="341" t="s">
        <v>187</v>
      </c>
      <c r="D195" s="341" t="s">
        <v>158</v>
      </c>
      <c r="E195" s="341" t="s">
        <v>192</v>
      </c>
      <c r="F195" s="341"/>
      <c r="G195" s="295">
        <f>G196</f>
        <v>4631</v>
      </c>
      <c r="H195" s="129"/>
    </row>
    <row r="196" spans="1:8" s="128" customFormat="1" ht="15.75" x14ac:dyDescent="0.25">
      <c r="A196" s="345" t="s">
        <v>193</v>
      </c>
      <c r="B196" s="346" t="s">
        <v>885</v>
      </c>
      <c r="C196" s="341" t="s">
        <v>187</v>
      </c>
      <c r="D196" s="341" t="s">
        <v>158</v>
      </c>
      <c r="E196" s="341" t="s">
        <v>194</v>
      </c>
      <c r="F196" s="341"/>
      <c r="G196" s="295">
        <f>'Пр.3 Рд,пр, ЦС,ВР 22'!F654</f>
        <v>4631</v>
      </c>
      <c r="H196" s="129"/>
    </row>
    <row r="197" spans="1:8" s="128" customFormat="1" ht="31.5" x14ac:dyDescent="0.25">
      <c r="A197" s="20" t="s">
        <v>235</v>
      </c>
      <c r="B197" s="346" t="s">
        <v>885</v>
      </c>
      <c r="C197" s="341" t="s">
        <v>187</v>
      </c>
      <c r="D197" s="341" t="s">
        <v>158</v>
      </c>
      <c r="E197" s="341" t="s">
        <v>194</v>
      </c>
      <c r="F197" s="341" t="s">
        <v>307</v>
      </c>
      <c r="G197" s="9">
        <f>G196</f>
        <v>4631</v>
      </c>
      <c r="H197" s="129"/>
    </row>
    <row r="198" spans="1:8" s="128" customFormat="1" ht="47.25" x14ac:dyDescent="0.25">
      <c r="A198" s="22" t="s">
        <v>244</v>
      </c>
      <c r="B198" s="346" t="s">
        <v>779</v>
      </c>
      <c r="C198" s="341" t="s">
        <v>187</v>
      </c>
      <c r="D198" s="341" t="s">
        <v>158</v>
      </c>
      <c r="E198" s="341"/>
      <c r="F198" s="341"/>
      <c r="G198" s="295">
        <f>G199</f>
        <v>721.09999999999991</v>
      </c>
      <c r="H198" s="129"/>
    </row>
    <row r="199" spans="1:8" s="128" customFormat="1" ht="31.5" x14ac:dyDescent="0.25">
      <c r="A199" s="345" t="s">
        <v>191</v>
      </c>
      <c r="B199" s="346" t="s">
        <v>779</v>
      </c>
      <c r="C199" s="341" t="s">
        <v>187</v>
      </c>
      <c r="D199" s="341" t="s">
        <v>158</v>
      </c>
      <c r="E199" s="341" t="s">
        <v>192</v>
      </c>
      <c r="F199" s="341"/>
      <c r="G199" s="295">
        <f>G200</f>
        <v>721.09999999999991</v>
      </c>
      <c r="H199" s="129"/>
    </row>
    <row r="200" spans="1:8" s="128" customFormat="1" ht="15.75" x14ac:dyDescent="0.25">
      <c r="A200" s="345" t="s">
        <v>193</v>
      </c>
      <c r="B200" s="346" t="s">
        <v>779</v>
      </c>
      <c r="C200" s="341" t="s">
        <v>187</v>
      </c>
      <c r="D200" s="341" t="s">
        <v>158</v>
      </c>
      <c r="E200" s="341" t="s">
        <v>194</v>
      </c>
      <c r="F200" s="341"/>
      <c r="G200" s="295">
        <f>'Пр.3 Рд,пр, ЦС,ВР 22'!F657</f>
        <v>721.09999999999991</v>
      </c>
      <c r="H200" s="129"/>
    </row>
    <row r="201" spans="1:8" s="128" customFormat="1" ht="31.5" x14ac:dyDescent="0.25">
      <c r="A201" s="20" t="s">
        <v>235</v>
      </c>
      <c r="B201" s="346" t="s">
        <v>779</v>
      </c>
      <c r="C201" s="341" t="s">
        <v>187</v>
      </c>
      <c r="D201" s="341" t="s">
        <v>158</v>
      </c>
      <c r="E201" s="341" t="s">
        <v>194</v>
      </c>
      <c r="F201" s="341" t="s">
        <v>307</v>
      </c>
      <c r="G201" s="9">
        <f>G200</f>
        <v>721.09999999999991</v>
      </c>
      <c r="H201" s="129"/>
    </row>
    <row r="202" spans="1:8" s="343" customFormat="1" ht="47.25" x14ac:dyDescent="0.25">
      <c r="A202" s="345" t="s">
        <v>1165</v>
      </c>
      <c r="B202" s="346" t="s">
        <v>1166</v>
      </c>
      <c r="C202" s="341" t="s">
        <v>187</v>
      </c>
      <c r="D202" s="341" t="s">
        <v>158</v>
      </c>
      <c r="E202" s="341"/>
      <c r="F202" s="341"/>
      <c r="G202" s="295">
        <f>G203</f>
        <v>136793.02600000001</v>
      </c>
      <c r="H202" s="344"/>
    </row>
    <row r="203" spans="1:8" s="343" customFormat="1" ht="31.5" x14ac:dyDescent="0.25">
      <c r="A203" s="345" t="s">
        <v>191</v>
      </c>
      <c r="B203" s="346" t="s">
        <v>1166</v>
      </c>
      <c r="C203" s="341" t="s">
        <v>187</v>
      </c>
      <c r="D203" s="341" t="s">
        <v>158</v>
      </c>
      <c r="E203" s="341" t="s">
        <v>192</v>
      </c>
      <c r="F203" s="341"/>
      <c r="G203" s="295">
        <f>G204</f>
        <v>136793.02600000001</v>
      </c>
      <c r="H203" s="344"/>
    </row>
    <row r="204" spans="1:8" s="343" customFormat="1" ht="15.75" x14ac:dyDescent="0.25">
      <c r="A204" s="345" t="s">
        <v>193</v>
      </c>
      <c r="B204" s="346" t="s">
        <v>1166</v>
      </c>
      <c r="C204" s="341" t="s">
        <v>187</v>
      </c>
      <c r="D204" s="341" t="s">
        <v>158</v>
      </c>
      <c r="E204" s="341" t="s">
        <v>194</v>
      </c>
      <c r="F204" s="341"/>
      <c r="G204" s="295">
        <f>'Пр.4 ведом.22'!G771</f>
        <v>136793.02600000001</v>
      </c>
      <c r="H204" s="344"/>
    </row>
    <row r="205" spans="1:8" s="343" customFormat="1" ht="31.5" x14ac:dyDescent="0.25">
      <c r="A205" s="20" t="s">
        <v>235</v>
      </c>
      <c r="B205" s="346" t="s">
        <v>1166</v>
      </c>
      <c r="C205" s="341" t="s">
        <v>187</v>
      </c>
      <c r="D205" s="341" t="s">
        <v>158</v>
      </c>
      <c r="E205" s="341" t="s">
        <v>194</v>
      </c>
      <c r="F205" s="341" t="s">
        <v>307</v>
      </c>
      <c r="G205" s="9">
        <f>G204</f>
        <v>136793.02600000001</v>
      </c>
      <c r="H205" s="344"/>
    </row>
    <row r="206" spans="1:8" ht="15.75" x14ac:dyDescent="0.25">
      <c r="A206" s="20" t="s">
        <v>188</v>
      </c>
      <c r="B206" s="341" t="s">
        <v>766</v>
      </c>
      <c r="C206" s="341" t="s">
        <v>187</v>
      </c>
      <c r="D206" s="341" t="s">
        <v>159</v>
      </c>
      <c r="E206" s="341"/>
      <c r="F206" s="341"/>
      <c r="G206" s="295">
        <f>G207+G211</f>
        <v>1543.5</v>
      </c>
    </row>
    <row r="207" spans="1:8" s="128" customFormat="1" ht="94.5" x14ac:dyDescent="0.25">
      <c r="A207" s="22" t="s">
        <v>200</v>
      </c>
      <c r="B207" s="346" t="s">
        <v>885</v>
      </c>
      <c r="C207" s="341" t="s">
        <v>187</v>
      </c>
      <c r="D207" s="341" t="s">
        <v>159</v>
      </c>
      <c r="E207" s="341"/>
      <c r="F207" s="341"/>
      <c r="G207" s="295">
        <f>G208</f>
        <v>1030</v>
      </c>
      <c r="H207" s="129"/>
    </row>
    <row r="208" spans="1:8" s="128" customFormat="1" ht="31.5" x14ac:dyDescent="0.25">
      <c r="A208" s="345" t="s">
        <v>191</v>
      </c>
      <c r="B208" s="346" t="s">
        <v>885</v>
      </c>
      <c r="C208" s="341" t="s">
        <v>187</v>
      </c>
      <c r="D208" s="341" t="s">
        <v>159</v>
      </c>
      <c r="E208" s="341" t="s">
        <v>192</v>
      </c>
      <c r="F208" s="341"/>
      <c r="G208" s="295">
        <f>G209</f>
        <v>1030</v>
      </c>
      <c r="H208" s="129"/>
    </row>
    <row r="209" spans="1:8" s="128" customFormat="1" ht="15.75" x14ac:dyDescent="0.25">
      <c r="A209" s="345" t="s">
        <v>193</v>
      </c>
      <c r="B209" s="346" t="s">
        <v>885</v>
      </c>
      <c r="C209" s="341" t="s">
        <v>187</v>
      </c>
      <c r="D209" s="341" t="s">
        <v>159</v>
      </c>
      <c r="E209" s="341" t="s">
        <v>194</v>
      </c>
      <c r="F209" s="341"/>
      <c r="G209" s="295">
        <f>'Пр.4 ведом.22'!G856</f>
        <v>1030</v>
      </c>
      <c r="H209" s="129"/>
    </row>
    <row r="210" spans="1:8" s="128" customFormat="1" ht="31.5" x14ac:dyDescent="0.25">
      <c r="A210" s="20" t="s">
        <v>235</v>
      </c>
      <c r="B210" s="346" t="s">
        <v>885</v>
      </c>
      <c r="C210" s="341" t="s">
        <v>187</v>
      </c>
      <c r="D210" s="341" t="s">
        <v>159</v>
      </c>
      <c r="E210" s="341" t="s">
        <v>194</v>
      </c>
      <c r="F210" s="341" t="s">
        <v>307</v>
      </c>
      <c r="G210" s="9">
        <f>G209</f>
        <v>1030</v>
      </c>
      <c r="H210" s="129"/>
    </row>
    <row r="211" spans="1:8" s="128" customFormat="1" ht="47.25" x14ac:dyDescent="0.25">
      <c r="A211" s="345" t="s">
        <v>1165</v>
      </c>
      <c r="B211" s="346" t="s">
        <v>1166</v>
      </c>
      <c r="C211" s="341" t="s">
        <v>187</v>
      </c>
      <c r="D211" s="341" t="s">
        <v>159</v>
      </c>
      <c r="E211" s="341"/>
      <c r="F211" s="341"/>
      <c r="G211" s="295">
        <f>G212</f>
        <v>513.49999999999989</v>
      </c>
      <c r="H211" s="129"/>
    </row>
    <row r="212" spans="1:8" s="128" customFormat="1" ht="31.5" x14ac:dyDescent="0.25">
      <c r="A212" s="345" t="s">
        <v>191</v>
      </c>
      <c r="B212" s="346" t="s">
        <v>1166</v>
      </c>
      <c r="C212" s="341" t="s">
        <v>187</v>
      </c>
      <c r="D212" s="341" t="s">
        <v>159</v>
      </c>
      <c r="E212" s="341" t="s">
        <v>192</v>
      </c>
      <c r="F212" s="341"/>
      <c r="G212" s="295">
        <f>G213</f>
        <v>513.49999999999989</v>
      </c>
      <c r="H212" s="129"/>
    </row>
    <row r="213" spans="1:8" s="128" customFormat="1" ht="15.75" x14ac:dyDescent="0.25">
      <c r="A213" s="345" t="s">
        <v>193</v>
      </c>
      <c r="B213" s="346" t="s">
        <v>1166</v>
      </c>
      <c r="C213" s="341" t="s">
        <v>187</v>
      </c>
      <c r="D213" s="341" t="s">
        <v>159</v>
      </c>
      <c r="E213" s="341" t="s">
        <v>194</v>
      </c>
      <c r="F213" s="341"/>
      <c r="G213" s="295">
        <f>'Пр.4 ведом.22'!G860</f>
        <v>513.49999999999989</v>
      </c>
      <c r="H213" s="129"/>
    </row>
    <row r="214" spans="1:8" s="128" customFormat="1" ht="31.5" x14ac:dyDescent="0.25">
      <c r="A214" s="20" t="s">
        <v>235</v>
      </c>
      <c r="B214" s="346" t="s">
        <v>1166</v>
      </c>
      <c r="C214" s="341" t="s">
        <v>187</v>
      </c>
      <c r="D214" s="341" t="s">
        <v>159</v>
      </c>
      <c r="E214" s="341" t="s">
        <v>194</v>
      </c>
      <c r="F214" s="341" t="s">
        <v>307</v>
      </c>
      <c r="G214" s="9">
        <f>G213</f>
        <v>513.49999999999989</v>
      </c>
      <c r="H214" s="129"/>
    </row>
    <row r="215" spans="1:8" s="128" customFormat="1" ht="31.5" x14ac:dyDescent="0.25">
      <c r="A215" s="298" t="s">
        <v>810</v>
      </c>
      <c r="B215" s="299" t="s">
        <v>768</v>
      </c>
      <c r="C215" s="6"/>
      <c r="D215" s="6"/>
      <c r="E215" s="6"/>
      <c r="F215" s="6"/>
      <c r="G215" s="35">
        <f>G216+G230</f>
        <v>6254</v>
      </c>
      <c r="H215" s="129"/>
    </row>
    <row r="216" spans="1:8" ht="15.75" x14ac:dyDescent="0.25">
      <c r="A216" s="20" t="s">
        <v>186</v>
      </c>
      <c r="B216" s="346" t="s">
        <v>768</v>
      </c>
      <c r="C216" s="341" t="s">
        <v>187</v>
      </c>
      <c r="D216" s="341"/>
      <c r="E216" s="341"/>
      <c r="F216" s="341"/>
      <c r="G216" s="9">
        <f t="shared" ref="G216" si="14">G217</f>
        <v>5053.4000000000005</v>
      </c>
    </row>
    <row r="217" spans="1:8" ht="15.75" x14ac:dyDescent="0.25">
      <c r="A217" s="29" t="s">
        <v>236</v>
      </c>
      <c r="B217" s="346" t="s">
        <v>768</v>
      </c>
      <c r="C217" s="341" t="s">
        <v>187</v>
      </c>
      <c r="D217" s="341" t="s">
        <v>116</v>
      </c>
      <c r="E217" s="341"/>
      <c r="F217" s="341"/>
      <c r="G217" s="9">
        <f>G218+G222+G226</f>
        <v>5053.4000000000005</v>
      </c>
    </row>
    <row r="218" spans="1:8" ht="31.5" hidden="1" x14ac:dyDescent="0.25">
      <c r="A218" s="20" t="s">
        <v>195</v>
      </c>
      <c r="B218" s="346" t="s">
        <v>827</v>
      </c>
      <c r="C218" s="341" t="s">
        <v>187</v>
      </c>
      <c r="D218" s="341" t="s">
        <v>116</v>
      </c>
      <c r="E218" s="341"/>
      <c r="F218" s="341"/>
      <c r="G218" s="9">
        <f t="shared" ref="G218:G219" si="15">G219</f>
        <v>0</v>
      </c>
    </row>
    <row r="219" spans="1:8" ht="31.5" hidden="1" x14ac:dyDescent="0.25">
      <c r="A219" s="20" t="s">
        <v>191</v>
      </c>
      <c r="B219" s="346" t="s">
        <v>827</v>
      </c>
      <c r="C219" s="341" t="s">
        <v>187</v>
      </c>
      <c r="D219" s="341" t="s">
        <v>116</v>
      </c>
      <c r="E219" s="341" t="s">
        <v>192</v>
      </c>
      <c r="F219" s="341"/>
      <c r="G219" s="9">
        <f t="shared" si="15"/>
        <v>0</v>
      </c>
    </row>
    <row r="220" spans="1:8" ht="15.75" hidden="1" x14ac:dyDescent="0.25">
      <c r="A220" s="20" t="s">
        <v>193</v>
      </c>
      <c r="B220" s="346" t="s">
        <v>827</v>
      </c>
      <c r="C220" s="341" t="s">
        <v>187</v>
      </c>
      <c r="D220" s="341" t="s">
        <v>116</v>
      </c>
      <c r="E220" s="341" t="s">
        <v>194</v>
      </c>
      <c r="F220" s="341"/>
      <c r="G220" s="9">
        <f>'Пр.4 ведом.22'!G704</f>
        <v>0</v>
      </c>
    </row>
    <row r="221" spans="1:8" s="128" customFormat="1" ht="31.5" hidden="1" x14ac:dyDescent="0.25">
      <c r="A221" s="20" t="s">
        <v>235</v>
      </c>
      <c r="B221" s="346" t="s">
        <v>827</v>
      </c>
      <c r="C221" s="341" t="s">
        <v>187</v>
      </c>
      <c r="D221" s="341" t="s">
        <v>116</v>
      </c>
      <c r="E221" s="341" t="s">
        <v>194</v>
      </c>
      <c r="F221" s="341" t="s">
        <v>307</v>
      </c>
      <c r="G221" s="9">
        <f>G220</f>
        <v>0</v>
      </c>
      <c r="H221" s="129"/>
    </row>
    <row r="222" spans="1:8" ht="31.7" hidden="1" customHeight="1" x14ac:dyDescent="0.25">
      <c r="A222" s="20" t="s">
        <v>196</v>
      </c>
      <c r="B222" s="346" t="s">
        <v>828</v>
      </c>
      <c r="C222" s="341" t="s">
        <v>187</v>
      </c>
      <c r="D222" s="341" t="s">
        <v>116</v>
      </c>
      <c r="E222" s="341"/>
      <c r="F222" s="341"/>
      <c r="G222" s="9">
        <f t="shared" ref="G222:G223" si="16">G223</f>
        <v>0</v>
      </c>
    </row>
    <row r="223" spans="1:8" ht="31.7" hidden="1" customHeight="1" x14ac:dyDescent="0.25">
      <c r="A223" s="20" t="s">
        <v>191</v>
      </c>
      <c r="B223" s="346" t="s">
        <v>828</v>
      </c>
      <c r="C223" s="341" t="s">
        <v>187</v>
      </c>
      <c r="D223" s="341" t="s">
        <v>116</v>
      </c>
      <c r="E223" s="341" t="s">
        <v>192</v>
      </c>
      <c r="F223" s="341"/>
      <c r="G223" s="9">
        <f t="shared" si="16"/>
        <v>0</v>
      </c>
    </row>
    <row r="224" spans="1:8" ht="15.75" hidden="1" customHeight="1" x14ac:dyDescent="0.25">
      <c r="A224" s="20" t="s">
        <v>193</v>
      </c>
      <c r="B224" s="346" t="s">
        <v>828</v>
      </c>
      <c r="C224" s="341" t="s">
        <v>187</v>
      </c>
      <c r="D224" s="341" t="s">
        <v>116</v>
      </c>
      <c r="E224" s="341" t="s">
        <v>194</v>
      </c>
      <c r="F224" s="341"/>
      <c r="G224" s="9">
        <f>'Пр.4 ведом.22'!G707</f>
        <v>0</v>
      </c>
    </row>
    <row r="225" spans="1:8" s="128" customFormat="1" ht="35.450000000000003" hidden="1" customHeight="1" x14ac:dyDescent="0.25">
      <c r="A225" s="20" t="s">
        <v>235</v>
      </c>
      <c r="B225" s="346" t="s">
        <v>828</v>
      </c>
      <c r="C225" s="341" t="s">
        <v>187</v>
      </c>
      <c r="D225" s="341" t="s">
        <v>116</v>
      </c>
      <c r="E225" s="341" t="s">
        <v>194</v>
      </c>
      <c r="F225" s="341" t="s">
        <v>307</v>
      </c>
      <c r="G225" s="9">
        <f>G224</f>
        <v>0</v>
      </c>
      <c r="H225" s="129"/>
    </row>
    <row r="226" spans="1:8" ht="31.5" x14ac:dyDescent="0.25">
      <c r="A226" s="20" t="s">
        <v>238</v>
      </c>
      <c r="B226" s="346" t="s">
        <v>769</v>
      </c>
      <c r="C226" s="341" t="s">
        <v>187</v>
      </c>
      <c r="D226" s="341" t="s">
        <v>116</v>
      </c>
      <c r="E226" s="341"/>
      <c r="F226" s="341"/>
      <c r="G226" s="9">
        <f t="shared" ref="G226:G227" si="17">G227</f>
        <v>5053.4000000000005</v>
      </c>
    </row>
    <row r="227" spans="1:8" ht="33.75" customHeight="1" x14ac:dyDescent="0.25">
      <c r="A227" s="20" t="s">
        <v>191</v>
      </c>
      <c r="B227" s="346" t="s">
        <v>769</v>
      </c>
      <c r="C227" s="341" t="s">
        <v>187</v>
      </c>
      <c r="D227" s="341" t="s">
        <v>116</v>
      </c>
      <c r="E227" s="341" t="s">
        <v>192</v>
      </c>
      <c r="F227" s="341"/>
      <c r="G227" s="9">
        <f t="shared" si="17"/>
        <v>5053.4000000000005</v>
      </c>
    </row>
    <row r="228" spans="1:8" ht="15.75" x14ac:dyDescent="0.25">
      <c r="A228" s="20" t="s">
        <v>193</v>
      </c>
      <c r="B228" s="346" t="s">
        <v>769</v>
      </c>
      <c r="C228" s="341" t="s">
        <v>187</v>
      </c>
      <c r="D228" s="341" t="s">
        <v>116</v>
      </c>
      <c r="E228" s="341" t="s">
        <v>194</v>
      </c>
      <c r="F228" s="341"/>
      <c r="G228" s="295">
        <f>'Пр.4 ведом.22'!G710</f>
        <v>5053.4000000000005</v>
      </c>
    </row>
    <row r="229" spans="1:8" s="128" customFormat="1" ht="31.5" x14ac:dyDescent="0.25">
      <c r="A229" s="20" t="s">
        <v>235</v>
      </c>
      <c r="B229" s="346" t="s">
        <v>769</v>
      </c>
      <c r="C229" s="341" t="s">
        <v>187</v>
      </c>
      <c r="D229" s="341" t="s">
        <v>116</v>
      </c>
      <c r="E229" s="341" t="s">
        <v>194</v>
      </c>
      <c r="F229" s="341" t="s">
        <v>307</v>
      </c>
      <c r="G229" s="9">
        <f>G228</f>
        <v>5053.4000000000005</v>
      </c>
      <c r="H229" s="129"/>
    </row>
    <row r="230" spans="1:8" s="128" customFormat="1" ht="15.75" x14ac:dyDescent="0.25">
      <c r="A230" s="20" t="s">
        <v>186</v>
      </c>
      <c r="B230" s="341" t="s">
        <v>768</v>
      </c>
      <c r="C230" s="341" t="s">
        <v>187</v>
      </c>
      <c r="D230" s="341"/>
      <c r="E230" s="341"/>
      <c r="F230" s="341"/>
      <c r="G230" s="9">
        <f t="shared" ref="G230" si="18">G231</f>
        <v>1200.5999999999999</v>
      </c>
      <c r="H230" s="129"/>
    </row>
    <row r="231" spans="1:8" s="128" customFormat="1" ht="15.75" x14ac:dyDescent="0.25">
      <c r="A231" s="20" t="s">
        <v>239</v>
      </c>
      <c r="B231" s="341" t="s">
        <v>768</v>
      </c>
      <c r="C231" s="341" t="s">
        <v>187</v>
      </c>
      <c r="D231" s="341" t="s">
        <v>158</v>
      </c>
      <c r="E231" s="341"/>
      <c r="F231" s="341"/>
      <c r="G231" s="9">
        <f>G232+G236+G240+G244+G248</f>
        <v>1200.5999999999999</v>
      </c>
      <c r="H231" s="129"/>
    </row>
    <row r="232" spans="1:8" s="128" customFormat="1" ht="47.25" hidden="1" x14ac:dyDescent="0.25">
      <c r="A232" s="345" t="s">
        <v>365</v>
      </c>
      <c r="B232" s="346" t="s">
        <v>826</v>
      </c>
      <c r="C232" s="341" t="s">
        <v>187</v>
      </c>
      <c r="D232" s="341" t="s">
        <v>158</v>
      </c>
      <c r="E232" s="341"/>
      <c r="F232" s="341"/>
      <c r="G232" s="295">
        <f>G233</f>
        <v>0</v>
      </c>
      <c r="H232" s="129"/>
    </row>
    <row r="233" spans="1:8" s="128" customFormat="1" ht="31.5" hidden="1" x14ac:dyDescent="0.25">
      <c r="A233" s="345" t="s">
        <v>191</v>
      </c>
      <c r="B233" s="346" t="s">
        <v>826</v>
      </c>
      <c r="C233" s="341" t="s">
        <v>187</v>
      </c>
      <c r="D233" s="341" t="s">
        <v>158</v>
      </c>
      <c r="E233" s="341" t="s">
        <v>192</v>
      </c>
      <c r="F233" s="341"/>
      <c r="G233" s="295">
        <f>G234</f>
        <v>0</v>
      </c>
      <c r="H233" s="129"/>
    </row>
    <row r="234" spans="1:8" s="128" customFormat="1" ht="15.75" hidden="1" x14ac:dyDescent="0.25">
      <c r="A234" s="345" t="s">
        <v>193</v>
      </c>
      <c r="B234" s="346" t="s">
        <v>826</v>
      </c>
      <c r="C234" s="341" t="s">
        <v>187</v>
      </c>
      <c r="D234" s="341" t="s">
        <v>158</v>
      </c>
      <c r="E234" s="341" t="s">
        <v>194</v>
      </c>
      <c r="F234" s="341"/>
      <c r="G234" s="295">
        <f>'Пр.4 ведом.22'!G775</f>
        <v>0</v>
      </c>
      <c r="H234" s="129"/>
    </row>
    <row r="235" spans="1:8" s="128" customFormat="1" ht="31.5" hidden="1" x14ac:dyDescent="0.25">
      <c r="A235" s="20" t="s">
        <v>235</v>
      </c>
      <c r="B235" s="346" t="s">
        <v>826</v>
      </c>
      <c r="C235" s="341" t="s">
        <v>187</v>
      </c>
      <c r="D235" s="341" t="s">
        <v>158</v>
      </c>
      <c r="E235" s="341" t="s">
        <v>194</v>
      </c>
      <c r="F235" s="341" t="s">
        <v>307</v>
      </c>
      <c r="G235" s="9">
        <f>G234</f>
        <v>0</v>
      </c>
      <c r="H235" s="129"/>
    </row>
    <row r="236" spans="1:8" s="128" customFormat="1" ht="31.5" x14ac:dyDescent="0.25">
      <c r="A236" s="345" t="s">
        <v>195</v>
      </c>
      <c r="B236" s="346" t="s">
        <v>827</v>
      </c>
      <c r="C236" s="341" t="s">
        <v>187</v>
      </c>
      <c r="D236" s="341" t="s">
        <v>158</v>
      </c>
      <c r="E236" s="341"/>
      <c r="F236" s="341"/>
      <c r="G236" s="295">
        <f t="shared" ref="G236:G237" si="19">G237</f>
        <v>900</v>
      </c>
      <c r="H236" s="129"/>
    </row>
    <row r="237" spans="1:8" s="128" customFormat="1" ht="31.5" x14ac:dyDescent="0.25">
      <c r="A237" s="345" t="s">
        <v>191</v>
      </c>
      <c r="B237" s="346" t="s">
        <v>827</v>
      </c>
      <c r="C237" s="341" t="s">
        <v>187</v>
      </c>
      <c r="D237" s="341" t="s">
        <v>158</v>
      </c>
      <c r="E237" s="341" t="s">
        <v>192</v>
      </c>
      <c r="F237" s="341"/>
      <c r="G237" s="295">
        <f t="shared" si="19"/>
        <v>900</v>
      </c>
      <c r="H237" s="129"/>
    </row>
    <row r="238" spans="1:8" s="128" customFormat="1" ht="15.75" x14ac:dyDescent="0.25">
      <c r="A238" s="345" t="s">
        <v>193</v>
      </c>
      <c r="B238" s="346" t="s">
        <v>827</v>
      </c>
      <c r="C238" s="341" t="s">
        <v>187</v>
      </c>
      <c r="D238" s="341" t="s">
        <v>158</v>
      </c>
      <c r="E238" s="341" t="s">
        <v>194</v>
      </c>
      <c r="F238" s="341"/>
      <c r="G238" s="295">
        <f>'Пр.4 ведом.22'!G778</f>
        <v>900</v>
      </c>
      <c r="H238" s="129"/>
    </row>
    <row r="239" spans="1:8" s="128" customFormat="1" ht="31.5" x14ac:dyDescent="0.25">
      <c r="A239" s="20" t="s">
        <v>235</v>
      </c>
      <c r="B239" s="346" t="s">
        <v>827</v>
      </c>
      <c r="C239" s="341" t="s">
        <v>187</v>
      </c>
      <c r="D239" s="341" t="s">
        <v>158</v>
      </c>
      <c r="E239" s="341" t="s">
        <v>194</v>
      </c>
      <c r="F239" s="341" t="s">
        <v>307</v>
      </c>
      <c r="G239" s="9">
        <f>G238</f>
        <v>900</v>
      </c>
      <c r="H239" s="129"/>
    </row>
    <row r="240" spans="1:8" s="128" customFormat="1" ht="31.5" hidden="1" x14ac:dyDescent="0.25">
      <c r="A240" s="345" t="s">
        <v>196</v>
      </c>
      <c r="B240" s="346" t="s">
        <v>828</v>
      </c>
      <c r="C240" s="341" t="s">
        <v>187</v>
      </c>
      <c r="D240" s="341" t="s">
        <v>158</v>
      </c>
      <c r="E240" s="341"/>
      <c r="F240" s="341"/>
      <c r="G240" s="295">
        <f t="shared" ref="G240:G241" si="20">G241</f>
        <v>0</v>
      </c>
      <c r="H240" s="129"/>
    </row>
    <row r="241" spans="1:8" s="128" customFormat="1" ht="31.5" hidden="1" x14ac:dyDescent="0.25">
      <c r="A241" s="345" t="s">
        <v>191</v>
      </c>
      <c r="B241" s="346" t="s">
        <v>828</v>
      </c>
      <c r="C241" s="341" t="s">
        <v>187</v>
      </c>
      <c r="D241" s="341" t="s">
        <v>158</v>
      </c>
      <c r="E241" s="341" t="s">
        <v>192</v>
      </c>
      <c r="F241" s="341"/>
      <c r="G241" s="295">
        <f t="shared" si="20"/>
        <v>0</v>
      </c>
      <c r="H241" s="129"/>
    </row>
    <row r="242" spans="1:8" s="128" customFormat="1" ht="15.75" hidden="1" x14ac:dyDescent="0.25">
      <c r="A242" s="345" t="s">
        <v>193</v>
      </c>
      <c r="B242" s="346" t="s">
        <v>828</v>
      </c>
      <c r="C242" s="341" t="s">
        <v>187</v>
      </c>
      <c r="D242" s="341" t="s">
        <v>158</v>
      </c>
      <c r="E242" s="341" t="s">
        <v>194</v>
      </c>
      <c r="F242" s="341"/>
      <c r="G242" s="295">
        <f>'Пр.4 ведом.22'!G781</f>
        <v>0</v>
      </c>
      <c r="H242" s="129"/>
    </row>
    <row r="243" spans="1:8" s="128" customFormat="1" ht="31.5" hidden="1" x14ac:dyDescent="0.25">
      <c r="A243" s="20" t="s">
        <v>235</v>
      </c>
      <c r="B243" s="346" t="s">
        <v>828</v>
      </c>
      <c r="C243" s="341" t="s">
        <v>187</v>
      </c>
      <c r="D243" s="341" t="s">
        <v>158</v>
      </c>
      <c r="E243" s="341" t="s">
        <v>194</v>
      </c>
      <c r="F243" s="341" t="s">
        <v>307</v>
      </c>
      <c r="G243" s="9">
        <f>G242</f>
        <v>0</v>
      </c>
      <c r="H243" s="129"/>
    </row>
    <row r="244" spans="1:8" s="128" customFormat="1" ht="31.5" x14ac:dyDescent="0.25">
      <c r="A244" s="20" t="s">
        <v>197</v>
      </c>
      <c r="B244" s="346" t="s">
        <v>781</v>
      </c>
      <c r="C244" s="341" t="s">
        <v>187</v>
      </c>
      <c r="D244" s="341" t="s">
        <v>158</v>
      </c>
      <c r="E244" s="341"/>
      <c r="F244" s="341"/>
      <c r="G244" s="9">
        <f t="shared" ref="G244:G245" si="21">G245</f>
        <v>208.6</v>
      </c>
      <c r="H244" s="129"/>
    </row>
    <row r="245" spans="1:8" s="128" customFormat="1" ht="31.5" x14ac:dyDescent="0.25">
      <c r="A245" s="20" t="s">
        <v>191</v>
      </c>
      <c r="B245" s="346" t="s">
        <v>781</v>
      </c>
      <c r="C245" s="341" t="s">
        <v>187</v>
      </c>
      <c r="D245" s="341" t="s">
        <v>158</v>
      </c>
      <c r="E245" s="341" t="s">
        <v>192</v>
      </c>
      <c r="F245" s="341"/>
      <c r="G245" s="9">
        <f t="shared" si="21"/>
        <v>208.6</v>
      </c>
      <c r="H245" s="129"/>
    </row>
    <row r="246" spans="1:8" s="128" customFormat="1" ht="15.75" x14ac:dyDescent="0.25">
      <c r="A246" s="20" t="s">
        <v>193</v>
      </c>
      <c r="B246" s="346" t="s">
        <v>781</v>
      </c>
      <c r="C246" s="341" t="s">
        <v>187</v>
      </c>
      <c r="D246" s="341" t="s">
        <v>158</v>
      </c>
      <c r="E246" s="341" t="s">
        <v>194</v>
      </c>
      <c r="F246" s="341"/>
      <c r="G246" s="9">
        <f>'Пр.4 ведом.22'!G784</f>
        <v>208.6</v>
      </c>
      <c r="H246" s="129"/>
    </row>
    <row r="247" spans="1:8" s="128" customFormat="1" ht="31.5" x14ac:dyDescent="0.25">
      <c r="A247" s="20" t="s">
        <v>235</v>
      </c>
      <c r="B247" s="346" t="s">
        <v>781</v>
      </c>
      <c r="C247" s="341" t="s">
        <v>187</v>
      </c>
      <c r="D247" s="341" t="s">
        <v>158</v>
      </c>
      <c r="E247" s="341" t="s">
        <v>194</v>
      </c>
      <c r="F247" s="341" t="s">
        <v>307</v>
      </c>
      <c r="G247" s="9">
        <f>G246</f>
        <v>208.6</v>
      </c>
      <c r="H247" s="129"/>
    </row>
    <row r="248" spans="1:8" s="343" customFormat="1" ht="47.25" x14ac:dyDescent="0.25">
      <c r="A248" s="345" t="s">
        <v>1357</v>
      </c>
      <c r="B248" s="346" t="s">
        <v>1356</v>
      </c>
      <c r="C248" s="341" t="s">
        <v>187</v>
      </c>
      <c r="D248" s="341" t="s">
        <v>158</v>
      </c>
      <c r="E248" s="341"/>
      <c r="F248" s="341"/>
      <c r="G248" s="9">
        <f>'Пр.4 ведом.22'!G787</f>
        <v>92</v>
      </c>
      <c r="H248" s="344"/>
    </row>
    <row r="249" spans="1:8" s="343" customFormat="1" ht="31.5" x14ac:dyDescent="0.25">
      <c r="A249" s="643" t="s">
        <v>191</v>
      </c>
      <c r="B249" s="346" t="s">
        <v>1356</v>
      </c>
      <c r="C249" s="341" t="s">
        <v>187</v>
      </c>
      <c r="D249" s="341" t="s">
        <v>158</v>
      </c>
      <c r="E249" s="341" t="s">
        <v>192</v>
      </c>
      <c r="F249" s="341"/>
      <c r="G249" s="9">
        <f>G248</f>
        <v>92</v>
      </c>
      <c r="H249" s="344"/>
    </row>
    <row r="250" spans="1:8" s="343" customFormat="1" ht="15.75" x14ac:dyDescent="0.25">
      <c r="A250" s="643" t="s">
        <v>193</v>
      </c>
      <c r="B250" s="346" t="s">
        <v>1356</v>
      </c>
      <c r="C250" s="341" t="s">
        <v>187</v>
      </c>
      <c r="D250" s="341" t="s">
        <v>158</v>
      </c>
      <c r="E250" s="341" t="s">
        <v>194</v>
      </c>
      <c r="F250" s="341"/>
      <c r="G250" s="9">
        <f>G249</f>
        <v>92</v>
      </c>
      <c r="H250" s="344"/>
    </row>
    <row r="251" spans="1:8" s="343" customFormat="1" ht="31.5" x14ac:dyDescent="0.25">
      <c r="A251" s="20" t="s">
        <v>235</v>
      </c>
      <c r="B251" s="346" t="s">
        <v>1356</v>
      </c>
      <c r="C251" s="341" t="s">
        <v>187</v>
      </c>
      <c r="D251" s="341" t="s">
        <v>158</v>
      </c>
      <c r="E251" s="341" t="s">
        <v>194</v>
      </c>
      <c r="F251" s="341" t="s">
        <v>307</v>
      </c>
      <c r="G251" s="9">
        <f>G250</f>
        <v>92</v>
      </c>
      <c r="H251" s="344"/>
    </row>
    <row r="252" spans="1:8" s="128" customFormat="1" ht="31.5" x14ac:dyDescent="0.25">
      <c r="A252" s="298" t="s">
        <v>509</v>
      </c>
      <c r="B252" s="299" t="s">
        <v>770</v>
      </c>
      <c r="C252" s="6"/>
      <c r="D252" s="6"/>
      <c r="E252" s="6"/>
      <c r="F252" s="6"/>
      <c r="G252" s="35">
        <f>G253</f>
        <v>7848.0900000000011</v>
      </c>
      <c r="H252" s="129"/>
    </row>
    <row r="253" spans="1:8" s="128" customFormat="1" ht="15.75" x14ac:dyDescent="0.25">
      <c r="A253" s="20" t="s">
        <v>186</v>
      </c>
      <c r="B253" s="346" t="s">
        <v>770</v>
      </c>
      <c r="C253" s="341" t="s">
        <v>187</v>
      </c>
      <c r="D253" s="341"/>
      <c r="E253" s="341"/>
      <c r="F253" s="341"/>
      <c r="G253" s="9">
        <f t="shared" ref="G253:G256" si="22">G254</f>
        <v>7848.0900000000011</v>
      </c>
      <c r="H253" s="129"/>
    </row>
    <row r="254" spans="1:8" s="128" customFormat="1" ht="15.75" x14ac:dyDescent="0.25">
      <c r="A254" s="20" t="s">
        <v>246</v>
      </c>
      <c r="B254" s="346" t="s">
        <v>770</v>
      </c>
      <c r="C254" s="341" t="s">
        <v>187</v>
      </c>
      <c r="D254" s="341" t="s">
        <v>187</v>
      </c>
      <c r="E254" s="341"/>
      <c r="F254" s="341"/>
      <c r="G254" s="9">
        <f>G255</f>
        <v>7848.0900000000011</v>
      </c>
      <c r="H254" s="129"/>
    </row>
    <row r="255" spans="1:8" s="128" customFormat="1" ht="31.5" x14ac:dyDescent="0.25">
      <c r="A255" s="22" t="s">
        <v>615</v>
      </c>
      <c r="B255" s="346" t="s">
        <v>787</v>
      </c>
      <c r="C255" s="341" t="s">
        <v>187</v>
      </c>
      <c r="D255" s="341" t="s">
        <v>187</v>
      </c>
      <c r="E255" s="341"/>
      <c r="F255" s="341"/>
      <c r="G255" s="9">
        <f t="shared" si="22"/>
        <v>7848.0900000000011</v>
      </c>
      <c r="H255" s="129"/>
    </row>
    <row r="256" spans="1:8" s="128" customFormat="1" ht="31.5" x14ac:dyDescent="0.25">
      <c r="A256" s="345" t="s">
        <v>191</v>
      </c>
      <c r="B256" s="346" t="s">
        <v>787</v>
      </c>
      <c r="C256" s="341" t="s">
        <v>187</v>
      </c>
      <c r="D256" s="341" t="s">
        <v>187</v>
      </c>
      <c r="E256" s="341" t="s">
        <v>192</v>
      </c>
      <c r="F256" s="341"/>
      <c r="G256" s="9">
        <f t="shared" si="22"/>
        <v>7848.0900000000011</v>
      </c>
      <c r="H256" s="129"/>
    </row>
    <row r="257" spans="1:8" s="128" customFormat="1" ht="15.75" x14ac:dyDescent="0.25">
      <c r="A257" s="345" t="s">
        <v>193</v>
      </c>
      <c r="B257" s="346" t="s">
        <v>787</v>
      </c>
      <c r="C257" s="341" t="s">
        <v>187</v>
      </c>
      <c r="D257" s="341" t="s">
        <v>187</v>
      </c>
      <c r="E257" s="341" t="s">
        <v>194</v>
      </c>
      <c r="F257" s="341"/>
      <c r="G257" s="9">
        <f>'Пр.4 ведом.22'!G883</f>
        <v>7848.0900000000011</v>
      </c>
      <c r="H257" s="129"/>
    </row>
    <row r="258" spans="1:8" s="128" customFormat="1" ht="31.5" x14ac:dyDescent="0.25">
      <c r="A258" s="20" t="s">
        <v>235</v>
      </c>
      <c r="B258" s="346" t="s">
        <v>787</v>
      </c>
      <c r="C258" s="341" t="s">
        <v>187</v>
      </c>
      <c r="D258" s="341" t="s">
        <v>187</v>
      </c>
      <c r="E258" s="341" t="s">
        <v>194</v>
      </c>
      <c r="F258" s="341" t="s">
        <v>307</v>
      </c>
      <c r="G258" s="9">
        <f>G257</f>
        <v>7848.0900000000011</v>
      </c>
      <c r="H258" s="129"/>
    </row>
    <row r="259" spans="1:8" s="128" customFormat="1" ht="31.5" x14ac:dyDescent="0.25">
      <c r="A259" s="140" t="s">
        <v>513</v>
      </c>
      <c r="B259" s="299" t="s">
        <v>771</v>
      </c>
      <c r="C259" s="6"/>
      <c r="D259" s="6"/>
      <c r="E259" s="6"/>
      <c r="F259" s="6"/>
      <c r="G259" s="294">
        <f>G260</f>
        <v>7141.2080000000005</v>
      </c>
      <c r="H259" s="129"/>
    </row>
    <row r="260" spans="1:8" s="128" customFormat="1" ht="15.75" x14ac:dyDescent="0.25">
      <c r="A260" s="20" t="s">
        <v>186</v>
      </c>
      <c r="B260" s="346" t="s">
        <v>771</v>
      </c>
      <c r="C260" s="341" t="s">
        <v>187</v>
      </c>
      <c r="D260" s="341"/>
      <c r="E260" s="341"/>
      <c r="F260" s="341"/>
      <c r="G260" s="9">
        <f>G261+G274+G283</f>
        <v>7141.2080000000005</v>
      </c>
      <c r="H260" s="129"/>
    </row>
    <row r="261" spans="1:8" s="128" customFormat="1" ht="15.75" x14ac:dyDescent="0.25">
      <c r="A261" s="29" t="s">
        <v>236</v>
      </c>
      <c r="B261" s="346" t="s">
        <v>771</v>
      </c>
      <c r="C261" s="341" t="s">
        <v>187</v>
      </c>
      <c r="D261" s="341" t="s">
        <v>116</v>
      </c>
      <c r="E261" s="341"/>
      <c r="F261" s="341"/>
      <c r="G261" s="9">
        <f>G262+G266+G270</f>
        <v>3062.2080000000005</v>
      </c>
      <c r="H261" s="129"/>
    </row>
    <row r="262" spans="1:8" ht="31.7" customHeight="1" x14ac:dyDescent="0.25">
      <c r="A262" s="20" t="s">
        <v>198</v>
      </c>
      <c r="B262" s="346" t="s">
        <v>784</v>
      </c>
      <c r="C262" s="341" t="s">
        <v>187</v>
      </c>
      <c r="D262" s="341" t="s">
        <v>116</v>
      </c>
      <c r="E262" s="341"/>
      <c r="F262" s="341"/>
      <c r="G262" s="9">
        <f t="shared" ref="G262:G263" si="23">G263</f>
        <v>28.84</v>
      </c>
    </row>
    <row r="263" spans="1:8" ht="31.7" customHeight="1" x14ac:dyDescent="0.25">
      <c r="A263" s="20" t="s">
        <v>191</v>
      </c>
      <c r="B263" s="346" t="s">
        <v>784</v>
      </c>
      <c r="C263" s="341" t="s">
        <v>187</v>
      </c>
      <c r="D263" s="341" t="s">
        <v>116</v>
      </c>
      <c r="E263" s="341" t="s">
        <v>192</v>
      </c>
      <c r="F263" s="341"/>
      <c r="G263" s="9">
        <f t="shared" si="23"/>
        <v>28.84</v>
      </c>
    </row>
    <row r="264" spans="1:8" ht="15.75" customHeight="1" x14ac:dyDescent="0.25">
      <c r="A264" s="20" t="s">
        <v>193</v>
      </c>
      <c r="B264" s="346" t="s">
        <v>784</v>
      </c>
      <c r="C264" s="341" t="s">
        <v>187</v>
      </c>
      <c r="D264" s="341" t="s">
        <v>116</v>
      </c>
      <c r="E264" s="341" t="s">
        <v>194</v>
      </c>
      <c r="F264" s="341"/>
      <c r="G264" s="9">
        <f>'Пр.4 ведом.22'!G717</f>
        <v>28.84</v>
      </c>
    </row>
    <row r="265" spans="1:8" s="128" customFormat="1" ht="30.6" customHeight="1" x14ac:dyDescent="0.25">
      <c r="A265" s="20" t="s">
        <v>235</v>
      </c>
      <c r="B265" s="346" t="s">
        <v>784</v>
      </c>
      <c r="C265" s="341" t="s">
        <v>187</v>
      </c>
      <c r="D265" s="341" t="s">
        <v>116</v>
      </c>
      <c r="E265" s="341" t="s">
        <v>194</v>
      </c>
      <c r="F265" s="341" t="s">
        <v>307</v>
      </c>
      <c r="G265" s="9">
        <f>G264</f>
        <v>28.84</v>
      </c>
      <c r="H265" s="129"/>
    </row>
    <row r="266" spans="1:8" ht="31.5" x14ac:dyDescent="0.25">
      <c r="A266" s="36" t="s">
        <v>342</v>
      </c>
      <c r="B266" s="346" t="s">
        <v>772</v>
      </c>
      <c r="C266" s="346" t="s">
        <v>187</v>
      </c>
      <c r="D266" s="346" t="s">
        <v>116</v>
      </c>
      <c r="E266" s="346"/>
      <c r="F266" s="346"/>
      <c r="G266" s="9">
        <f t="shared" ref="G266:G267" si="24">G267</f>
        <v>2066.7600000000002</v>
      </c>
    </row>
    <row r="267" spans="1:8" ht="31.5" x14ac:dyDescent="0.25">
      <c r="A267" s="20" t="s">
        <v>191</v>
      </c>
      <c r="B267" s="346" t="s">
        <v>772</v>
      </c>
      <c r="C267" s="346" t="s">
        <v>187</v>
      </c>
      <c r="D267" s="346" t="s">
        <v>116</v>
      </c>
      <c r="E267" s="346" t="s">
        <v>192</v>
      </c>
      <c r="F267" s="346"/>
      <c r="G267" s="9">
        <f t="shared" si="24"/>
        <v>2066.7600000000002</v>
      </c>
    </row>
    <row r="268" spans="1:8" ht="15.75" x14ac:dyDescent="0.25">
      <c r="A268" s="108" t="s">
        <v>193</v>
      </c>
      <c r="B268" s="346" t="s">
        <v>772</v>
      </c>
      <c r="C268" s="346" t="s">
        <v>187</v>
      </c>
      <c r="D268" s="346" t="s">
        <v>116</v>
      </c>
      <c r="E268" s="346" t="s">
        <v>194</v>
      </c>
      <c r="F268" s="346"/>
      <c r="G268" s="9">
        <f>'Пр.4 ведом.22'!G720</f>
        <v>2066.7600000000002</v>
      </c>
    </row>
    <row r="269" spans="1:8" s="128" customFormat="1" ht="31.5" x14ac:dyDescent="0.25">
      <c r="A269" s="20" t="s">
        <v>235</v>
      </c>
      <c r="B269" s="346" t="s">
        <v>772</v>
      </c>
      <c r="C269" s="341" t="s">
        <v>187</v>
      </c>
      <c r="D269" s="341" t="s">
        <v>116</v>
      </c>
      <c r="E269" s="341" t="s">
        <v>194</v>
      </c>
      <c r="F269" s="341" t="s">
        <v>307</v>
      </c>
      <c r="G269" s="9">
        <f>G268</f>
        <v>2066.7600000000002</v>
      </c>
      <c r="H269" s="129"/>
    </row>
    <row r="270" spans="1:8" ht="47.25" x14ac:dyDescent="0.25">
      <c r="A270" s="36" t="s">
        <v>343</v>
      </c>
      <c r="B270" s="346" t="s">
        <v>773</v>
      </c>
      <c r="C270" s="346" t="s">
        <v>187</v>
      </c>
      <c r="D270" s="346" t="s">
        <v>116</v>
      </c>
      <c r="E270" s="346"/>
      <c r="F270" s="346"/>
      <c r="G270" s="9">
        <f t="shared" ref="G270:G271" si="25">G271</f>
        <v>966.60800000000006</v>
      </c>
    </row>
    <row r="271" spans="1:8" ht="31.5" x14ac:dyDescent="0.25">
      <c r="A271" s="20" t="s">
        <v>191</v>
      </c>
      <c r="B271" s="346" t="s">
        <v>773</v>
      </c>
      <c r="C271" s="346" t="s">
        <v>187</v>
      </c>
      <c r="D271" s="346" t="s">
        <v>116</v>
      </c>
      <c r="E271" s="346" t="s">
        <v>192</v>
      </c>
      <c r="F271" s="346"/>
      <c r="G271" s="9">
        <f t="shared" si="25"/>
        <v>966.60800000000006</v>
      </c>
    </row>
    <row r="272" spans="1:8" ht="15.75" x14ac:dyDescent="0.25">
      <c r="A272" s="108" t="s">
        <v>193</v>
      </c>
      <c r="B272" s="346" t="s">
        <v>773</v>
      </c>
      <c r="C272" s="346" t="s">
        <v>187</v>
      </c>
      <c r="D272" s="346" t="s">
        <v>116</v>
      </c>
      <c r="E272" s="346" t="s">
        <v>194</v>
      </c>
      <c r="F272" s="346"/>
      <c r="G272" s="9">
        <f>'Пр.4 ведом.22'!G723</f>
        <v>966.60800000000006</v>
      </c>
    </row>
    <row r="273" spans="1:8" s="128" customFormat="1" ht="31.5" x14ac:dyDescent="0.25">
      <c r="A273" s="20" t="s">
        <v>235</v>
      </c>
      <c r="B273" s="346" t="s">
        <v>773</v>
      </c>
      <c r="C273" s="341" t="s">
        <v>187</v>
      </c>
      <c r="D273" s="341" t="s">
        <v>116</v>
      </c>
      <c r="E273" s="341" t="s">
        <v>194</v>
      </c>
      <c r="F273" s="341" t="s">
        <v>307</v>
      </c>
      <c r="G273" s="9">
        <f>G272</f>
        <v>966.60800000000006</v>
      </c>
      <c r="H273" s="129"/>
    </row>
    <row r="274" spans="1:8" s="128" customFormat="1" ht="15.75" x14ac:dyDescent="0.25">
      <c r="A274" s="20" t="s">
        <v>239</v>
      </c>
      <c r="B274" s="341" t="s">
        <v>771</v>
      </c>
      <c r="C274" s="341" t="s">
        <v>187</v>
      </c>
      <c r="D274" s="341" t="s">
        <v>158</v>
      </c>
      <c r="E274" s="341"/>
      <c r="F274" s="341"/>
      <c r="G274" s="9">
        <f>G275+G279</f>
        <v>2875</v>
      </c>
      <c r="H274" s="129"/>
    </row>
    <row r="275" spans="1:8" s="128" customFormat="1" ht="31.5" hidden="1" x14ac:dyDescent="0.25">
      <c r="A275" s="20" t="s">
        <v>198</v>
      </c>
      <c r="B275" s="346" t="s">
        <v>784</v>
      </c>
      <c r="C275" s="341" t="s">
        <v>187</v>
      </c>
      <c r="D275" s="341" t="s">
        <v>158</v>
      </c>
      <c r="E275" s="341"/>
      <c r="F275" s="341"/>
      <c r="G275" s="9">
        <f t="shared" ref="G275:G276" si="26">G276</f>
        <v>0</v>
      </c>
      <c r="H275" s="129"/>
    </row>
    <row r="276" spans="1:8" s="128" customFormat="1" ht="31.5" hidden="1" x14ac:dyDescent="0.25">
      <c r="A276" s="20" t="s">
        <v>191</v>
      </c>
      <c r="B276" s="346" t="s">
        <v>784</v>
      </c>
      <c r="C276" s="341" t="s">
        <v>187</v>
      </c>
      <c r="D276" s="341" t="s">
        <v>158</v>
      </c>
      <c r="E276" s="341" t="s">
        <v>192</v>
      </c>
      <c r="F276" s="341"/>
      <c r="G276" s="9">
        <f t="shared" si="26"/>
        <v>0</v>
      </c>
      <c r="H276" s="129"/>
    </row>
    <row r="277" spans="1:8" s="128" customFormat="1" ht="15.75" hidden="1" x14ac:dyDescent="0.25">
      <c r="A277" s="20" t="s">
        <v>193</v>
      </c>
      <c r="B277" s="346" t="s">
        <v>784</v>
      </c>
      <c r="C277" s="341" t="s">
        <v>187</v>
      </c>
      <c r="D277" s="341" t="s">
        <v>158</v>
      </c>
      <c r="E277" s="341" t="s">
        <v>194</v>
      </c>
      <c r="F277" s="341"/>
      <c r="G277" s="9">
        <f>'Пр.4 ведом.22'!G791</f>
        <v>0</v>
      </c>
      <c r="H277" s="129"/>
    </row>
    <row r="278" spans="1:8" s="128" customFormat="1" ht="31.5" hidden="1" x14ac:dyDescent="0.25">
      <c r="A278" s="20" t="s">
        <v>235</v>
      </c>
      <c r="B278" s="346" t="s">
        <v>784</v>
      </c>
      <c r="C278" s="341" t="s">
        <v>187</v>
      </c>
      <c r="D278" s="341" t="s">
        <v>158</v>
      </c>
      <c r="E278" s="341" t="s">
        <v>194</v>
      </c>
      <c r="F278" s="341" t="s">
        <v>307</v>
      </c>
      <c r="G278" s="9">
        <f>G277</f>
        <v>0</v>
      </c>
      <c r="H278" s="129"/>
    </row>
    <row r="279" spans="1:8" s="128" customFormat="1" ht="31.5" x14ac:dyDescent="0.25">
      <c r="A279" s="36" t="s">
        <v>342</v>
      </c>
      <c r="B279" s="346" t="s">
        <v>772</v>
      </c>
      <c r="C279" s="341" t="s">
        <v>187</v>
      </c>
      <c r="D279" s="341" t="s">
        <v>158</v>
      </c>
      <c r="E279" s="341"/>
      <c r="F279" s="341"/>
      <c r="G279" s="9">
        <f t="shared" ref="G279:G280" si="27">G280</f>
        <v>2875</v>
      </c>
      <c r="H279" s="129"/>
    </row>
    <row r="280" spans="1:8" s="128" customFormat="1" ht="31.5" x14ac:dyDescent="0.25">
      <c r="A280" s="20" t="s">
        <v>191</v>
      </c>
      <c r="B280" s="346" t="s">
        <v>772</v>
      </c>
      <c r="C280" s="341" t="s">
        <v>187</v>
      </c>
      <c r="D280" s="341" t="s">
        <v>158</v>
      </c>
      <c r="E280" s="341" t="s">
        <v>192</v>
      </c>
      <c r="F280" s="341"/>
      <c r="G280" s="9">
        <f t="shared" si="27"/>
        <v>2875</v>
      </c>
      <c r="H280" s="129"/>
    </row>
    <row r="281" spans="1:8" s="128" customFormat="1" ht="15.75" x14ac:dyDescent="0.25">
      <c r="A281" s="108" t="s">
        <v>193</v>
      </c>
      <c r="B281" s="346" t="s">
        <v>772</v>
      </c>
      <c r="C281" s="341" t="s">
        <v>187</v>
      </c>
      <c r="D281" s="341" t="s">
        <v>158</v>
      </c>
      <c r="E281" s="341" t="s">
        <v>194</v>
      </c>
      <c r="F281" s="341"/>
      <c r="G281" s="9">
        <f>'Пр.4 ведом.22'!G794</f>
        <v>2875</v>
      </c>
      <c r="H281" s="129"/>
    </row>
    <row r="282" spans="1:8" s="128" customFormat="1" ht="31.5" x14ac:dyDescent="0.25">
      <c r="A282" s="20" t="s">
        <v>235</v>
      </c>
      <c r="B282" s="346" t="s">
        <v>772</v>
      </c>
      <c r="C282" s="341" t="s">
        <v>187</v>
      </c>
      <c r="D282" s="341" t="s">
        <v>158</v>
      </c>
      <c r="E282" s="341" t="s">
        <v>194</v>
      </c>
      <c r="F282" s="341" t="s">
        <v>307</v>
      </c>
      <c r="G282" s="9">
        <f>G281</f>
        <v>2875</v>
      </c>
      <c r="H282" s="129"/>
    </row>
    <row r="283" spans="1:8" s="128" customFormat="1" ht="15.75" x14ac:dyDescent="0.25">
      <c r="A283" s="20" t="s">
        <v>188</v>
      </c>
      <c r="B283" s="341" t="s">
        <v>771</v>
      </c>
      <c r="C283" s="341" t="s">
        <v>187</v>
      </c>
      <c r="D283" s="341" t="s">
        <v>159</v>
      </c>
      <c r="E283" s="341"/>
      <c r="F283" s="341"/>
      <c r="G283" s="9">
        <f>G284</f>
        <v>1204</v>
      </c>
      <c r="H283" s="129"/>
    </row>
    <row r="284" spans="1:8" s="128" customFormat="1" ht="31.5" x14ac:dyDescent="0.25">
      <c r="A284" s="29" t="s">
        <v>342</v>
      </c>
      <c r="B284" s="346" t="s">
        <v>772</v>
      </c>
      <c r="C284" s="346" t="s">
        <v>187</v>
      </c>
      <c r="D284" s="346" t="s">
        <v>159</v>
      </c>
      <c r="E284" s="346"/>
      <c r="F284" s="346"/>
      <c r="G284" s="9">
        <f t="shared" ref="G284:G285" si="28">G285</f>
        <v>1204</v>
      </c>
      <c r="H284" s="129"/>
    </row>
    <row r="285" spans="1:8" s="128" customFormat="1" ht="31.5" x14ac:dyDescent="0.25">
      <c r="A285" s="20" t="s">
        <v>191</v>
      </c>
      <c r="B285" s="346" t="s">
        <v>772</v>
      </c>
      <c r="C285" s="346" t="s">
        <v>187</v>
      </c>
      <c r="D285" s="346" t="s">
        <v>159</v>
      </c>
      <c r="E285" s="346" t="s">
        <v>192</v>
      </c>
      <c r="F285" s="346"/>
      <c r="G285" s="9">
        <f t="shared" si="28"/>
        <v>1204</v>
      </c>
      <c r="H285" s="129"/>
    </row>
    <row r="286" spans="1:8" s="128" customFormat="1" ht="15.75" x14ac:dyDescent="0.25">
      <c r="A286" s="22" t="s">
        <v>193</v>
      </c>
      <c r="B286" s="346" t="s">
        <v>772</v>
      </c>
      <c r="C286" s="346" t="s">
        <v>187</v>
      </c>
      <c r="D286" s="346" t="s">
        <v>159</v>
      </c>
      <c r="E286" s="346" t="s">
        <v>194</v>
      </c>
      <c r="F286" s="346"/>
      <c r="G286" s="9">
        <f>'Пр.4 ведом.22'!G868</f>
        <v>1204</v>
      </c>
      <c r="H286" s="129"/>
    </row>
    <row r="287" spans="1:8" s="128" customFormat="1" ht="31.5" x14ac:dyDescent="0.25">
      <c r="A287" s="20" t="s">
        <v>235</v>
      </c>
      <c r="B287" s="346" t="s">
        <v>772</v>
      </c>
      <c r="C287" s="341" t="s">
        <v>187</v>
      </c>
      <c r="D287" s="341" t="s">
        <v>159</v>
      </c>
      <c r="E287" s="341" t="s">
        <v>194</v>
      </c>
      <c r="F287" s="341" t="s">
        <v>307</v>
      </c>
      <c r="G287" s="9">
        <f>G286</f>
        <v>1204</v>
      </c>
      <c r="H287" s="129"/>
    </row>
    <row r="288" spans="1:8" s="128" customFormat="1" ht="31.5" x14ac:dyDescent="0.25">
      <c r="A288" s="298" t="s">
        <v>1117</v>
      </c>
      <c r="B288" s="299" t="s">
        <v>774</v>
      </c>
      <c r="C288" s="299"/>
      <c r="D288" s="299"/>
      <c r="E288" s="299"/>
      <c r="F288" s="299"/>
      <c r="G288" s="35">
        <f>G289+G295</f>
        <v>4853.4139999999998</v>
      </c>
      <c r="H288" s="129"/>
    </row>
    <row r="289" spans="1:8" s="128" customFormat="1" ht="15.75" x14ac:dyDescent="0.25">
      <c r="A289" s="20" t="s">
        <v>186</v>
      </c>
      <c r="B289" s="346" t="s">
        <v>774</v>
      </c>
      <c r="C289" s="341" t="s">
        <v>187</v>
      </c>
      <c r="D289" s="341"/>
      <c r="E289" s="341"/>
      <c r="F289" s="341"/>
      <c r="G289" s="9">
        <f t="shared" ref="G289" si="29">G290</f>
        <v>202.59999999999997</v>
      </c>
      <c r="H289" s="129"/>
    </row>
    <row r="290" spans="1:8" s="128" customFormat="1" ht="15.75" x14ac:dyDescent="0.25">
      <c r="A290" s="29" t="s">
        <v>236</v>
      </c>
      <c r="B290" s="346" t="s">
        <v>774</v>
      </c>
      <c r="C290" s="341" t="s">
        <v>187</v>
      </c>
      <c r="D290" s="341" t="s">
        <v>116</v>
      </c>
      <c r="E290" s="341"/>
      <c r="F290" s="341"/>
      <c r="G290" s="9">
        <f>G291</f>
        <v>202.59999999999997</v>
      </c>
      <c r="H290" s="129"/>
    </row>
    <row r="291" spans="1:8" ht="31.5" x14ac:dyDescent="0.25">
      <c r="A291" s="345" t="s">
        <v>1118</v>
      </c>
      <c r="B291" s="346" t="s">
        <v>1119</v>
      </c>
      <c r="C291" s="346" t="s">
        <v>187</v>
      </c>
      <c r="D291" s="346" t="s">
        <v>116</v>
      </c>
      <c r="E291" s="346"/>
      <c r="F291" s="346"/>
      <c r="G291" s="9">
        <f>G292</f>
        <v>202.59999999999997</v>
      </c>
    </row>
    <row r="292" spans="1:8" ht="31.5" x14ac:dyDescent="0.25">
      <c r="A292" s="345" t="s">
        <v>191</v>
      </c>
      <c r="B292" s="346" t="s">
        <v>1119</v>
      </c>
      <c r="C292" s="346" t="s">
        <v>187</v>
      </c>
      <c r="D292" s="346" t="s">
        <v>116</v>
      </c>
      <c r="E292" s="346" t="s">
        <v>192</v>
      </c>
      <c r="F292" s="346"/>
      <c r="G292" s="9">
        <f>G293</f>
        <v>202.59999999999997</v>
      </c>
    </row>
    <row r="293" spans="1:8" ht="15.75" x14ac:dyDescent="0.25">
      <c r="A293" s="345" t="s">
        <v>193</v>
      </c>
      <c r="B293" s="346" t="s">
        <v>1119</v>
      </c>
      <c r="C293" s="346" t="s">
        <v>187</v>
      </c>
      <c r="D293" s="346" t="s">
        <v>116</v>
      </c>
      <c r="E293" s="346" t="s">
        <v>194</v>
      </c>
      <c r="F293" s="346"/>
      <c r="G293" s="9">
        <f>'Пр.4 ведом.22'!G727</f>
        <v>202.59999999999997</v>
      </c>
    </row>
    <row r="294" spans="1:8" s="128" customFormat="1" ht="31.5" x14ac:dyDescent="0.25">
      <c r="A294" s="20" t="s">
        <v>235</v>
      </c>
      <c r="B294" s="346" t="s">
        <v>1119</v>
      </c>
      <c r="C294" s="341" t="s">
        <v>187</v>
      </c>
      <c r="D294" s="341" t="s">
        <v>116</v>
      </c>
      <c r="E294" s="341" t="s">
        <v>194</v>
      </c>
      <c r="F294" s="341" t="s">
        <v>307</v>
      </c>
      <c r="G294" s="9">
        <f>G293</f>
        <v>202.59999999999997</v>
      </c>
      <c r="H294" s="129"/>
    </row>
    <row r="295" spans="1:8" s="128" customFormat="1" ht="15.75" x14ac:dyDescent="0.25">
      <c r="A295" s="20" t="s">
        <v>239</v>
      </c>
      <c r="B295" s="346" t="s">
        <v>774</v>
      </c>
      <c r="C295" s="341" t="s">
        <v>187</v>
      </c>
      <c r="D295" s="341" t="s">
        <v>158</v>
      </c>
      <c r="E295" s="341"/>
      <c r="F295" s="341"/>
      <c r="G295" s="9">
        <f>G296</f>
        <v>4650.8139999999994</v>
      </c>
      <c r="H295" s="129"/>
    </row>
    <row r="296" spans="1:8" s="128" customFormat="1" ht="31.5" x14ac:dyDescent="0.25">
      <c r="A296" s="345" t="s">
        <v>1118</v>
      </c>
      <c r="B296" s="346" t="s">
        <v>1119</v>
      </c>
      <c r="C296" s="341" t="s">
        <v>187</v>
      </c>
      <c r="D296" s="341" t="s">
        <v>158</v>
      </c>
      <c r="E296" s="341"/>
      <c r="F296" s="341"/>
      <c r="G296" s="9">
        <f t="shared" ref="G296:G297" si="30">G297</f>
        <v>4650.8139999999994</v>
      </c>
      <c r="H296" s="129"/>
    </row>
    <row r="297" spans="1:8" s="128" customFormat="1" ht="31.5" x14ac:dyDescent="0.25">
      <c r="A297" s="20" t="s">
        <v>191</v>
      </c>
      <c r="B297" s="346" t="s">
        <v>1119</v>
      </c>
      <c r="C297" s="341" t="s">
        <v>187</v>
      </c>
      <c r="D297" s="341" t="s">
        <v>158</v>
      </c>
      <c r="E297" s="341" t="s">
        <v>192</v>
      </c>
      <c r="F297" s="341"/>
      <c r="G297" s="9">
        <f t="shared" si="30"/>
        <v>4650.8139999999994</v>
      </c>
      <c r="H297" s="129"/>
    </row>
    <row r="298" spans="1:8" s="128" customFormat="1" ht="15.75" x14ac:dyDescent="0.25">
      <c r="A298" s="20" t="s">
        <v>193</v>
      </c>
      <c r="B298" s="346" t="s">
        <v>1119</v>
      </c>
      <c r="C298" s="341" t="s">
        <v>187</v>
      </c>
      <c r="D298" s="341" t="s">
        <v>158</v>
      </c>
      <c r="E298" s="341" t="s">
        <v>194</v>
      </c>
      <c r="F298" s="341"/>
      <c r="G298" s="295">
        <f>'Пр.4 ведом.22'!G798</f>
        <v>4650.8139999999994</v>
      </c>
      <c r="H298" s="129"/>
    </row>
    <row r="299" spans="1:8" s="128" customFormat="1" ht="31.5" x14ac:dyDescent="0.25">
      <c r="A299" s="20" t="s">
        <v>235</v>
      </c>
      <c r="B299" s="346" t="s">
        <v>1119</v>
      </c>
      <c r="C299" s="341" t="s">
        <v>187</v>
      </c>
      <c r="D299" s="341" t="s">
        <v>158</v>
      </c>
      <c r="E299" s="341" t="s">
        <v>194</v>
      </c>
      <c r="F299" s="341" t="s">
        <v>307</v>
      </c>
      <c r="G299" s="9">
        <f>G298</f>
        <v>4650.8139999999994</v>
      </c>
      <c r="H299" s="129"/>
    </row>
    <row r="300" spans="1:8" s="128" customFormat="1" ht="94.5" x14ac:dyDescent="0.25">
      <c r="A300" s="298" t="s">
        <v>904</v>
      </c>
      <c r="B300" s="299" t="s">
        <v>775</v>
      </c>
      <c r="C300" s="299"/>
      <c r="D300" s="299"/>
      <c r="E300" s="341"/>
      <c r="F300" s="341"/>
      <c r="G300" s="35">
        <f>G301</f>
        <v>1487.3119999999999</v>
      </c>
      <c r="H300" s="129"/>
    </row>
    <row r="301" spans="1:8" s="128" customFormat="1" ht="15.75" x14ac:dyDescent="0.25">
      <c r="A301" s="20" t="s">
        <v>186</v>
      </c>
      <c r="B301" s="346" t="s">
        <v>775</v>
      </c>
      <c r="C301" s="346" t="s">
        <v>187</v>
      </c>
      <c r="D301" s="346"/>
      <c r="E301" s="341"/>
      <c r="F301" s="341"/>
      <c r="G301" s="9">
        <f>G302</f>
        <v>1487.3119999999999</v>
      </c>
      <c r="H301" s="129"/>
    </row>
    <row r="302" spans="1:8" s="128" customFormat="1" ht="15.75" x14ac:dyDescent="0.25">
      <c r="A302" s="29" t="s">
        <v>236</v>
      </c>
      <c r="B302" s="346" t="s">
        <v>775</v>
      </c>
      <c r="C302" s="346" t="s">
        <v>187</v>
      </c>
      <c r="D302" s="346" t="s">
        <v>116</v>
      </c>
      <c r="E302" s="341"/>
      <c r="F302" s="341"/>
      <c r="G302" s="9">
        <f>G303</f>
        <v>1487.3119999999999</v>
      </c>
      <c r="H302" s="129"/>
    </row>
    <row r="303" spans="1:8" s="128" customFormat="1" ht="81.599999999999994" customHeight="1" x14ac:dyDescent="0.25">
      <c r="A303" s="96" t="s">
        <v>969</v>
      </c>
      <c r="B303" s="346" t="s">
        <v>776</v>
      </c>
      <c r="C303" s="346" t="s">
        <v>187</v>
      </c>
      <c r="D303" s="346" t="s">
        <v>116</v>
      </c>
      <c r="E303" s="341"/>
      <c r="F303" s="341"/>
      <c r="G303" s="9">
        <f>G304</f>
        <v>1487.3119999999999</v>
      </c>
      <c r="H303" s="129"/>
    </row>
    <row r="304" spans="1:8" s="128" customFormat="1" ht="31.5" x14ac:dyDescent="0.25">
      <c r="A304" s="345" t="s">
        <v>191</v>
      </c>
      <c r="B304" s="346" t="s">
        <v>776</v>
      </c>
      <c r="C304" s="346" t="s">
        <v>187</v>
      </c>
      <c r="D304" s="346" t="s">
        <v>116</v>
      </c>
      <c r="E304" s="346" t="s">
        <v>192</v>
      </c>
      <c r="F304" s="341"/>
      <c r="G304" s="9">
        <f>G305</f>
        <v>1487.3119999999999</v>
      </c>
      <c r="H304" s="129"/>
    </row>
    <row r="305" spans="1:8" s="128" customFormat="1" ht="15.75" x14ac:dyDescent="0.25">
      <c r="A305" s="345" t="s">
        <v>193</v>
      </c>
      <c r="B305" s="346" t="s">
        <v>776</v>
      </c>
      <c r="C305" s="346" t="s">
        <v>187</v>
      </c>
      <c r="D305" s="346" t="s">
        <v>116</v>
      </c>
      <c r="E305" s="346" t="s">
        <v>194</v>
      </c>
      <c r="F305" s="341"/>
      <c r="G305" s="9">
        <f>'Пр.4 ведом.22'!G731</f>
        <v>1487.3119999999999</v>
      </c>
      <c r="H305" s="129"/>
    </row>
    <row r="306" spans="1:8" s="128" customFormat="1" ht="31.5" x14ac:dyDescent="0.25">
      <c r="A306" s="20" t="s">
        <v>235</v>
      </c>
      <c r="B306" s="346" t="s">
        <v>776</v>
      </c>
      <c r="C306" s="346" t="s">
        <v>187</v>
      </c>
      <c r="D306" s="346" t="s">
        <v>116</v>
      </c>
      <c r="E306" s="346" t="s">
        <v>194</v>
      </c>
      <c r="F306" s="341" t="s">
        <v>307</v>
      </c>
      <c r="G306" s="9">
        <f>G301</f>
        <v>1487.3119999999999</v>
      </c>
      <c r="H306" s="129"/>
    </row>
    <row r="307" spans="1:8" s="128" customFormat="1" ht="31.5" x14ac:dyDescent="0.25">
      <c r="A307" s="195" t="s">
        <v>900</v>
      </c>
      <c r="B307" s="299" t="s">
        <v>899</v>
      </c>
      <c r="C307" s="299"/>
      <c r="D307" s="299"/>
      <c r="E307" s="299"/>
      <c r="F307" s="6"/>
      <c r="G307" s="35">
        <f>G308</f>
        <v>5584.6</v>
      </c>
      <c r="H307" s="129"/>
    </row>
    <row r="308" spans="1:8" s="128" customFormat="1" ht="15.75" x14ac:dyDescent="0.25">
      <c r="A308" s="108" t="s">
        <v>186</v>
      </c>
      <c r="B308" s="346" t="s">
        <v>899</v>
      </c>
      <c r="C308" s="346" t="s">
        <v>187</v>
      </c>
      <c r="D308" s="346"/>
      <c r="E308" s="346"/>
      <c r="F308" s="341"/>
      <c r="G308" s="9">
        <f>G309</f>
        <v>5584.6</v>
      </c>
      <c r="H308" s="129"/>
    </row>
    <row r="309" spans="1:8" s="128" customFormat="1" ht="15.75" x14ac:dyDescent="0.25">
      <c r="A309" s="108" t="s">
        <v>239</v>
      </c>
      <c r="B309" s="346" t="s">
        <v>899</v>
      </c>
      <c r="C309" s="346" t="s">
        <v>187</v>
      </c>
      <c r="D309" s="346" t="s">
        <v>158</v>
      </c>
      <c r="E309" s="346"/>
      <c r="F309" s="341"/>
      <c r="G309" s="9">
        <f>G310</f>
        <v>5584.6</v>
      </c>
      <c r="H309" s="129"/>
    </row>
    <row r="310" spans="1:8" s="128" customFormat="1" ht="63" x14ac:dyDescent="0.25">
      <c r="A310" s="194" t="s">
        <v>886</v>
      </c>
      <c r="B310" s="346" t="s">
        <v>938</v>
      </c>
      <c r="C310" s="346" t="s">
        <v>187</v>
      </c>
      <c r="D310" s="346" t="s">
        <v>158</v>
      </c>
      <c r="E310" s="346"/>
      <c r="F310" s="341"/>
      <c r="G310" s="9">
        <f>G311</f>
        <v>5584.6</v>
      </c>
      <c r="H310" s="129"/>
    </row>
    <row r="311" spans="1:8" s="128" customFormat="1" ht="31.5" x14ac:dyDescent="0.25">
      <c r="A311" s="22" t="s">
        <v>191</v>
      </c>
      <c r="B311" s="346" t="s">
        <v>938</v>
      </c>
      <c r="C311" s="346" t="s">
        <v>187</v>
      </c>
      <c r="D311" s="346" t="s">
        <v>158</v>
      </c>
      <c r="E311" s="346" t="s">
        <v>192</v>
      </c>
      <c r="F311" s="341"/>
      <c r="G311" s="9">
        <f>G312</f>
        <v>5584.6</v>
      </c>
      <c r="H311" s="129"/>
    </row>
    <row r="312" spans="1:8" s="128" customFormat="1" ht="15.75" x14ac:dyDescent="0.25">
      <c r="A312" s="22" t="s">
        <v>193</v>
      </c>
      <c r="B312" s="346" t="s">
        <v>938</v>
      </c>
      <c r="C312" s="346" t="s">
        <v>187</v>
      </c>
      <c r="D312" s="346" t="s">
        <v>158</v>
      </c>
      <c r="E312" s="346" t="s">
        <v>194</v>
      </c>
      <c r="F312" s="341"/>
      <c r="G312" s="9">
        <f>'Пр.4 ведом.22'!G810</f>
        <v>5584.6</v>
      </c>
      <c r="H312" s="129"/>
    </row>
    <row r="313" spans="1:8" s="128" customFormat="1" ht="31.5" x14ac:dyDescent="0.25">
      <c r="A313" s="108" t="s">
        <v>235</v>
      </c>
      <c r="B313" s="346" t="s">
        <v>938</v>
      </c>
      <c r="C313" s="346" t="s">
        <v>187</v>
      </c>
      <c r="D313" s="346" t="s">
        <v>158</v>
      </c>
      <c r="E313" s="346" t="s">
        <v>194</v>
      </c>
      <c r="F313" s="341" t="s">
        <v>307</v>
      </c>
      <c r="G313" s="9">
        <f>G307</f>
        <v>5584.6</v>
      </c>
      <c r="H313" s="129"/>
    </row>
    <row r="314" spans="1:8" s="128" customFormat="1" ht="31.5" hidden="1" x14ac:dyDescent="0.25">
      <c r="A314" s="195" t="s">
        <v>918</v>
      </c>
      <c r="B314" s="299" t="s">
        <v>906</v>
      </c>
      <c r="C314" s="346"/>
      <c r="D314" s="346"/>
      <c r="E314" s="346"/>
      <c r="F314" s="341"/>
      <c r="G314" s="35">
        <f>G315</f>
        <v>0</v>
      </c>
      <c r="H314" s="129"/>
    </row>
    <row r="315" spans="1:8" s="128" customFormat="1" ht="15.75" hidden="1" x14ac:dyDescent="0.25">
      <c r="A315" s="108" t="s">
        <v>186</v>
      </c>
      <c r="B315" s="346" t="s">
        <v>906</v>
      </c>
      <c r="C315" s="346" t="s">
        <v>187</v>
      </c>
      <c r="D315" s="346"/>
      <c r="E315" s="346"/>
      <c r="F315" s="341"/>
      <c r="G315" s="9">
        <f>G316</f>
        <v>0</v>
      </c>
      <c r="H315" s="129"/>
    </row>
    <row r="316" spans="1:8" s="128" customFormat="1" ht="15.75" hidden="1" x14ac:dyDescent="0.25">
      <c r="A316" s="108" t="s">
        <v>239</v>
      </c>
      <c r="B316" s="346" t="s">
        <v>906</v>
      </c>
      <c r="C316" s="346" t="s">
        <v>187</v>
      </c>
      <c r="D316" s="346" t="s">
        <v>158</v>
      </c>
      <c r="E316" s="346"/>
      <c r="F316" s="341"/>
      <c r="G316" s="9">
        <f>G317</f>
        <v>0</v>
      </c>
      <c r="H316" s="129"/>
    </row>
    <row r="317" spans="1:8" s="128" customFormat="1" ht="21.2" hidden="1" customHeight="1" x14ac:dyDescent="0.25">
      <c r="A317" s="194" t="s">
        <v>907</v>
      </c>
      <c r="B317" s="346" t="s">
        <v>909</v>
      </c>
      <c r="C317" s="346" t="s">
        <v>187</v>
      </c>
      <c r="D317" s="346" t="s">
        <v>158</v>
      </c>
      <c r="E317" s="346"/>
      <c r="F317" s="341"/>
      <c r="G317" s="9">
        <f>G318</f>
        <v>0</v>
      </c>
      <c r="H317" s="129"/>
    </row>
    <row r="318" spans="1:8" s="128" customFormat="1" ht="31.5" hidden="1" x14ac:dyDescent="0.25">
      <c r="A318" s="22" t="s">
        <v>191</v>
      </c>
      <c r="B318" s="346" t="s">
        <v>909</v>
      </c>
      <c r="C318" s="346" t="s">
        <v>187</v>
      </c>
      <c r="D318" s="346" t="s">
        <v>158</v>
      </c>
      <c r="E318" s="346" t="s">
        <v>192</v>
      </c>
      <c r="F318" s="341"/>
      <c r="G318" s="9">
        <f>G319</f>
        <v>0</v>
      </c>
      <c r="H318" s="129"/>
    </row>
    <row r="319" spans="1:8" s="128" customFormat="1" ht="15.75" hidden="1" x14ac:dyDescent="0.25">
      <c r="A319" s="22" t="s">
        <v>193</v>
      </c>
      <c r="B319" s="346" t="s">
        <v>909</v>
      </c>
      <c r="C319" s="346" t="s">
        <v>187</v>
      </c>
      <c r="D319" s="346" t="s">
        <v>158</v>
      </c>
      <c r="E319" s="346" t="s">
        <v>194</v>
      </c>
      <c r="F319" s="341"/>
      <c r="G319" s="9">
        <f>'Пр.4 ведом.22'!G814</f>
        <v>0</v>
      </c>
      <c r="H319" s="129"/>
    </row>
    <row r="320" spans="1:8" s="128" customFormat="1" ht="31.5" hidden="1" x14ac:dyDescent="0.25">
      <c r="A320" s="108" t="s">
        <v>235</v>
      </c>
      <c r="B320" s="346" t="s">
        <v>909</v>
      </c>
      <c r="C320" s="346" t="s">
        <v>187</v>
      </c>
      <c r="D320" s="346" t="s">
        <v>158</v>
      </c>
      <c r="E320" s="346" t="s">
        <v>194</v>
      </c>
      <c r="F320" s="341" t="s">
        <v>307</v>
      </c>
      <c r="G320" s="9">
        <f>G317</f>
        <v>0</v>
      </c>
      <c r="H320" s="129"/>
    </row>
    <row r="321" spans="1:8" s="280" customFormat="1" ht="47.25" hidden="1" x14ac:dyDescent="0.25">
      <c r="A321" s="195" t="s">
        <v>1022</v>
      </c>
      <c r="B321" s="299" t="s">
        <v>1023</v>
      </c>
      <c r="C321" s="346"/>
      <c r="D321" s="346"/>
      <c r="E321" s="346"/>
      <c r="F321" s="341"/>
      <c r="G321" s="35">
        <f>G322</f>
        <v>0</v>
      </c>
      <c r="H321" s="129"/>
    </row>
    <row r="322" spans="1:8" s="280" customFormat="1" ht="15.75" hidden="1" x14ac:dyDescent="0.25">
      <c r="A322" s="108" t="s">
        <v>186</v>
      </c>
      <c r="B322" s="346" t="s">
        <v>1023</v>
      </c>
      <c r="C322" s="346" t="s">
        <v>187</v>
      </c>
      <c r="D322" s="346"/>
      <c r="E322" s="346"/>
      <c r="F322" s="341"/>
      <c r="G322" s="9">
        <f>G323</f>
        <v>0</v>
      </c>
      <c r="H322" s="129"/>
    </row>
    <row r="323" spans="1:8" s="280" customFormat="1" ht="15.75" hidden="1" x14ac:dyDescent="0.25">
      <c r="A323" s="108" t="s">
        <v>239</v>
      </c>
      <c r="B323" s="346" t="s">
        <v>1023</v>
      </c>
      <c r="C323" s="346" t="s">
        <v>187</v>
      </c>
      <c r="D323" s="346" t="s">
        <v>158</v>
      </c>
      <c r="E323" s="346"/>
      <c r="F323" s="341"/>
      <c r="G323" s="9">
        <f>G324</f>
        <v>0</v>
      </c>
      <c r="H323" s="129"/>
    </row>
    <row r="324" spans="1:8" s="280" customFormat="1" ht="47.25" hidden="1" x14ac:dyDescent="0.25">
      <c r="A324" s="194" t="s">
        <v>243</v>
      </c>
      <c r="B324" s="346" t="s">
        <v>1024</v>
      </c>
      <c r="C324" s="346" t="s">
        <v>187</v>
      </c>
      <c r="D324" s="346" t="s">
        <v>158</v>
      </c>
      <c r="E324" s="346"/>
      <c r="F324" s="341"/>
      <c r="G324" s="9">
        <f>G325</f>
        <v>0</v>
      </c>
      <c r="H324" s="129"/>
    </row>
    <row r="325" spans="1:8" s="280" customFormat="1" ht="31.5" hidden="1" x14ac:dyDescent="0.25">
      <c r="A325" s="22" t="s">
        <v>191</v>
      </c>
      <c r="B325" s="346" t="s">
        <v>1024</v>
      </c>
      <c r="C325" s="346" t="s">
        <v>187</v>
      </c>
      <c r="D325" s="346" t="s">
        <v>158</v>
      </c>
      <c r="E325" s="346"/>
      <c r="F325" s="341"/>
      <c r="G325" s="9">
        <f>G326</f>
        <v>0</v>
      </c>
      <c r="H325" s="129"/>
    </row>
    <row r="326" spans="1:8" s="280" customFormat="1" ht="15.75" hidden="1" x14ac:dyDescent="0.25">
      <c r="A326" s="22" t="s">
        <v>193</v>
      </c>
      <c r="B326" s="346" t="s">
        <v>1024</v>
      </c>
      <c r="C326" s="346" t="s">
        <v>187</v>
      </c>
      <c r="D326" s="346" t="s">
        <v>158</v>
      </c>
      <c r="E326" s="346" t="s">
        <v>192</v>
      </c>
      <c r="F326" s="341"/>
      <c r="G326" s="9">
        <f>'Пр.4 ведом.22'!G818</f>
        <v>0</v>
      </c>
      <c r="H326" s="129"/>
    </row>
    <row r="327" spans="1:8" s="280" customFormat="1" ht="31.5" hidden="1" x14ac:dyDescent="0.25">
      <c r="A327" s="20" t="s">
        <v>235</v>
      </c>
      <c r="B327" s="346" t="s">
        <v>1024</v>
      </c>
      <c r="C327" s="346" t="s">
        <v>187</v>
      </c>
      <c r="D327" s="346" t="s">
        <v>158</v>
      </c>
      <c r="E327" s="346" t="s">
        <v>194</v>
      </c>
      <c r="F327" s="341" t="s">
        <v>307</v>
      </c>
      <c r="G327" s="9">
        <f>G321</f>
        <v>0</v>
      </c>
      <c r="H327" s="129"/>
    </row>
    <row r="328" spans="1:8" s="280" customFormat="1" ht="31.5" hidden="1" x14ac:dyDescent="0.25">
      <c r="A328" s="195" t="s">
        <v>1034</v>
      </c>
      <c r="B328" s="299" t="s">
        <v>1036</v>
      </c>
      <c r="C328" s="299"/>
      <c r="D328" s="299"/>
      <c r="E328" s="299"/>
      <c r="F328" s="6"/>
      <c r="G328" s="35">
        <f>G329</f>
        <v>0</v>
      </c>
      <c r="H328" s="129"/>
    </row>
    <row r="329" spans="1:8" s="280" customFormat="1" ht="15.75" hidden="1" x14ac:dyDescent="0.25">
      <c r="A329" s="108" t="s">
        <v>186</v>
      </c>
      <c r="B329" s="346" t="s">
        <v>1036</v>
      </c>
      <c r="C329" s="346" t="s">
        <v>187</v>
      </c>
      <c r="D329" s="346"/>
      <c r="E329" s="346"/>
      <c r="F329" s="341"/>
      <c r="G329" s="9">
        <f>G330+G335</f>
        <v>0</v>
      </c>
      <c r="H329" s="129"/>
    </row>
    <row r="330" spans="1:8" s="280" customFormat="1" ht="15.75" hidden="1" x14ac:dyDescent="0.25">
      <c r="A330" s="29" t="s">
        <v>236</v>
      </c>
      <c r="B330" s="346" t="s">
        <v>1036</v>
      </c>
      <c r="C330" s="346" t="s">
        <v>187</v>
      </c>
      <c r="D330" s="346" t="s">
        <v>116</v>
      </c>
      <c r="E330" s="346"/>
      <c r="F330" s="341"/>
      <c r="G330" s="9">
        <f>G331</f>
        <v>0</v>
      </c>
      <c r="H330" s="129"/>
    </row>
    <row r="331" spans="1:8" s="280" customFormat="1" ht="31.5" hidden="1" x14ac:dyDescent="0.25">
      <c r="A331" s="194" t="s">
        <v>1035</v>
      </c>
      <c r="B331" s="346" t="s">
        <v>1037</v>
      </c>
      <c r="C331" s="346" t="s">
        <v>187</v>
      </c>
      <c r="D331" s="346" t="s">
        <v>116</v>
      </c>
      <c r="E331" s="346"/>
      <c r="F331" s="341"/>
      <c r="G331" s="9">
        <f>G332</f>
        <v>0</v>
      </c>
      <c r="H331" s="129"/>
    </row>
    <row r="332" spans="1:8" s="280" customFormat="1" ht="31.5" hidden="1" x14ac:dyDescent="0.25">
      <c r="A332" s="22" t="s">
        <v>191</v>
      </c>
      <c r="B332" s="346" t="s">
        <v>1037</v>
      </c>
      <c r="C332" s="346" t="s">
        <v>187</v>
      </c>
      <c r="D332" s="346" t="s">
        <v>116</v>
      </c>
      <c r="E332" s="346" t="s">
        <v>192</v>
      </c>
      <c r="F332" s="341"/>
      <c r="G332" s="9">
        <f>G333</f>
        <v>0</v>
      </c>
      <c r="H332" s="129"/>
    </row>
    <row r="333" spans="1:8" s="280" customFormat="1" ht="15.75" hidden="1" x14ac:dyDescent="0.25">
      <c r="A333" s="22" t="s">
        <v>193</v>
      </c>
      <c r="B333" s="346" t="s">
        <v>1037</v>
      </c>
      <c r="C333" s="346" t="s">
        <v>187</v>
      </c>
      <c r="D333" s="346" t="s">
        <v>116</v>
      </c>
      <c r="E333" s="346" t="s">
        <v>194</v>
      </c>
      <c r="F333" s="341"/>
      <c r="G333" s="9">
        <f>'Пр.4 ведом.22'!G738</f>
        <v>0</v>
      </c>
      <c r="H333" s="129"/>
    </row>
    <row r="334" spans="1:8" s="280" customFormat="1" ht="31.5" hidden="1" x14ac:dyDescent="0.25">
      <c r="A334" s="20" t="s">
        <v>235</v>
      </c>
      <c r="B334" s="346" t="s">
        <v>1037</v>
      </c>
      <c r="C334" s="346" t="s">
        <v>187</v>
      </c>
      <c r="D334" s="346" t="s">
        <v>116</v>
      </c>
      <c r="E334" s="346" t="s">
        <v>194</v>
      </c>
      <c r="F334" s="341" t="s">
        <v>307</v>
      </c>
      <c r="G334" s="9">
        <f>G333</f>
        <v>0</v>
      </c>
      <c r="H334" s="129"/>
    </row>
    <row r="335" spans="1:8" s="280" customFormat="1" ht="15.75" hidden="1" x14ac:dyDescent="0.25">
      <c r="A335" s="108" t="s">
        <v>239</v>
      </c>
      <c r="B335" s="346" t="s">
        <v>1037</v>
      </c>
      <c r="C335" s="346" t="s">
        <v>187</v>
      </c>
      <c r="D335" s="346" t="s">
        <v>158</v>
      </c>
      <c r="E335" s="346"/>
      <c r="F335" s="341"/>
      <c r="G335" s="9">
        <f>G336</f>
        <v>0</v>
      </c>
      <c r="H335" s="129"/>
    </row>
    <row r="336" spans="1:8" s="280" customFormat="1" ht="31.5" hidden="1" x14ac:dyDescent="0.25">
      <c r="A336" s="194" t="s">
        <v>1035</v>
      </c>
      <c r="B336" s="346" t="s">
        <v>1037</v>
      </c>
      <c r="C336" s="346" t="s">
        <v>187</v>
      </c>
      <c r="D336" s="346" t="s">
        <v>158</v>
      </c>
      <c r="E336" s="346"/>
      <c r="F336" s="341"/>
      <c r="G336" s="9">
        <f>G337</f>
        <v>0</v>
      </c>
      <c r="H336" s="129"/>
    </row>
    <row r="337" spans="1:8" s="280" customFormat="1" ht="31.5" hidden="1" x14ac:dyDescent="0.25">
      <c r="A337" s="22" t="s">
        <v>191</v>
      </c>
      <c r="B337" s="346" t="s">
        <v>1037</v>
      </c>
      <c r="C337" s="346" t="s">
        <v>187</v>
      </c>
      <c r="D337" s="346" t="s">
        <v>158</v>
      </c>
      <c r="E337" s="346" t="s">
        <v>192</v>
      </c>
      <c r="F337" s="341"/>
      <c r="G337" s="9">
        <f>G338</f>
        <v>0</v>
      </c>
      <c r="H337" s="129"/>
    </row>
    <row r="338" spans="1:8" s="280" customFormat="1" ht="15.75" hidden="1" x14ac:dyDescent="0.25">
      <c r="A338" s="22" t="s">
        <v>193</v>
      </c>
      <c r="B338" s="346" t="s">
        <v>1037</v>
      </c>
      <c r="C338" s="346" t="s">
        <v>187</v>
      </c>
      <c r="D338" s="346" t="s">
        <v>158</v>
      </c>
      <c r="E338" s="346" t="s">
        <v>194</v>
      </c>
      <c r="F338" s="341"/>
      <c r="G338" s="9">
        <f>'Пр.4 ведом.22'!G822</f>
        <v>0</v>
      </c>
      <c r="H338" s="129"/>
    </row>
    <row r="339" spans="1:8" s="280" customFormat="1" ht="31.5" hidden="1" x14ac:dyDescent="0.25">
      <c r="A339" s="20" t="s">
        <v>235</v>
      </c>
      <c r="B339" s="346" t="s">
        <v>1037</v>
      </c>
      <c r="C339" s="346" t="s">
        <v>187</v>
      </c>
      <c r="D339" s="346" t="s">
        <v>158</v>
      </c>
      <c r="E339" s="346" t="s">
        <v>194</v>
      </c>
      <c r="F339" s="341" t="s">
        <v>307</v>
      </c>
      <c r="G339" s="9">
        <f>G338</f>
        <v>0</v>
      </c>
      <c r="H339" s="129"/>
    </row>
    <row r="340" spans="1:8" s="293" customFormat="1" ht="47.25" hidden="1" x14ac:dyDescent="0.25">
      <c r="A340" s="195" t="s">
        <v>1038</v>
      </c>
      <c r="B340" s="299" t="s">
        <v>1041</v>
      </c>
      <c r="C340" s="299"/>
      <c r="D340" s="299"/>
      <c r="E340" s="299"/>
      <c r="F340" s="6"/>
      <c r="G340" s="35">
        <f t="shared" ref="G340:G344" si="31">G341</f>
        <v>0</v>
      </c>
      <c r="H340" s="129"/>
    </row>
    <row r="341" spans="1:8" s="293" customFormat="1" ht="15.75" hidden="1" x14ac:dyDescent="0.25">
      <c r="A341" s="108" t="s">
        <v>186</v>
      </c>
      <c r="B341" s="346" t="s">
        <v>1041</v>
      </c>
      <c r="C341" s="346" t="s">
        <v>187</v>
      </c>
      <c r="D341" s="346"/>
      <c r="E341" s="346"/>
      <c r="F341" s="341"/>
      <c r="G341" s="9">
        <f t="shared" si="31"/>
        <v>0</v>
      </c>
      <c r="H341" s="129"/>
    </row>
    <row r="342" spans="1:8" s="293" customFormat="1" ht="15.75" hidden="1" x14ac:dyDescent="0.25">
      <c r="A342" s="29" t="s">
        <v>236</v>
      </c>
      <c r="B342" s="346" t="s">
        <v>1041</v>
      </c>
      <c r="C342" s="346" t="s">
        <v>187</v>
      </c>
      <c r="D342" s="346" t="s">
        <v>116</v>
      </c>
      <c r="E342" s="346"/>
      <c r="F342" s="341"/>
      <c r="G342" s="9">
        <f t="shared" si="31"/>
        <v>0</v>
      </c>
      <c r="H342" s="129"/>
    </row>
    <row r="343" spans="1:8" s="293" customFormat="1" ht="47.25" hidden="1" x14ac:dyDescent="0.25">
      <c r="A343" s="194" t="s">
        <v>1039</v>
      </c>
      <c r="B343" s="346" t="s">
        <v>1040</v>
      </c>
      <c r="C343" s="346" t="s">
        <v>187</v>
      </c>
      <c r="D343" s="346" t="s">
        <v>116</v>
      </c>
      <c r="E343" s="346"/>
      <c r="F343" s="341"/>
      <c r="G343" s="9">
        <f>G344</f>
        <v>0</v>
      </c>
      <c r="H343" s="129"/>
    </row>
    <row r="344" spans="1:8" s="293" customFormat="1" ht="31.5" hidden="1" x14ac:dyDescent="0.25">
      <c r="A344" s="22" t="s">
        <v>191</v>
      </c>
      <c r="B344" s="346" t="s">
        <v>1040</v>
      </c>
      <c r="C344" s="346" t="s">
        <v>187</v>
      </c>
      <c r="D344" s="346" t="s">
        <v>116</v>
      </c>
      <c r="E344" s="346" t="s">
        <v>192</v>
      </c>
      <c r="F344" s="341"/>
      <c r="G344" s="9">
        <f t="shared" si="31"/>
        <v>0</v>
      </c>
      <c r="H344" s="129"/>
    </row>
    <row r="345" spans="1:8" s="293" customFormat="1" ht="15.75" hidden="1" x14ac:dyDescent="0.25">
      <c r="A345" s="22" t="s">
        <v>193</v>
      </c>
      <c r="B345" s="346" t="s">
        <v>1040</v>
      </c>
      <c r="C345" s="346" t="s">
        <v>187</v>
      </c>
      <c r="D345" s="346" t="s">
        <v>116</v>
      </c>
      <c r="E345" s="346" t="s">
        <v>194</v>
      </c>
      <c r="F345" s="341"/>
      <c r="G345" s="9">
        <f>'Пр.4 ведом.22'!G742</f>
        <v>0</v>
      </c>
      <c r="H345" s="129"/>
    </row>
    <row r="346" spans="1:8" s="293" customFormat="1" ht="31.5" hidden="1" x14ac:dyDescent="0.25">
      <c r="A346" s="20" t="s">
        <v>235</v>
      </c>
      <c r="B346" s="346" t="s">
        <v>1040</v>
      </c>
      <c r="C346" s="346" t="s">
        <v>187</v>
      </c>
      <c r="D346" s="346" t="s">
        <v>116</v>
      </c>
      <c r="E346" s="346" t="s">
        <v>194</v>
      </c>
      <c r="F346" s="341" t="s">
        <v>307</v>
      </c>
      <c r="G346" s="9">
        <f>G345</f>
        <v>0</v>
      </c>
      <c r="H346" s="129"/>
    </row>
    <row r="347" spans="1:8" s="343" customFormat="1" ht="47.25" x14ac:dyDescent="0.25">
      <c r="A347" s="24" t="s">
        <v>1102</v>
      </c>
      <c r="B347" s="299" t="s">
        <v>1103</v>
      </c>
      <c r="C347" s="299"/>
      <c r="D347" s="299"/>
      <c r="E347" s="299"/>
      <c r="F347" s="6"/>
      <c r="G347" s="35">
        <f>G348</f>
        <v>1000.9</v>
      </c>
      <c r="H347" s="344"/>
    </row>
    <row r="348" spans="1:8" s="343" customFormat="1" ht="15.75" x14ac:dyDescent="0.25">
      <c r="A348" s="108" t="s">
        <v>186</v>
      </c>
      <c r="B348" s="346" t="s">
        <v>1103</v>
      </c>
      <c r="C348" s="346" t="s">
        <v>187</v>
      </c>
      <c r="D348" s="346"/>
      <c r="E348" s="346"/>
      <c r="F348" s="341"/>
      <c r="G348" s="9">
        <f>G349</f>
        <v>1000.9</v>
      </c>
      <c r="H348" s="344"/>
    </row>
    <row r="349" spans="1:8" s="343" customFormat="1" ht="15.75" x14ac:dyDescent="0.25">
      <c r="A349" s="108" t="s">
        <v>188</v>
      </c>
      <c r="B349" s="346" t="s">
        <v>1103</v>
      </c>
      <c r="C349" s="346" t="s">
        <v>187</v>
      </c>
      <c r="D349" s="346" t="s">
        <v>159</v>
      </c>
      <c r="E349" s="346"/>
      <c r="F349" s="341"/>
      <c r="G349" s="9">
        <f>G350</f>
        <v>1000.9</v>
      </c>
      <c r="H349" s="344"/>
    </row>
    <row r="350" spans="1:8" s="343" customFormat="1" ht="31.5" x14ac:dyDescent="0.25">
      <c r="A350" s="22" t="s">
        <v>1122</v>
      </c>
      <c r="B350" s="346" t="s">
        <v>1217</v>
      </c>
      <c r="C350" s="346" t="s">
        <v>187</v>
      </c>
      <c r="D350" s="346" t="s">
        <v>159</v>
      </c>
      <c r="E350" s="346"/>
      <c r="F350" s="341"/>
      <c r="G350" s="9">
        <f>G351</f>
        <v>1000.9</v>
      </c>
      <c r="H350" s="344"/>
    </row>
    <row r="351" spans="1:8" s="343" customFormat="1" ht="31.5" x14ac:dyDescent="0.25">
      <c r="A351" s="345" t="s">
        <v>191</v>
      </c>
      <c r="B351" s="346" t="s">
        <v>1217</v>
      </c>
      <c r="C351" s="346" t="s">
        <v>187</v>
      </c>
      <c r="D351" s="346" t="s">
        <v>159</v>
      </c>
      <c r="E351" s="346" t="s">
        <v>192</v>
      </c>
      <c r="F351" s="341"/>
      <c r="G351" s="9">
        <f>G352</f>
        <v>1000.9</v>
      </c>
      <c r="H351" s="344"/>
    </row>
    <row r="352" spans="1:8" s="343" customFormat="1" ht="17.45" customHeight="1" x14ac:dyDescent="0.25">
      <c r="A352" s="113" t="s">
        <v>1104</v>
      </c>
      <c r="B352" s="346" t="s">
        <v>1217</v>
      </c>
      <c r="C352" s="346" t="s">
        <v>187</v>
      </c>
      <c r="D352" s="346" t="s">
        <v>159</v>
      </c>
      <c r="E352" s="346" t="s">
        <v>194</v>
      </c>
      <c r="F352" s="341"/>
      <c r="G352" s="9">
        <f>'Пр.4 ведом.22'!G872</f>
        <v>1000.9</v>
      </c>
      <c r="H352" s="344"/>
    </row>
    <row r="353" spans="1:8" s="343" customFormat="1" ht="31.5" x14ac:dyDescent="0.25">
      <c r="A353" s="20" t="s">
        <v>235</v>
      </c>
      <c r="B353" s="346" t="s">
        <v>1217</v>
      </c>
      <c r="C353" s="346" t="s">
        <v>187</v>
      </c>
      <c r="D353" s="346" t="s">
        <v>159</v>
      </c>
      <c r="E353" s="346" t="s">
        <v>194</v>
      </c>
      <c r="F353" s="341" t="s">
        <v>307</v>
      </c>
      <c r="G353" s="9">
        <f>G352</f>
        <v>1000.9</v>
      </c>
      <c r="H353" s="344"/>
    </row>
    <row r="354" spans="1:8" s="128" customFormat="1" ht="48.2" hidden="1" customHeight="1" x14ac:dyDescent="0.25">
      <c r="A354" s="138" t="s">
        <v>720</v>
      </c>
      <c r="B354" s="299" t="s">
        <v>829</v>
      </c>
      <c r="C354" s="341"/>
      <c r="D354" s="341"/>
      <c r="E354" s="341"/>
      <c r="F354" s="341"/>
      <c r="G354" s="35">
        <f>G355</f>
        <v>0</v>
      </c>
      <c r="H354" s="129"/>
    </row>
    <row r="355" spans="1:8" s="128" customFormat="1" ht="15" hidden="1" customHeight="1" x14ac:dyDescent="0.25">
      <c r="A355" s="20" t="s">
        <v>186</v>
      </c>
      <c r="B355" s="346" t="s">
        <v>829</v>
      </c>
      <c r="C355" s="341" t="s">
        <v>187</v>
      </c>
      <c r="D355" s="341"/>
      <c r="E355" s="341"/>
      <c r="F355" s="341"/>
      <c r="G355" s="9">
        <f>G356</f>
        <v>0</v>
      </c>
      <c r="H355" s="129"/>
    </row>
    <row r="356" spans="1:8" s="128" customFormat="1" ht="19.5" hidden="1" customHeight="1" x14ac:dyDescent="0.25">
      <c r="A356" s="20" t="s">
        <v>239</v>
      </c>
      <c r="B356" s="346" t="s">
        <v>829</v>
      </c>
      <c r="C356" s="341" t="s">
        <v>187</v>
      </c>
      <c r="D356" s="341" t="s">
        <v>158</v>
      </c>
      <c r="E356" s="341"/>
      <c r="F356" s="341"/>
      <c r="G356" s="9">
        <f>G357</f>
        <v>0</v>
      </c>
      <c r="H356" s="129"/>
    </row>
    <row r="357" spans="1:8" s="128" customFormat="1" ht="62.45" hidden="1" customHeight="1" x14ac:dyDescent="0.25">
      <c r="A357" s="108" t="s">
        <v>979</v>
      </c>
      <c r="B357" s="346" t="s">
        <v>830</v>
      </c>
      <c r="C357" s="341" t="s">
        <v>187</v>
      </c>
      <c r="D357" s="341" t="s">
        <v>158</v>
      </c>
      <c r="E357" s="341"/>
      <c r="F357" s="341"/>
      <c r="G357" s="9">
        <f>G358</f>
        <v>0</v>
      </c>
      <c r="H357" s="129"/>
    </row>
    <row r="358" spans="1:8" s="128" customFormat="1" ht="33.75" hidden="1" customHeight="1" x14ac:dyDescent="0.25">
      <c r="A358" s="22" t="s">
        <v>191</v>
      </c>
      <c r="B358" s="346" t="s">
        <v>830</v>
      </c>
      <c r="C358" s="341" t="s">
        <v>187</v>
      </c>
      <c r="D358" s="341" t="s">
        <v>158</v>
      </c>
      <c r="E358" s="341" t="s">
        <v>192</v>
      </c>
      <c r="F358" s="341"/>
      <c r="G358" s="9">
        <f>G359</f>
        <v>0</v>
      </c>
      <c r="H358" s="129"/>
    </row>
    <row r="359" spans="1:8" s="128" customFormat="1" ht="21.2" hidden="1" customHeight="1" x14ac:dyDescent="0.25">
      <c r="A359" s="22" t="s">
        <v>193</v>
      </c>
      <c r="B359" s="346" t="s">
        <v>830</v>
      </c>
      <c r="C359" s="341" t="s">
        <v>187</v>
      </c>
      <c r="D359" s="341" t="s">
        <v>158</v>
      </c>
      <c r="E359" s="341" t="s">
        <v>194</v>
      </c>
      <c r="F359" s="341"/>
      <c r="G359" s="9">
        <f>'Пр.4 ведом.22'!G826</f>
        <v>0</v>
      </c>
      <c r="H359" s="129"/>
    </row>
    <row r="360" spans="1:8" s="128" customFormat="1" ht="31.7" hidden="1" customHeight="1" x14ac:dyDescent="0.25">
      <c r="A360" s="20" t="s">
        <v>235</v>
      </c>
      <c r="B360" s="346" t="s">
        <v>830</v>
      </c>
      <c r="C360" s="341" t="s">
        <v>187</v>
      </c>
      <c r="D360" s="341" t="s">
        <v>158</v>
      </c>
      <c r="E360" s="341" t="s">
        <v>194</v>
      </c>
      <c r="F360" s="341" t="s">
        <v>307</v>
      </c>
      <c r="G360" s="9">
        <f>G354</f>
        <v>0</v>
      </c>
      <c r="H360" s="129"/>
    </row>
    <row r="361" spans="1:8" s="128" customFormat="1" ht="31.7" hidden="1" customHeight="1" x14ac:dyDescent="0.25">
      <c r="A361" s="24" t="s">
        <v>952</v>
      </c>
      <c r="B361" s="299" t="s">
        <v>953</v>
      </c>
      <c r="C361" s="341"/>
      <c r="D361" s="341"/>
      <c r="E361" s="341"/>
      <c r="F361" s="341"/>
      <c r="G361" s="35">
        <f>G362</f>
        <v>0</v>
      </c>
      <c r="H361" s="129"/>
    </row>
    <row r="362" spans="1:8" s="128" customFormat="1" ht="15.75" hidden="1" x14ac:dyDescent="0.25">
      <c r="A362" s="20" t="s">
        <v>186</v>
      </c>
      <c r="B362" s="346" t="s">
        <v>953</v>
      </c>
      <c r="C362" s="341" t="s">
        <v>187</v>
      </c>
      <c r="D362" s="341"/>
      <c r="E362" s="341"/>
      <c r="F362" s="341"/>
      <c r="G362" s="9">
        <f>G363</f>
        <v>0</v>
      </c>
      <c r="H362" s="129"/>
    </row>
    <row r="363" spans="1:8" s="128" customFormat="1" ht="15.75" hidden="1" x14ac:dyDescent="0.25">
      <c r="A363" s="20" t="s">
        <v>239</v>
      </c>
      <c r="B363" s="346" t="s">
        <v>953</v>
      </c>
      <c r="C363" s="341" t="s">
        <v>187</v>
      </c>
      <c r="D363" s="341" t="s">
        <v>158</v>
      </c>
      <c r="E363" s="341"/>
      <c r="F363" s="341"/>
      <c r="G363" s="9">
        <f>G364</f>
        <v>0</v>
      </c>
      <c r="H363" s="129"/>
    </row>
    <row r="364" spans="1:8" s="128" customFormat="1" ht="57.75" hidden="1" customHeight="1" x14ac:dyDescent="0.25">
      <c r="A364" s="22" t="s">
        <v>980</v>
      </c>
      <c r="B364" s="346" t="s">
        <v>954</v>
      </c>
      <c r="C364" s="341" t="s">
        <v>187</v>
      </c>
      <c r="D364" s="341" t="s">
        <v>158</v>
      </c>
      <c r="E364" s="341"/>
      <c r="F364" s="341"/>
      <c r="G364" s="9">
        <f>G365</f>
        <v>0</v>
      </c>
      <c r="H364" s="129"/>
    </row>
    <row r="365" spans="1:8" s="128" customFormat="1" ht="31.7" hidden="1" customHeight="1" x14ac:dyDescent="0.25">
      <c r="A365" s="22" t="s">
        <v>191</v>
      </c>
      <c r="B365" s="346" t="s">
        <v>954</v>
      </c>
      <c r="C365" s="341" t="s">
        <v>187</v>
      </c>
      <c r="D365" s="341" t="s">
        <v>158</v>
      </c>
      <c r="E365" s="341" t="s">
        <v>192</v>
      </c>
      <c r="F365" s="341"/>
      <c r="G365" s="9">
        <f>G366</f>
        <v>0</v>
      </c>
      <c r="H365" s="129"/>
    </row>
    <row r="366" spans="1:8" s="128" customFormat="1" ht="31.7" hidden="1" customHeight="1" x14ac:dyDescent="0.25">
      <c r="A366" s="22" t="s">
        <v>193</v>
      </c>
      <c r="B366" s="346" t="s">
        <v>954</v>
      </c>
      <c r="C366" s="341" t="s">
        <v>187</v>
      </c>
      <c r="D366" s="341" t="s">
        <v>158</v>
      </c>
      <c r="E366" s="341" t="s">
        <v>194</v>
      </c>
      <c r="F366" s="341"/>
      <c r="G366" s="9">
        <f>'Пр.4 ведом.22'!G830</f>
        <v>0</v>
      </c>
      <c r="H366" s="129"/>
    </row>
    <row r="367" spans="1:8" s="128" customFormat="1" ht="31.7" hidden="1" customHeight="1" x14ac:dyDescent="0.25">
      <c r="A367" s="20" t="s">
        <v>235</v>
      </c>
      <c r="B367" s="346" t="s">
        <v>954</v>
      </c>
      <c r="C367" s="341" t="s">
        <v>187</v>
      </c>
      <c r="D367" s="341" t="s">
        <v>158</v>
      </c>
      <c r="E367" s="341" t="s">
        <v>194</v>
      </c>
      <c r="F367" s="341" t="s">
        <v>307</v>
      </c>
      <c r="G367" s="9">
        <f>G361</f>
        <v>0</v>
      </c>
      <c r="H367" s="129"/>
    </row>
    <row r="368" spans="1:8" s="343" customFormat="1" ht="31.5" x14ac:dyDescent="0.25">
      <c r="A368" s="34" t="s">
        <v>1323</v>
      </c>
      <c r="B368" s="299" t="s">
        <v>1328</v>
      </c>
      <c r="C368" s="6"/>
      <c r="D368" s="6"/>
      <c r="E368" s="6"/>
      <c r="F368" s="6"/>
      <c r="G368" s="35">
        <f>G369</f>
        <v>99.5</v>
      </c>
      <c r="H368" s="344"/>
    </row>
    <row r="369" spans="1:8" s="343" customFormat="1" ht="15.75" x14ac:dyDescent="0.25">
      <c r="A369" s="20" t="s">
        <v>186</v>
      </c>
      <c r="B369" s="346" t="s">
        <v>1328</v>
      </c>
      <c r="C369" s="341" t="s">
        <v>187</v>
      </c>
      <c r="D369" s="341"/>
      <c r="E369" s="341"/>
      <c r="F369" s="341"/>
      <c r="G369" s="9">
        <f>G370</f>
        <v>99.5</v>
      </c>
      <c r="H369" s="344"/>
    </row>
    <row r="370" spans="1:8" s="343" customFormat="1" ht="15.75" x14ac:dyDescent="0.25">
      <c r="A370" s="20" t="s">
        <v>246</v>
      </c>
      <c r="B370" s="346" t="s">
        <v>1328</v>
      </c>
      <c r="C370" s="341" t="s">
        <v>187</v>
      </c>
      <c r="D370" s="341" t="s">
        <v>187</v>
      </c>
      <c r="E370" s="341"/>
      <c r="F370" s="341"/>
      <c r="G370" s="9">
        <f>G371</f>
        <v>99.5</v>
      </c>
      <c r="H370" s="344"/>
    </row>
    <row r="371" spans="1:8" s="343" customFormat="1" ht="31.5" x14ac:dyDescent="0.25">
      <c r="A371" s="345" t="s">
        <v>1322</v>
      </c>
      <c r="B371" s="346" t="s">
        <v>1329</v>
      </c>
      <c r="C371" s="341" t="s">
        <v>187</v>
      </c>
      <c r="D371" s="341" t="s">
        <v>187</v>
      </c>
      <c r="E371" s="341"/>
      <c r="F371" s="341"/>
      <c r="G371" s="9">
        <f>G372</f>
        <v>99.5</v>
      </c>
      <c r="H371" s="344"/>
    </row>
    <row r="372" spans="1:8" s="343" customFormat="1" ht="31.5" x14ac:dyDescent="0.25">
      <c r="A372" s="345" t="s">
        <v>191</v>
      </c>
      <c r="B372" s="346" t="s">
        <v>1329</v>
      </c>
      <c r="C372" s="341" t="s">
        <v>187</v>
      </c>
      <c r="D372" s="341" t="s">
        <v>187</v>
      </c>
      <c r="E372" s="341" t="s">
        <v>192</v>
      </c>
      <c r="F372" s="341"/>
      <c r="G372" s="9">
        <f>G373</f>
        <v>99.5</v>
      </c>
      <c r="H372" s="344"/>
    </row>
    <row r="373" spans="1:8" s="343" customFormat="1" ht="15.75" x14ac:dyDescent="0.25">
      <c r="A373" s="345" t="s">
        <v>193</v>
      </c>
      <c r="B373" s="346" t="s">
        <v>1329</v>
      </c>
      <c r="C373" s="341" t="s">
        <v>187</v>
      </c>
      <c r="D373" s="341" t="s">
        <v>187</v>
      </c>
      <c r="E373" s="341" t="s">
        <v>194</v>
      </c>
      <c r="F373" s="341"/>
      <c r="G373" s="9">
        <f>'Пр.4 ведом.22'!G887</f>
        <v>99.5</v>
      </c>
      <c r="H373" s="344"/>
    </row>
    <row r="374" spans="1:8" s="343" customFormat="1" ht="31.5" x14ac:dyDescent="0.25">
      <c r="A374" s="20" t="s">
        <v>235</v>
      </c>
      <c r="B374" s="346" t="s">
        <v>1329</v>
      </c>
      <c r="C374" s="341" t="s">
        <v>187</v>
      </c>
      <c r="D374" s="341" t="s">
        <v>187</v>
      </c>
      <c r="E374" s="341" t="s">
        <v>194</v>
      </c>
      <c r="F374" s="341" t="s">
        <v>307</v>
      </c>
      <c r="G374" s="9">
        <f>G373</f>
        <v>99.5</v>
      </c>
      <c r="H374" s="344"/>
    </row>
    <row r="375" spans="1:8" s="343" customFormat="1" ht="31.5" x14ac:dyDescent="0.25">
      <c r="A375" s="24" t="s">
        <v>959</v>
      </c>
      <c r="B375" s="299" t="s">
        <v>957</v>
      </c>
      <c r="C375" s="341"/>
      <c r="D375" s="341"/>
      <c r="E375" s="341"/>
      <c r="F375" s="341"/>
      <c r="G375" s="35">
        <f>G376</f>
        <v>1804</v>
      </c>
      <c r="H375" s="344"/>
    </row>
    <row r="376" spans="1:8" s="343" customFormat="1" ht="15.75" x14ac:dyDescent="0.25">
      <c r="A376" s="20" t="s">
        <v>186</v>
      </c>
      <c r="B376" s="346" t="s">
        <v>958</v>
      </c>
      <c r="C376" s="341" t="s">
        <v>187</v>
      </c>
      <c r="D376" s="341"/>
      <c r="E376" s="341"/>
      <c r="F376" s="341"/>
      <c r="G376" s="9">
        <f>G377</f>
        <v>1804</v>
      </c>
      <c r="H376" s="344"/>
    </row>
    <row r="377" spans="1:8" s="343" customFormat="1" ht="15.75" x14ac:dyDescent="0.25">
      <c r="A377" s="20" t="s">
        <v>239</v>
      </c>
      <c r="B377" s="346" t="s">
        <v>958</v>
      </c>
      <c r="C377" s="341" t="s">
        <v>187</v>
      </c>
      <c r="D377" s="341" t="s">
        <v>158</v>
      </c>
      <c r="E377" s="341"/>
      <c r="F377" s="341"/>
      <c r="G377" s="9">
        <f>G378</f>
        <v>1804</v>
      </c>
      <c r="H377" s="344"/>
    </row>
    <row r="378" spans="1:8" s="343" customFormat="1" ht="49.5" customHeight="1" x14ac:dyDescent="0.25">
      <c r="A378" s="22" t="s">
        <v>1278</v>
      </c>
      <c r="B378" s="346" t="s">
        <v>958</v>
      </c>
      <c r="C378" s="341" t="s">
        <v>187</v>
      </c>
      <c r="D378" s="341" t="s">
        <v>158</v>
      </c>
      <c r="E378" s="341" t="s">
        <v>192</v>
      </c>
      <c r="F378" s="341"/>
      <c r="G378" s="9">
        <f>G379</f>
        <v>1804</v>
      </c>
      <c r="H378" s="344"/>
    </row>
    <row r="379" spans="1:8" s="343" customFormat="1" ht="31.5" x14ac:dyDescent="0.25">
      <c r="A379" s="22" t="s">
        <v>191</v>
      </c>
      <c r="B379" s="346" t="s">
        <v>958</v>
      </c>
      <c r="C379" s="341" t="s">
        <v>187</v>
      </c>
      <c r="D379" s="341" t="s">
        <v>158</v>
      </c>
      <c r="E379" s="341" t="s">
        <v>194</v>
      </c>
      <c r="F379" s="341"/>
      <c r="G379" s="9">
        <f>'Пр.4 ведом.22'!G834</f>
        <v>1804</v>
      </c>
      <c r="H379" s="344"/>
    </row>
    <row r="380" spans="1:8" s="343" customFormat="1" ht="15.75" x14ac:dyDescent="0.25">
      <c r="A380" s="22" t="s">
        <v>193</v>
      </c>
      <c r="B380" s="346" t="s">
        <v>958</v>
      </c>
      <c r="C380" s="341" t="s">
        <v>187</v>
      </c>
      <c r="D380" s="341" t="s">
        <v>158</v>
      </c>
      <c r="E380" s="341" t="s">
        <v>194</v>
      </c>
      <c r="F380" s="341" t="s">
        <v>307</v>
      </c>
      <c r="G380" s="9">
        <f>G379</f>
        <v>1804</v>
      </c>
      <c r="H380" s="344"/>
    </row>
    <row r="381" spans="1:8" ht="47.25" x14ac:dyDescent="0.25">
      <c r="A381" s="34" t="s">
        <v>879</v>
      </c>
      <c r="B381" s="119" t="s">
        <v>141</v>
      </c>
      <c r="C381" s="6"/>
      <c r="D381" s="119"/>
      <c r="E381" s="119"/>
      <c r="F381" s="119"/>
      <c r="G381" s="35">
        <f>G383</f>
        <v>370</v>
      </c>
    </row>
    <row r="382" spans="1:8" s="128" customFormat="1" ht="36.75" customHeight="1" x14ac:dyDescent="0.25">
      <c r="A382" s="298" t="s">
        <v>619</v>
      </c>
      <c r="B382" s="299" t="s">
        <v>617</v>
      </c>
      <c r="C382" s="6"/>
      <c r="D382" s="6"/>
      <c r="E382" s="6"/>
      <c r="F382" s="6"/>
      <c r="G382" s="35">
        <f>G383</f>
        <v>370</v>
      </c>
      <c r="H382" s="129"/>
    </row>
    <row r="383" spans="1:8" ht="15.75" x14ac:dyDescent="0.25">
      <c r="A383" s="29" t="s">
        <v>166</v>
      </c>
      <c r="B383" s="4" t="s">
        <v>617</v>
      </c>
      <c r="C383" s="341" t="s">
        <v>139</v>
      </c>
      <c r="D383" s="341"/>
      <c r="E383" s="341"/>
      <c r="F383" s="341"/>
      <c r="G383" s="9">
        <f>G384</f>
        <v>370</v>
      </c>
    </row>
    <row r="384" spans="1:8" ht="15.75" x14ac:dyDescent="0.25">
      <c r="A384" s="29" t="s">
        <v>352</v>
      </c>
      <c r="B384" s="4" t="s">
        <v>617</v>
      </c>
      <c r="C384" s="341" t="s">
        <v>139</v>
      </c>
      <c r="D384" s="341" t="s">
        <v>171</v>
      </c>
      <c r="E384" s="341"/>
      <c r="F384" s="341"/>
      <c r="G384" s="9">
        <f>G385</f>
        <v>370</v>
      </c>
    </row>
    <row r="385" spans="1:8" ht="31.5" x14ac:dyDescent="0.25">
      <c r="A385" s="345" t="s">
        <v>620</v>
      </c>
      <c r="B385" s="346" t="s">
        <v>618</v>
      </c>
      <c r="C385" s="341" t="s">
        <v>139</v>
      </c>
      <c r="D385" s="341" t="s">
        <v>171</v>
      </c>
      <c r="E385" s="341"/>
      <c r="F385" s="341"/>
      <c r="G385" s="9">
        <f>G386</f>
        <v>370</v>
      </c>
    </row>
    <row r="386" spans="1:8" ht="15.75" x14ac:dyDescent="0.25">
      <c r="A386" s="345" t="s">
        <v>127</v>
      </c>
      <c r="B386" s="346" t="s">
        <v>618</v>
      </c>
      <c r="C386" s="341" t="s">
        <v>139</v>
      </c>
      <c r="D386" s="341" t="s">
        <v>171</v>
      </c>
      <c r="E386" s="341" t="s">
        <v>124</v>
      </c>
      <c r="F386" s="341"/>
      <c r="G386" s="9">
        <f>G387</f>
        <v>370</v>
      </c>
    </row>
    <row r="387" spans="1:8" ht="47.25" x14ac:dyDescent="0.25">
      <c r="A387" s="345" t="s">
        <v>148</v>
      </c>
      <c r="B387" s="346" t="s">
        <v>618</v>
      </c>
      <c r="C387" s="341" t="s">
        <v>139</v>
      </c>
      <c r="D387" s="341" t="s">
        <v>171</v>
      </c>
      <c r="E387" s="341" t="s">
        <v>126</v>
      </c>
      <c r="F387" s="341"/>
      <c r="G387" s="9">
        <f>'Пр.3 Рд,пр, ЦС,ВР 22'!F356</f>
        <v>370</v>
      </c>
    </row>
    <row r="388" spans="1:8" s="128" customFormat="1" ht="15.75" x14ac:dyDescent="0.25">
      <c r="A388" s="20" t="s">
        <v>137</v>
      </c>
      <c r="B388" s="346" t="s">
        <v>618</v>
      </c>
      <c r="C388" s="341" t="s">
        <v>139</v>
      </c>
      <c r="D388" s="341" t="s">
        <v>171</v>
      </c>
      <c r="E388" s="341" t="s">
        <v>126</v>
      </c>
      <c r="F388" s="341" t="s">
        <v>308</v>
      </c>
      <c r="G388" s="9">
        <f>G387</f>
        <v>370</v>
      </c>
      <c r="H388" s="129"/>
    </row>
    <row r="389" spans="1:8" ht="45.75" customHeight="1" x14ac:dyDescent="0.25">
      <c r="A389" s="340" t="s">
        <v>867</v>
      </c>
      <c r="B389" s="119" t="s">
        <v>143</v>
      </c>
      <c r="C389" s="6"/>
      <c r="D389" s="6"/>
      <c r="E389" s="6"/>
      <c r="F389" s="6"/>
      <c r="G389" s="35">
        <f>G390+G397+G416</f>
        <v>564.20000000000005</v>
      </c>
      <c r="H389" s="129">
        <v>806</v>
      </c>
    </row>
    <row r="390" spans="1:8" s="128" customFormat="1" ht="67.7" customHeight="1" x14ac:dyDescent="0.25">
      <c r="A390" s="196" t="s">
        <v>843</v>
      </c>
      <c r="B390" s="6" t="s">
        <v>423</v>
      </c>
      <c r="C390" s="6"/>
      <c r="D390" s="7"/>
      <c r="E390" s="119"/>
      <c r="F390" s="6"/>
      <c r="G390" s="35">
        <f>G392</f>
        <v>450</v>
      </c>
      <c r="H390" s="129"/>
    </row>
    <row r="391" spans="1:8" s="128" customFormat="1" ht="15.75" customHeight="1" x14ac:dyDescent="0.25">
      <c r="A391" s="29" t="s">
        <v>115</v>
      </c>
      <c r="B391" s="4" t="s">
        <v>423</v>
      </c>
      <c r="C391" s="341" t="s">
        <v>116</v>
      </c>
      <c r="D391" s="4"/>
      <c r="E391" s="4"/>
      <c r="F391" s="341"/>
      <c r="G391" s="9">
        <f t="shared" ref="G391" si="32">G392</f>
        <v>450</v>
      </c>
      <c r="H391" s="129"/>
    </row>
    <row r="392" spans="1:8" s="128" customFormat="1" ht="45.75" customHeight="1" x14ac:dyDescent="0.25">
      <c r="A392" s="20" t="s">
        <v>138</v>
      </c>
      <c r="B392" s="4" t="s">
        <v>423</v>
      </c>
      <c r="C392" s="341" t="s">
        <v>116</v>
      </c>
      <c r="D392" s="8" t="s">
        <v>139</v>
      </c>
      <c r="E392" s="4"/>
      <c r="F392" s="341"/>
      <c r="G392" s="9">
        <f>G393</f>
        <v>450</v>
      </c>
      <c r="H392" s="129"/>
    </row>
    <row r="393" spans="1:8" s="128" customFormat="1" ht="62.45" customHeight="1" x14ac:dyDescent="0.25">
      <c r="A393" s="20" t="s">
        <v>821</v>
      </c>
      <c r="B393" s="341" t="s">
        <v>416</v>
      </c>
      <c r="C393" s="341" t="s">
        <v>116</v>
      </c>
      <c r="D393" s="8" t="s">
        <v>139</v>
      </c>
      <c r="E393" s="341"/>
      <c r="F393" s="341"/>
      <c r="G393" s="9">
        <f t="shared" ref="G393:G394" si="33">G394</f>
        <v>450</v>
      </c>
      <c r="H393" s="129"/>
    </row>
    <row r="394" spans="1:8" s="128" customFormat="1" ht="34.5" customHeight="1" x14ac:dyDescent="0.25">
      <c r="A394" s="20" t="s">
        <v>123</v>
      </c>
      <c r="B394" s="341" t="s">
        <v>416</v>
      </c>
      <c r="C394" s="341" t="s">
        <v>116</v>
      </c>
      <c r="D394" s="8" t="s">
        <v>139</v>
      </c>
      <c r="E394" s="341" t="s">
        <v>124</v>
      </c>
      <c r="F394" s="341"/>
      <c r="G394" s="9">
        <f t="shared" si="33"/>
        <v>450</v>
      </c>
      <c r="H394" s="129"/>
    </row>
    <row r="395" spans="1:8" s="128" customFormat="1" ht="36" customHeight="1" x14ac:dyDescent="0.25">
      <c r="A395" s="20" t="s">
        <v>125</v>
      </c>
      <c r="B395" s="341" t="s">
        <v>416</v>
      </c>
      <c r="C395" s="341" t="s">
        <v>116</v>
      </c>
      <c r="D395" s="8" t="s">
        <v>139</v>
      </c>
      <c r="E395" s="341" t="s">
        <v>126</v>
      </c>
      <c r="F395" s="341"/>
      <c r="G395" s="9">
        <f>'Пр.3 Рд,пр, ЦС,ВР 22'!F90</f>
        <v>450</v>
      </c>
      <c r="H395" s="129"/>
    </row>
    <row r="396" spans="1:8" s="128" customFormat="1" ht="20.25" customHeight="1" x14ac:dyDescent="0.25">
      <c r="A396" s="20" t="s">
        <v>137</v>
      </c>
      <c r="B396" s="341" t="s">
        <v>416</v>
      </c>
      <c r="C396" s="341" t="s">
        <v>116</v>
      </c>
      <c r="D396" s="8" t="s">
        <v>139</v>
      </c>
      <c r="E396" s="341" t="s">
        <v>126</v>
      </c>
      <c r="F396" s="341" t="s">
        <v>308</v>
      </c>
      <c r="G396" s="9">
        <f>G395</f>
        <v>450</v>
      </c>
      <c r="H396" s="129"/>
    </row>
    <row r="397" spans="1:8" s="128" customFormat="1" ht="63" customHeight="1" x14ac:dyDescent="0.25">
      <c r="A397" s="141" t="s">
        <v>418</v>
      </c>
      <c r="B397" s="6" t="s">
        <v>424</v>
      </c>
      <c r="C397" s="6"/>
      <c r="D397" s="7"/>
      <c r="E397" s="119"/>
      <c r="F397" s="6"/>
      <c r="G397" s="35">
        <f>G398</f>
        <v>113.7</v>
      </c>
      <c r="H397" s="129"/>
    </row>
    <row r="398" spans="1:8" ht="15.75" x14ac:dyDescent="0.25">
      <c r="A398" s="29" t="s">
        <v>115</v>
      </c>
      <c r="B398" s="4" t="s">
        <v>424</v>
      </c>
      <c r="C398" s="341" t="s">
        <v>116</v>
      </c>
      <c r="D398" s="4"/>
      <c r="E398" s="4"/>
      <c r="F398" s="341"/>
      <c r="G398" s="9">
        <f>G399+G404</f>
        <v>113.7</v>
      </c>
    </row>
    <row r="399" spans="1:8" s="128" customFormat="1" ht="47.25" x14ac:dyDescent="0.25">
      <c r="A399" s="345" t="s">
        <v>285</v>
      </c>
      <c r="B399" s="4" t="s">
        <v>424</v>
      </c>
      <c r="C399" s="341" t="s">
        <v>116</v>
      </c>
      <c r="D399" s="8" t="s">
        <v>158</v>
      </c>
      <c r="E399" s="4"/>
      <c r="F399" s="341"/>
      <c r="G399" s="9">
        <f>G400</f>
        <v>0.5</v>
      </c>
      <c r="H399" s="129"/>
    </row>
    <row r="400" spans="1:8" s="128" customFormat="1" ht="47.25" x14ac:dyDescent="0.25">
      <c r="A400" s="22" t="s">
        <v>334</v>
      </c>
      <c r="B400" s="341" t="s">
        <v>554</v>
      </c>
      <c r="C400" s="346" t="s">
        <v>116</v>
      </c>
      <c r="D400" s="8" t="s">
        <v>158</v>
      </c>
      <c r="E400" s="4"/>
      <c r="F400" s="341"/>
      <c r="G400" s="9">
        <f>G401</f>
        <v>0.5</v>
      </c>
      <c r="H400" s="129"/>
    </row>
    <row r="401" spans="1:8" s="128" customFormat="1" ht="31.5" x14ac:dyDescent="0.25">
      <c r="A401" s="345" t="s">
        <v>123</v>
      </c>
      <c r="B401" s="341" t="s">
        <v>335</v>
      </c>
      <c r="C401" s="346" t="s">
        <v>116</v>
      </c>
      <c r="D401" s="8" t="s">
        <v>158</v>
      </c>
      <c r="E401" s="4">
        <v>200</v>
      </c>
      <c r="F401" s="341"/>
      <c r="G401" s="9">
        <f>G402</f>
        <v>0.5</v>
      </c>
      <c r="H401" s="129"/>
    </row>
    <row r="402" spans="1:8" s="128" customFormat="1" ht="31.5" x14ac:dyDescent="0.25">
      <c r="A402" s="345" t="s">
        <v>125</v>
      </c>
      <c r="B402" s="341" t="s">
        <v>335</v>
      </c>
      <c r="C402" s="346" t="s">
        <v>116</v>
      </c>
      <c r="D402" s="8" t="s">
        <v>158</v>
      </c>
      <c r="E402" s="4">
        <v>240</v>
      </c>
      <c r="F402" s="341"/>
      <c r="G402" s="9">
        <f>'Пр.4 ведом.22'!G53</f>
        <v>0.5</v>
      </c>
      <c r="H402" s="129"/>
    </row>
    <row r="403" spans="1:8" s="128" customFormat="1" ht="15.75" x14ac:dyDescent="0.25">
      <c r="A403" s="345" t="s">
        <v>137</v>
      </c>
      <c r="B403" s="341" t="s">
        <v>335</v>
      </c>
      <c r="C403" s="346" t="s">
        <v>116</v>
      </c>
      <c r="D403" s="8" t="s">
        <v>158</v>
      </c>
      <c r="E403" s="4">
        <v>240</v>
      </c>
      <c r="F403" s="341" t="s">
        <v>308</v>
      </c>
      <c r="G403" s="9">
        <f>G400</f>
        <v>0.5</v>
      </c>
      <c r="H403" s="129"/>
    </row>
    <row r="404" spans="1:8" s="128" customFormat="1" ht="63" x14ac:dyDescent="0.25">
      <c r="A404" s="20" t="s">
        <v>138</v>
      </c>
      <c r="B404" s="4" t="s">
        <v>424</v>
      </c>
      <c r="C404" s="341" t="s">
        <v>116</v>
      </c>
      <c r="D404" s="8" t="s">
        <v>139</v>
      </c>
      <c r="E404" s="4"/>
      <c r="F404" s="341"/>
      <c r="G404" s="9">
        <f>G405</f>
        <v>113.2</v>
      </c>
      <c r="H404" s="129"/>
    </row>
    <row r="405" spans="1:8" ht="47.25" x14ac:dyDescent="0.25">
      <c r="A405" s="100" t="s">
        <v>144</v>
      </c>
      <c r="B405" s="341" t="s">
        <v>417</v>
      </c>
      <c r="C405" s="341" t="s">
        <v>116</v>
      </c>
      <c r="D405" s="8" t="s">
        <v>139</v>
      </c>
      <c r="E405" s="341"/>
      <c r="F405" s="341"/>
      <c r="G405" s="9">
        <f>G406+G409</f>
        <v>113.2</v>
      </c>
    </row>
    <row r="406" spans="1:8" s="128" customFormat="1" ht="78.75" x14ac:dyDescent="0.25">
      <c r="A406" s="345" t="s">
        <v>119</v>
      </c>
      <c r="B406" s="341" t="s">
        <v>417</v>
      </c>
      <c r="C406" s="341" t="s">
        <v>116</v>
      </c>
      <c r="D406" s="8" t="s">
        <v>139</v>
      </c>
      <c r="E406" s="341" t="s">
        <v>120</v>
      </c>
      <c r="F406" s="341"/>
      <c r="G406" s="9">
        <f>G407</f>
        <v>37.200000000000003</v>
      </c>
      <c r="H406" s="129"/>
    </row>
    <row r="407" spans="1:8" s="128" customFormat="1" ht="31.5" x14ac:dyDescent="0.25">
      <c r="A407" s="345" t="s">
        <v>121</v>
      </c>
      <c r="B407" s="341" t="s">
        <v>417</v>
      </c>
      <c r="C407" s="341" t="s">
        <v>116</v>
      </c>
      <c r="D407" s="8" t="s">
        <v>139</v>
      </c>
      <c r="E407" s="341" t="s">
        <v>122</v>
      </c>
      <c r="F407" s="341"/>
      <c r="G407" s="9">
        <f>'Пр.3 Рд,пр, ЦС,ВР 22'!F94</f>
        <v>37.200000000000003</v>
      </c>
      <c r="H407" s="129"/>
    </row>
    <row r="408" spans="1:8" s="128" customFormat="1" ht="24" customHeight="1" x14ac:dyDescent="0.25">
      <c r="A408" s="20" t="s">
        <v>831</v>
      </c>
      <c r="B408" s="341" t="s">
        <v>417</v>
      </c>
      <c r="C408" s="341" t="s">
        <v>116</v>
      </c>
      <c r="D408" s="8" t="s">
        <v>139</v>
      </c>
      <c r="E408" s="341" t="s">
        <v>122</v>
      </c>
      <c r="F408" s="341" t="s">
        <v>308</v>
      </c>
      <c r="G408" s="9">
        <f>G407</f>
        <v>37.200000000000003</v>
      </c>
      <c r="H408" s="129"/>
    </row>
    <row r="409" spans="1:8" s="128" customFormat="1" ht="31.5" x14ac:dyDescent="0.25">
      <c r="A409" s="345" t="s">
        <v>123</v>
      </c>
      <c r="B409" s="341" t="s">
        <v>417</v>
      </c>
      <c r="C409" s="341" t="s">
        <v>116</v>
      </c>
      <c r="D409" s="8" t="s">
        <v>139</v>
      </c>
      <c r="E409" s="341" t="s">
        <v>124</v>
      </c>
      <c r="F409" s="341"/>
      <c r="G409" s="9">
        <f>G410</f>
        <v>76</v>
      </c>
      <c r="H409" s="129"/>
    </row>
    <row r="410" spans="1:8" s="128" customFormat="1" ht="31.5" x14ac:dyDescent="0.25">
      <c r="A410" s="345" t="s">
        <v>125</v>
      </c>
      <c r="B410" s="341" t="s">
        <v>417</v>
      </c>
      <c r="C410" s="341" t="s">
        <v>116</v>
      </c>
      <c r="D410" s="8" t="s">
        <v>139</v>
      </c>
      <c r="E410" s="341" t="s">
        <v>126</v>
      </c>
      <c r="F410" s="341"/>
      <c r="G410" s="9">
        <f>'Пр.3 Рд,пр, ЦС,ВР 22'!F96</f>
        <v>76</v>
      </c>
      <c r="H410" s="129"/>
    </row>
    <row r="411" spans="1:8" s="128" customFormat="1" ht="22.7" customHeight="1" x14ac:dyDescent="0.25">
      <c r="A411" s="20" t="s">
        <v>137</v>
      </c>
      <c r="B411" s="341" t="s">
        <v>417</v>
      </c>
      <c r="C411" s="341" t="s">
        <v>116</v>
      </c>
      <c r="D411" s="8" t="s">
        <v>139</v>
      </c>
      <c r="E411" s="341" t="s">
        <v>126</v>
      </c>
      <c r="F411" s="341" t="s">
        <v>308</v>
      </c>
      <c r="G411" s="9">
        <f>G410</f>
        <v>76</v>
      </c>
      <c r="H411" s="129"/>
    </row>
    <row r="412" spans="1:8" s="128" customFormat="1" ht="47.25" hidden="1" x14ac:dyDescent="0.25">
      <c r="A412" s="22" t="s">
        <v>334</v>
      </c>
      <c r="B412" s="341" t="s">
        <v>554</v>
      </c>
      <c r="C412" s="341" t="s">
        <v>116</v>
      </c>
      <c r="D412" s="8" t="s">
        <v>139</v>
      </c>
      <c r="E412" s="4"/>
      <c r="F412" s="341"/>
      <c r="G412" s="9">
        <f>G413</f>
        <v>0</v>
      </c>
      <c r="H412" s="129"/>
    </row>
    <row r="413" spans="1:8" s="128" customFormat="1" ht="31.5" hidden="1" x14ac:dyDescent="0.25">
      <c r="A413" s="345" t="s">
        <v>123</v>
      </c>
      <c r="B413" s="341" t="s">
        <v>554</v>
      </c>
      <c r="C413" s="341" t="s">
        <v>116</v>
      </c>
      <c r="D413" s="8" t="s">
        <v>139</v>
      </c>
      <c r="E413" s="4">
        <v>200</v>
      </c>
      <c r="F413" s="341"/>
      <c r="G413" s="9">
        <f>G414</f>
        <v>0</v>
      </c>
      <c r="H413" s="129"/>
    </row>
    <row r="414" spans="1:8" s="128" customFormat="1" ht="31.5" hidden="1" x14ac:dyDescent="0.25">
      <c r="A414" s="345" t="s">
        <v>125</v>
      </c>
      <c r="B414" s="341" t="s">
        <v>554</v>
      </c>
      <c r="C414" s="341" t="s">
        <v>116</v>
      </c>
      <c r="D414" s="8" t="s">
        <v>139</v>
      </c>
      <c r="E414" s="4">
        <v>240</v>
      </c>
      <c r="F414" s="341"/>
      <c r="G414" s="9">
        <f>'Пр.4 ведом.22'!G104</f>
        <v>0</v>
      </c>
      <c r="H414" s="129"/>
    </row>
    <row r="415" spans="1:8" s="128" customFormat="1" ht="21.2" hidden="1" customHeight="1" x14ac:dyDescent="0.25">
      <c r="A415" s="20" t="s">
        <v>137</v>
      </c>
      <c r="B415" s="341" t="s">
        <v>554</v>
      </c>
      <c r="C415" s="341" t="s">
        <v>116</v>
      </c>
      <c r="D415" s="8" t="s">
        <v>139</v>
      </c>
      <c r="E415" s="4">
        <v>240</v>
      </c>
      <c r="F415" s="341" t="s">
        <v>308</v>
      </c>
      <c r="G415" s="9">
        <f>G414</f>
        <v>0</v>
      </c>
      <c r="H415" s="129"/>
    </row>
    <row r="416" spans="1:8" s="128" customFormat="1" ht="63" x14ac:dyDescent="0.25">
      <c r="A416" s="142" t="s">
        <v>564</v>
      </c>
      <c r="B416" s="6" t="s">
        <v>425</v>
      </c>
      <c r="C416" s="6"/>
      <c r="D416" s="7"/>
      <c r="E416" s="6"/>
      <c r="F416" s="6"/>
      <c r="G416" s="35">
        <f>G417</f>
        <v>0.5</v>
      </c>
      <c r="H416" s="129"/>
    </row>
    <row r="417" spans="1:8" s="128" customFormat="1" ht="15.75" x14ac:dyDescent="0.25">
      <c r="A417" s="29" t="s">
        <v>115</v>
      </c>
      <c r="B417" s="341" t="s">
        <v>425</v>
      </c>
      <c r="C417" s="341" t="s">
        <v>116</v>
      </c>
      <c r="D417" s="8"/>
      <c r="E417" s="6"/>
      <c r="F417" s="6"/>
      <c r="G417" s="9">
        <f>G418</f>
        <v>0.5</v>
      </c>
      <c r="H417" s="129"/>
    </row>
    <row r="418" spans="1:8" s="128" customFormat="1" ht="63" x14ac:dyDescent="0.25">
      <c r="A418" s="20" t="s">
        <v>138</v>
      </c>
      <c r="B418" s="341" t="s">
        <v>425</v>
      </c>
      <c r="C418" s="341" t="s">
        <v>116</v>
      </c>
      <c r="D418" s="8" t="s">
        <v>139</v>
      </c>
      <c r="E418" s="6"/>
      <c r="F418" s="6"/>
      <c r="G418" s="9">
        <f>G419</f>
        <v>0.5</v>
      </c>
      <c r="H418" s="129"/>
    </row>
    <row r="419" spans="1:8" s="128" customFormat="1" ht="47.25" x14ac:dyDescent="0.25">
      <c r="A419" s="23" t="s">
        <v>151</v>
      </c>
      <c r="B419" s="341" t="s">
        <v>419</v>
      </c>
      <c r="C419" s="341" t="s">
        <v>116</v>
      </c>
      <c r="D419" s="8" t="s">
        <v>139</v>
      </c>
      <c r="E419" s="341"/>
      <c r="F419" s="341"/>
      <c r="G419" s="9">
        <f>G420</f>
        <v>0.5</v>
      </c>
      <c r="H419" s="129"/>
    </row>
    <row r="420" spans="1:8" s="128" customFormat="1" ht="31.5" x14ac:dyDescent="0.25">
      <c r="A420" s="345" t="s">
        <v>123</v>
      </c>
      <c r="B420" s="341" t="s">
        <v>419</v>
      </c>
      <c r="C420" s="341" t="s">
        <v>116</v>
      </c>
      <c r="D420" s="8" t="s">
        <v>139</v>
      </c>
      <c r="E420" s="341" t="s">
        <v>124</v>
      </c>
      <c r="F420" s="341"/>
      <c r="G420" s="9">
        <f>G421</f>
        <v>0.5</v>
      </c>
      <c r="H420" s="129"/>
    </row>
    <row r="421" spans="1:8" s="128" customFormat="1" ht="31.5" x14ac:dyDescent="0.25">
      <c r="A421" s="345" t="s">
        <v>125</v>
      </c>
      <c r="B421" s="341" t="s">
        <v>419</v>
      </c>
      <c r="C421" s="341" t="s">
        <v>116</v>
      </c>
      <c r="D421" s="8" t="s">
        <v>139</v>
      </c>
      <c r="E421" s="341" t="s">
        <v>126</v>
      </c>
      <c r="F421" s="341"/>
      <c r="G421" s="9">
        <f>'Пр.3 Рд,пр, ЦС,ВР 22'!F103</f>
        <v>0.5</v>
      </c>
      <c r="H421" s="129"/>
    </row>
    <row r="422" spans="1:8" s="128" customFormat="1" ht="21.75" customHeight="1" x14ac:dyDescent="0.25">
      <c r="A422" s="20" t="s">
        <v>137</v>
      </c>
      <c r="B422" s="341" t="s">
        <v>419</v>
      </c>
      <c r="C422" s="341" t="s">
        <v>116</v>
      </c>
      <c r="D422" s="8" t="s">
        <v>139</v>
      </c>
      <c r="E422" s="341" t="s">
        <v>126</v>
      </c>
      <c r="F422" s="341" t="s">
        <v>308</v>
      </c>
      <c r="G422" s="9">
        <f>G421</f>
        <v>0.5</v>
      </c>
      <c r="H422" s="129"/>
    </row>
    <row r="423" spans="1:8" ht="70.5" customHeight="1" x14ac:dyDescent="0.25">
      <c r="A423" s="340" t="s">
        <v>850</v>
      </c>
      <c r="B423" s="119" t="s">
        <v>182</v>
      </c>
      <c r="C423" s="341"/>
      <c r="D423" s="341"/>
      <c r="E423" s="341"/>
      <c r="F423" s="341"/>
      <c r="G423" s="35">
        <f t="shared" ref="G423" si="34">G425</f>
        <v>10</v>
      </c>
      <c r="H423" s="129">
        <v>10</v>
      </c>
    </row>
    <row r="424" spans="1:8" s="128" customFormat="1" ht="54" customHeight="1" x14ac:dyDescent="0.25">
      <c r="A424" s="298" t="s">
        <v>457</v>
      </c>
      <c r="B424" s="299" t="s">
        <v>455</v>
      </c>
      <c r="C424" s="341"/>
      <c r="D424" s="341"/>
      <c r="E424" s="341"/>
      <c r="F424" s="341"/>
      <c r="G424" s="35">
        <f>G425</f>
        <v>10</v>
      </c>
      <c r="H424" s="129"/>
    </row>
    <row r="425" spans="1:8" ht="15.75" x14ac:dyDescent="0.25">
      <c r="A425" s="20" t="s">
        <v>173</v>
      </c>
      <c r="B425" s="4" t="s">
        <v>455</v>
      </c>
      <c r="C425" s="341" t="s">
        <v>174</v>
      </c>
      <c r="D425" s="341"/>
      <c r="E425" s="341"/>
      <c r="F425" s="341"/>
      <c r="G425" s="9">
        <f>G426</f>
        <v>10</v>
      </c>
    </row>
    <row r="426" spans="1:8" ht="22.7" customHeight="1" x14ac:dyDescent="0.25">
      <c r="A426" s="20" t="s">
        <v>181</v>
      </c>
      <c r="B426" s="4" t="s">
        <v>455</v>
      </c>
      <c r="C426" s="341" t="s">
        <v>174</v>
      </c>
      <c r="D426" s="341" t="s">
        <v>159</v>
      </c>
      <c r="E426" s="341"/>
      <c r="F426" s="341"/>
      <c r="G426" s="9">
        <f>G427</f>
        <v>10</v>
      </c>
    </row>
    <row r="427" spans="1:8" ht="31.5" x14ac:dyDescent="0.25">
      <c r="A427" s="345" t="s">
        <v>456</v>
      </c>
      <c r="B427" s="346" t="s">
        <v>726</v>
      </c>
      <c r="C427" s="341" t="s">
        <v>174</v>
      </c>
      <c r="D427" s="341" t="s">
        <v>159</v>
      </c>
      <c r="E427" s="341"/>
      <c r="F427" s="341"/>
      <c r="G427" s="9">
        <f t="shared" ref="G427:G428" si="35">G428</f>
        <v>10</v>
      </c>
    </row>
    <row r="428" spans="1:8" ht="21.75" customHeight="1" x14ac:dyDescent="0.25">
      <c r="A428" s="345" t="s">
        <v>177</v>
      </c>
      <c r="B428" s="346" t="s">
        <v>726</v>
      </c>
      <c r="C428" s="341" t="s">
        <v>174</v>
      </c>
      <c r="D428" s="341" t="s">
        <v>159</v>
      </c>
      <c r="E428" s="341" t="s">
        <v>178</v>
      </c>
      <c r="F428" s="341"/>
      <c r="G428" s="9">
        <f t="shared" si="35"/>
        <v>10</v>
      </c>
    </row>
    <row r="429" spans="1:8" ht="31.7" customHeight="1" x14ac:dyDescent="0.25">
      <c r="A429" s="345" t="s">
        <v>179</v>
      </c>
      <c r="B429" s="346" t="s">
        <v>726</v>
      </c>
      <c r="C429" s="341" t="s">
        <v>174</v>
      </c>
      <c r="D429" s="341" t="s">
        <v>159</v>
      </c>
      <c r="E429" s="341" t="s">
        <v>180</v>
      </c>
      <c r="F429" s="341"/>
      <c r="G429" s="9">
        <f>'Пр.4 ведом.22'!G258</f>
        <v>10</v>
      </c>
    </row>
    <row r="430" spans="1:8" ht="22.7" customHeight="1" x14ac:dyDescent="0.25">
      <c r="A430" s="20" t="s">
        <v>137</v>
      </c>
      <c r="B430" s="346" t="s">
        <v>726</v>
      </c>
      <c r="C430" s="341" t="s">
        <v>174</v>
      </c>
      <c r="D430" s="341" t="s">
        <v>159</v>
      </c>
      <c r="E430" s="341" t="s">
        <v>180</v>
      </c>
      <c r="F430" s="341" t="s">
        <v>308</v>
      </c>
      <c r="G430" s="9">
        <f>G429</f>
        <v>10</v>
      </c>
    </row>
    <row r="431" spans="1:8" ht="53.45" customHeight="1" x14ac:dyDescent="0.25">
      <c r="A431" s="340" t="s">
        <v>870</v>
      </c>
      <c r="B431" s="3" t="s">
        <v>249</v>
      </c>
      <c r="C431" s="42"/>
      <c r="D431" s="42"/>
      <c r="E431" s="42"/>
      <c r="F431" s="42"/>
      <c r="G431" s="294">
        <f>G432+G439+G458+G469+G476+G486+G500+G507</f>
        <v>66360.98636000001</v>
      </c>
      <c r="H431" s="129">
        <v>49079.7</v>
      </c>
    </row>
    <row r="432" spans="1:8" s="128" customFormat="1" ht="31.5" x14ac:dyDescent="0.25">
      <c r="A432" s="298" t="s">
        <v>505</v>
      </c>
      <c r="B432" s="299" t="s">
        <v>788</v>
      </c>
      <c r="C432" s="6"/>
      <c r="D432" s="6"/>
      <c r="E432" s="143"/>
      <c r="F432" s="119"/>
      <c r="G432" s="35">
        <f>G433</f>
        <v>55300.286360000006</v>
      </c>
      <c r="H432" s="129"/>
    </row>
    <row r="433" spans="1:8" ht="17.45" customHeight="1" x14ac:dyDescent="0.25">
      <c r="A433" s="20" t="s">
        <v>250</v>
      </c>
      <c r="B433" s="341" t="s">
        <v>788</v>
      </c>
      <c r="C433" s="2">
        <v>11</v>
      </c>
      <c r="D433" s="42"/>
      <c r="E433" s="42"/>
      <c r="F433" s="42"/>
      <c r="G433" s="9">
        <f t="shared" ref="G433" si="36">G434</f>
        <v>55300.286360000006</v>
      </c>
    </row>
    <row r="434" spans="1:8" ht="19.5" customHeight="1" x14ac:dyDescent="0.25">
      <c r="A434" s="20" t="s">
        <v>252</v>
      </c>
      <c r="B434" s="341" t="s">
        <v>788</v>
      </c>
      <c r="C434" s="341" t="s">
        <v>251</v>
      </c>
      <c r="D434" s="341" t="s">
        <v>116</v>
      </c>
      <c r="E434" s="43"/>
      <c r="F434" s="4"/>
      <c r="G434" s="9">
        <f>G435</f>
        <v>55300.286360000006</v>
      </c>
    </row>
    <row r="435" spans="1:8" ht="31.5" x14ac:dyDescent="0.25">
      <c r="A435" s="345" t="s">
        <v>811</v>
      </c>
      <c r="B435" s="346" t="s">
        <v>789</v>
      </c>
      <c r="C435" s="341" t="s">
        <v>251</v>
      </c>
      <c r="D435" s="341" t="s">
        <v>116</v>
      </c>
      <c r="E435" s="43"/>
      <c r="F435" s="4"/>
      <c r="G435" s="9">
        <f>G436</f>
        <v>55300.286360000006</v>
      </c>
    </row>
    <row r="436" spans="1:8" ht="31.5" x14ac:dyDescent="0.25">
      <c r="A436" s="20" t="s">
        <v>191</v>
      </c>
      <c r="B436" s="346" t="s">
        <v>789</v>
      </c>
      <c r="C436" s="341" t="s">
        <v>251</v>
      </c>
      <c r="D436" s="341" t="s">
        <v>116</v>
      </c>
      <c r="E436" s="341" t="s">
        <v>192</v>
      </c>
      <c r="F436" s="4"/>
      <c r="G436" s="9">
        <f>G437</f>
        <v>55300.286360000006</v>
      </c>
    </row>
    <row r="437" spans="1:8" ht="15.75" x14ac:dyDescent="0.25">
      <c r="A437" s="20" t="s">
        <v>193</v>
      </c>
      <c r="B437" s="346" t="s">
        <v>789</v>
      </c>
      <c r="C437" s="341" t="s">
        <v>251</v>
      </c>
      <c r="D437" s="341" t="s">
        <v>116</v>
      </c>
      <c r="E437" s="341" t="s">
        <v>194</v>
      </c>
      <c r="F437" s="4"/>
      <c r="G437" s="9">
        <f>'Пр.4 ведом.22'!G951</f>
        <v>55300.286360000006</v>
      </c>
    </row>
    <row r="438" spans="1:8" s="128" customFormat="1" ht="31.5" x14ac:dyDescent="0.25">
      <c r="A438" s="29" t="s">
        <v>248</v>
      </c>
      <c r="B438" s="346" t="s">
        <v>789</v>
      </c>
      <c r="C438" s="341" t="s">
        <v>251</v>
      </c>
      <c r="D438" s="341" t="s">
        <v>116</v>
      </c>
      <c r="E438" s="341" t="s">
        <v>194</v>
      </c>
      <c r="F438" s="4">
        <v>907</v>
      </c>
      <c r="G438" s="9">
        <f>G437</f>
        <v>55300.286360000006</v>
      </c>
      <c r="H438" s="129"/>
    </row>
    <row r="439" spans="1:8" s="128" customFormat="1" ht="31.5" x14ac:dyDescent="0.25">
      <c r="A439" s="298" t="s">
        <v>511</v>
      </c>
      <c r="B439" s="299" t="s">
        <v>790</v>
      </c>
      <c r="C439" s="6"/>
      <c r="D439" s="6"/>
      <c r="E439" s="6"/>
      <c r="F439" s="119"/>
      <c r="G439" s="35">
        <f>G440</f>
        <v>436</v>
      </c>
      <c r="H439" s="129"/>
    </row>
    <row r="440" spans="1:8" s="128" customFormat="1" ht="15.75" x14ac:dyDescent="0.25">
      <c r="A440" s="20" t="s">
        <v>250</v>
      </c>
      <c r="B440" s="346" t="s">
        <v>790</v>
      </c>
      <c r="C440" s="2">
        <v>11</v>
      </c>
      <c r="D440" s="42"/>
      <c r="E440" s="42"/>
      <c r="F440" s="42"/>
      <c r="G440" s="9">
        <f>G441</f>
        <v>436</v>
      </c>
      <c r="H440" s="129"/>
    </row>
    <row r="441" spans="1:8" s="128" customFormat="1" ht="16.5" x14ac:dyDescent="0.25">
      <c r="A441" s="20" t="s">
        <v>252</v>
      </c>
      <c r="B441" s="346" t="s">
        <v>790</v>
      </c>
      <c r="C441" s="341" t="s">
        <v>251</v>
      </c>
      <c r="D441" s="341" t="s">
        <v>116</v>
      </c>
      <c r="E441" s="43"/>
      <c r="F441" s="4"/>
      <c r="G441" s="9">
        <f>G442+G446+G450+G454</f>
        <v>436</v>
      </c>
      <c r="H441" s="129"/>
    </row>
    <row r="442" spans="1:8" ht="31.7" hidden="1" customHeight="1" x14ac:dyDescent="0.25">
      <c r="A442" s="20" t="s">
        <v>195</v>
      </c>
      <c r="B442" s="346" t="s">
        <v>832</v>
      </c>
      <c r="C442" s="341" t="s">
        <v>251</v>
      </c>
      <c r="D442" s="341" t="s">
        <v>116</v>
      </c>
      <c r="E442" s="341"/>
      <c r="F442" s="4"/>
      <c r="G442" s="9">
        <f t="shared" ref="G442:G443" si="37">G443</f>
        <v>0</v>
      </c>
    </row>
    <row r="443" spans="1:8" ht="31.7" hidden="1" customHeight="1" x14ac:dyDescent="0.25">
      <c r="A443" s="20" t="s">
        <v>191</v>
      </c>
      <c r="B443" s="346" t="s">
        <v>832</v>
      </c>
      <c r="C443" s="341" t="s">
        <v>251</v>
      </c>
      <c r="D443" s="341" t="s">
        <v>116</v>
      </c>
      <c r="E443" s="341" t="s">
        <v>192</v>
      </c>
      <c r="F443" s="4"/>
      <c r="G443" s="9">
        <f t="shared" si="37"/>
        <v>0</v>
      </c>
    </row>
    <row r="444" spans="1:8" ht="15.75" hidden="1" customHeight="1" x14ac:dyDescent="0.25">
      <c r="A444" s="20" t="s">
        <v>193</v>
      </c>
      <c r="B444" s="346" t="s">
        <v>832</v>
      </c>
      <c r="C444" s="341" t="s">
        <v>251</v>
      </c>
      <c r="D444" s="341" t="s">
        <v>116</v>
      </c>
      <c r="E444" s="341" t="s">
        <v>194</v>
      </c>
      <c r="F444" s="4"/>
      <c r="G444" s="9">
        <f>'Пр.4 ведом.22'!G955</f>
        <v>0</v>
      </c>
    </row>
    <row r="445" spans="1:8" s="128" customFormat="1" ht="34.5" hidden="1" customHeight="1" x14ac:dyDescent="0.25">
      <c r="A445" s="29" t="s">
        <v>248</v>
      </c>
      <c r="B445" s="346" t="s">
        <v>832</v>
      </c>
      <c r="C445" s="341" t="s">
        <v>251</v>
      </c>
      <c r="D445" s="341" t="s">
        <v>116</v>
      </c>
      <c r="E445" s="341" t="s">
        <v>194</v>
      </c>
      <c r="F445" s="4">
        <v>907</v>
      </c>
      <c r="G445" s="9">
        <f>G444</f>
        <v>0</v>
      </c>
      <c r="H445" s="129"/>
    </row>
    <row r="446" spans="1:8" ht="31.7" customHeight="1" x14ac:dyDescent="0.25">
      <c r="A446" s="20" t="s">
        <v>196</v>
      </c>
      <c r="B446" s="346" t="s">
        <v>833</v>
      </c>
      <c r="C446" s="341" t="s">
        <v>251</v>
      </c>
      <c r="D446" s="341" t="s">
        <v>116</v>
      </c>
      <c r="E446" s="341"/>
      <c r="F446" s="4"/>
      <c r="G446" s="9">
        <f t="shared" ref="G446:G447" si="38">G447</f>
        <v>400</v>
      </c>
    </row>
    <row r="447" spans="1:8" ht="31.7" customHeight="1" x14ac:dyDescent="0.25">
      <c r="A447" s="20" t="s">
        <v>191</v>
      </c>
      <c r="B447" s="346" t="s">
        <v>833</v>
      </c>
      <c r="C447" s="341" t="s">
        <v>251</v>
      </c>
      <c r="D447" s="341" t="s">
        <v>116</v>
      </c>
      <c r="E447" s="341" t="s">
        <v>192</v>
      </c>
      <c r="F447" s="4"/>
      <c r="G447" s="9">
        <f t="shared" si="38"/>
        <v>400</v>
      </c>
    </row>
    <row r="448" spans="1:8" ht="15.75" customHeight="1" x14ac:dyDescent="0.25">
      <c r="A448" s="20" t="s">
        <v>193</v>
      </c>
      <c r="B448" s="346" t="s">
        <v>833</v>
      </c>
      <c r="C448" s="341" t="s">
        <v>251</v>
      </c>
      <c r="D448" s="341" t="s">
        <v>116</v>
      </c>
      <c r="E448" s="341" t="s">
        <v>194</v>
      </c>
      <c r="F448" s="4"/>
      <c r="G448" s="9">
        <f>'Пр.4 ведом.22'!G958</f>
        <v>400</v>
      </c>
    </row>
    <row r="449" spans="1:8" s="128" customFormat="1" ht="36" customHeight="1" x14ac:dyDescent="0.25">
      <c r="A449" s="29" t="s">
        <v>248</v>
      </c>
      <c r="B449" s="346" t="s">
        <v>833</v>
      </c>
      <c r="C449" s="341" t="s">
        <v>251</v>
      </c>
      <c r="D449" s="341" t="s">
        <v>116</v>
      </c>
      <c r="E449" s="341" t="s">
        <v>194</v>
      </c>
      <c r="F449" s="4">
        <v>907</v>
      </c>
      <c r="G449" s="9">
        <f>G448</f>
        <v>400</v>
      </c>
      <c r="H449" s="129"/>
    </row>
    <row r="450" spans="1:8" s="128" customFormat="1" ht="15.75" customHeight="1" x14ac:dyDescent="0.25">
      <c r="A450" s="345" t="s">
        <v>405</v>
      </c>
      <c r="B450" s="346" t="s">
        <v>791</v>
      </c>
      <c r="C450" s="341" t="s">
        <v>251</v>
      </c>
      <c r="D450" s="341" t="s">
        <v>116</v>
      </c>
      <c r="E450" s="341"/>
      <c r="F450" s="4"/>
      <c r="G450" s="9">
        <f>G451</f>
        <v>36</v>
      </c>
      <c r="H450" s="129"/>
    </row>
    <row r="451" spans="1:8" s="128" customFormat="1" ht="31.5" x14ac:dyDescent="0.25">
      <c r="A451" s="345" t="s">
        <v>191</v>
      </c>
      <c r="B451" s="346" t="s">
        <v>791</v>
      </c>
      <c r="C451" s="341" t="s">
        <v>251</v>
      </c>
      <c r="D451" s="341" t="s">
        <v>116</v>
      </c>
      <c r="E451" s="341" t="s">
        <v>192</v>
      </c>
      <c r="F451" s="4"/>
      <c r="G451" s="9">
        <f>G452</f>
        <v>36</v>
      </c>
      <c r="H451" s="129"/>
    </row>
    <row r="452" spans="1:8" s="128" customFormat="1" ht="15.75" customHeight="1" x14ac:dyDescent="0.25">
      <c r="A452" s="345" t="s">
        <v>193</v>
      </c>
      <c r="B452" s="346" t="s">
        <v>791</v>
      </c>
      <c r="C452" s="341" t="s">
        <v>251</v>
      </c>
      <c r="D452" s="341" t="s">
        <v>116</v>
      </c>
      <c r="E452" s="341" t="s">
        <v>194</v>
      </c>
      <c r="F452" s="4"/>
      <c r="G452" s="9">
        <f>'Пр.4 ведом.22'!G961</f>
        <v>36</v>
      </c>
      <c r="H452" s="129"/>
    </row>
    <row r="453" spans="1:8" s="128" customFormat="1" ht="33" customHeight="1" x14ac:dyDescent="0.25">
      <c r="A453" s="29" t="s">
        <v>248</v>
      </c>
      <c r="B453" s="346" t="s">
        <v>791</v>
      </c>
      <c r="C453" s="341" t="s">
        <v>251</v>
      </c>
      <c r="D453" s="341" t="s">
        <v>116</v>
      </c>
      <c r="E453" s="341" t="s">
        <v>194</v>
      </c>
      <c r="F453" s="4">
        <v>907</v>
      </c>
      <c r="G453" s="9">
        <f>G452</f>
        <v>36</v>
      </c>
      <c r="H453" s="129"/>
    </row>
    <row r="454" spans="1:8" s="397" customFormat="1" ht="33" hidden="1" customHeight="1" x14ac:dyDescent="0.25">
      <c r="A454" s="345" t="s">
        <v>199</v>
      </c>
      <c r="B454" s="346" t="s">
        <v>1089</v>
      </c>
      <c r="C454" s="341" t="s">
        <v>251</v>
      </c>
      <c r="D454" s="341" t="s">
        <v>116</v>
      </c>
      <c r="E454" s="341"/>
      <c r="F454" s="4"/>
      <c r="G454" s="9">
        <f>G455</f>
        <v>0</v>
      </c>
    </row>
    <row r="455" spans="1:8" s="397" customFormat="1" ht="33" hidden="1" customHeight="1" x14ac:dyDescent="0.25">
      <c r="A455" s="345" t="s">
        <v>191</v>
      </c>
      <c r="B455" s="346" t="s">
        <v>1089</v>
      </c>
      <c r="C455" s="341" t="s">
        <v>251</v>
      </c>
      <c r="D455" s="341" t="s">
        <v>116</v>
      </c>
      <c r="E455" s="341" t="s">
        <v>192</v>
      </c>
      <c r="F455" s="4"/>
      <c r="G455" s="9">
        <f>G456</f>
        <v>0</v>
      </c>
    </row>
    <row r="456" spans="1:8" s="397" customFormat="1" ht="21.75" hidden="1" customHeight="1" x14ac:dyDescent="0.25">
      <c r="A456" s="345" t="s">
        <v>193</v>
      </c>
      <c r="B456" s="346" t="s">
        <v>1089</v>
      </c>
      <c r="C456" s="341" t="s">
        <v>251</v>
      </c>
      <c r="D456" s="341" t="s">
        <v>116</v>
      </c>
      <c r="E456" s="341" t="s">
        <v>194</v>
      </c>
      <c r="F456" s="4"/>
      <c r="G456" s="9">
        <f>'Пр.4 ведом.22'!G964</f>
        <v>0</v>
      </c>
    </row>
    <row r="457" spans="1:8" s="397" customFormat="1" ht="33" hidden="1" customHeight="1" x14ac:dyDescent="0.25">
      <c r="A457" s="29" t="s">
        <v>248</v>
      </c>
      <c r="B457" s="346" t="s">
        <v>1089</v>
      </c>
      <c r="C457" s="341" t="s">
        <v>251</v>
      </c>
      <c r="D457" s="341" t="s">
        <v>116</v>
      </c>
      <c r="E457" s="341" t="s">
        <v>194</v>
      </c>
      <c r="F457" s="4">
        <v>907</v>
      </c>
      <c r="G457" s="9">
        <f>G456</f>
        <v>0</v>
      </c>
    </row>
    <row r="458" spans="1:8" s="128" customFormat="1" ht="36" customHeight="1" x14ac:dyDescent="0.25">
      <c r="A458" s="298" t="s">
        <v>512</v>
      </c>
      <c r="B458" s="299" t="s">
        <v>792</v>
      </c>
      <c r="C458" s="6"/>
      <c r="D458" s="6"/>
      <c r="E458" s="6"/>
      <c r="F458" s="119"/>
      <c r="G458" s="35">
        <f>G459</f>
        <v>1290</v>
      </c>
      <c r="H458" s="129"/>
    </row>
    <row r="459" spans="1:8" s="128" customFormat="1" ht="18" customHeight="1" x14ac:dyDescent="0.25">
      <c r="A459" s="20" t="s">
        <v>250</v>
      </c>
      <c r="B459" s="346" t="s">
        <v>792</v>
      </c>
      <c r="C459" s="2">
        <v>11</v>
      </c>
      <c r="D459" s="42"/>
      <c r="E459" s="42"/>
      <c r="F459" s="42"/>
      <c r="G459" s="9">
        <f t="shared" ref="G459" si="39">G460</f>
        <v>1290</v>
      </c>
      <c r="H459" s="129"/>
    </row>
    <row r="460" spans="1:8" s="128" customFormat="1" ht="18" customHeight="1" x14ac:dyDescent="0.25">
      <c r="A460" s="20" t="s">
        <v>252</v>
      </c>
      <c r="B460" s="346" t="s">
        <v>792</v>
      </c>
      <c r="C460" s="341" t="s">
        <v>251</v>
      </c>
      <c r="D460" s="341" t="s">
        <v>116</v>
      </c>
      <c r="E460" s="43"/>
      <c r="F460" s="4"/>
      <c r="G460" s="9">
        <f>G461+G465</f>
        <v>1290</v>
      </c>
      <c r="H460" s="129"/>
    </row>
    <row r="461" spans="1:8" ht="31.7" hidden="1" customHeight="1" x14ac:dyDescent="0.25">
      <c r="A461" s="20" t="s">
        <v>198</v>
      </c>
      <c r="B461" s="346" t="s">
        <v>820</v>
      </c>
      <c r="C461" s="341" t="s">
        <v>251</v>
      </c>
      <c r="D461" s="341" t="s">
        <v>116</v>
      </c>
      <c r="E461" s="341"/>
      <c r="F461" s="4"/>
      <c r="G461" s="9">
        <f t="shared" ref="G461:G462" si="40">G462</f>
        <v>0</v>
      </c>
    </row>
    <row r="462" spans="1:8" ht="31.7" hidden="1" customHeight="1" x14ac:dyDescent="0.25">
      <c r="A462" s="20" t="s">
        <v>191</v>
      </c>
      <c r="B462" s="346" t="s">
        <v>820</v>
      </c>
      <c r="C462" s="341" t="s">
        <v>251</v>
      </c>
      <c r="D462" s="341" t="s">
        <v>116</v>
      </c>
      <c r="E462" s="341" t="s">
        <v>192</v>
      </c>
      <c r="F462" s="4"/>
      <c r="G462" s="9">
        <f t="shared" si="40"/>
        <v>0</v>
      </c>
    </row>
    <row r="463" spans="1:8" ht="15.75" hidden="1" customHeight="1" x14ac:dyDescent="0.25">
      <c r="A463" s="20" t="s">
        <v>193</v>
      </c>
      <c r="B463" s="346" t="s">
        <v>820</v>
      </c>
      <c r="C463" s="341" t="s">
        <v>251</v>
      </c>
      <c r="D463" s="341" t="s">
        <v>116</v>
      </c>
      <c r="E463" s="341" t="s">
        <v>194</v>
      </c>
      <c r="F463" s="4"/>
      <c r="G463" s="9">
        <f>'Пр.4 ведом.22'!G968</f>
        <v>0</v>
      </c>
    </row>
    <row r="464" spans="1:8" s="128" customFormat="1" ht="39.75" hidden="1" customHeight="1" x14ac:dyDescent="0.25">
      <c r="A464" s="29" t="s">
        <v>248</v>
      </c>
      <c r="B464" s="346" t="s">
        <v>820</v>
      </c>
      <c r="C464" s="341" t="s">
        <v>251</v>
      </c>
      <c r="D464" s="341" t="s">
        <v>116</v>
      </c>
      <c r="E464" s="341" t="s">
        <v>194</v>
      </c>
      <c r="F464" s="4">
        <v>907</v>
      </c>
      <c r="G464" s="9">
        <f>G463</f>
        <v>0</v>
      </c>
      <c r="H464" s="129"/>
    </row>
    <row r="465" spans="1:8" ht="31.5" x14ac:dyDescent="0.25">
      <c r="A465" s="29" t="s">
        <v>342</v>
      </c>
      <c r="B465" s="346" t="s">
        <v>793</v>
      </c>
      <c r="C465" s="341" t="s">
        <v>251</v>
      </c>
      <c r="D465" s="341" t="s">
        <v>116</v>
      </c>
      <c r="E465" s="341"/>
      <c r="F465" s="4"/>
      <c r="G465" s="9">
        <f t="shared" ref="G465:G466" si="41">G466</f>
        <v>1290</v>
      </c>
    </row>
    <row r="466" spans="1:8" ht="31.5" x14ac:dyDescent="0.25">
      <c r="A466" s="22" t="s">
        <v>191</v>
      </c>
      <c r="B466" s="346" t="s">
        <v>793</v>
      </c>
      <c r="C466" s="341" t="s">
        <v>251</v>
      </c>
      <c r="D466" s="341" t="s">
        <v>116</v>
      </c>
      <c r="E466" s="341" t="s">
        <v>192</v>
      </c>
      <c r="F466" s="4"/>
      <c r="G466" s="9">
        <f t="shared" si="41"/>
        <v>1290</v>
      </c>
    </row>
    <row r="467" spans="1:8" ht="15.75" x14ac:dyDescent="0.25">
      <c r="A467" s="22" t="s">
        <v>193</v>
      </c>
      <c r="B467" s="346" t="s">
        <v>793</v>
      </c>
      <c r="C467" s="341" t="s">
        <v>251</v>
      </c>
      <c r="D467" s="341" t="s">
        <v>116</v>
      </c>
      <c r="E467" s="341" t="s">
        <v>194</v>
      </c>
      <c r="F467" s="4"/>
      <c r="G467" s="9">
        <f>'Пр.4 ведом.22'!G971</f>
        <v>1290</v>
      </c>
    </row>
    <row r="468" spans="1:8" s="128" customFormat="1" ht="31.5" x14ac:dyDescent="0.25">
      <c r="A468" s="29" t="s">
        <v>248</v>
      </c>
      <c r="B468" s="346" t="s">
        <v>793</v>
      </c>
      <c r="C468" s="341" t="s">
        <v>251</v>
      </c>
      <c r="D468" s="341" t="s">
        <v>116</v>
      </c>
      <c r="E468" s="341" t="s">
        <v>194</v>
      </c>
      <c r="F468" s="4">
        <v>907</v>
      </c>
      <c r="G468" s="9">
        <f>G467</f>
        <v>1290</v>
      </c>
      <c r="H468" s="129"/>
    </row>
    <row r="469" spans="1:8" s="128" customFormat="1" ht="47.25" x14ac:dyDescent="0.25">
      <c r="A469" s="298" t="s">
        <v>469</v>
      </c>
      <c r="B469" s="299" t="s">
        <v>794</v>
      </c>
      <c r="C469" s="6"/>
      <c r="D469" s="6"/>
      <c r="E469" s="6"/>
      <c r="F469" s="119"/>
      <c r="G469" s="35">
        <f>G470</f>
        <v>883.9</v>
      </c>
      <c r="H469" s="129"/>
    </row>
    <row r="470" spans="1:8" s="128" customFormat="1" ht="15.75" x14ac:dyDescent="0.25">
      <c r="A470" s="20" t="s">
        <v>250</v>
      </c>
      <c r="B470" s="346" t="s">
        <v>794</v>
      </c>
      <c r="C470" s="2">
        <v>11</v>
      </c>
      <c r="D470" s="42"/>
      <c r="E470" s="42"/>
      <c r="F470" s="42"/>
      <c r="G470" s="9">
        <f t="shared" ref="G470" si="42">G471</f>
        <v>883.9</v>
      </c>
      <c r="H470" s="129"/>
    </row>
    <row r="471" spans="1:8" s="128" customFormat="1" ht="16.5" x14ac:dyDescent="0.25">
      <c r="A471" s="20" t="s">
        <v>252</v>
      </c>
      <c r="B471" s="346" t="s">
        <v>794</v>
      </c>
      <c r="C471" s="341" t="s">
        <v>251</v>
      </c>
      <c r="D471" s="341" t="s">
        <v>116</v>
      </c>
      <c r="E471" s="43"/>
      <c r="F471" s="4"/>
      <c r="G471" s="9">
        <f>G472</f>
        <v>883.9</v>
      </c>
      <c r="H471" s="129"/>
    </row>
    <row r="472" spans="1:8" s="128" customFormat="1" ht="94.5" x14ac:dyDescent="0.25">
      <c r="A472" s="22" t="s">
        <v>245</v>
      </c>
      <c r="B472" s="346" t="s">
        <v>897</v>
      </c>
      <c r="C472" s="341" t="s">
        <v>251</v>
      </c>
      <c r="D472" s="341" t="s">
        <v>116</v>
      </c>
      <c r="E472" s="341"/>
      <c r="F472" s="4"/>
      <c r="G472" s="9">
        <f>G473</f>
        <v>883.9</v>
      </c>
      <c r="H472" s="129"/>
    </row>
    <row r="473" spans="1:8" s="128" customFormat="1" ht="31.5" x14ac:dyDescent="0.25">
      <c r="A473" s="345" t="s">
        <v>191</v>
      </c>
      <c r="B473" s="346" t="s">
        <v>897</v>
      </c>
      <c r="C473" s="341" t="s">
        <v>251</v>
      </c>
      <c r="D473" s="341" t="s">
        <v>116</v>
      </c>
      <c r="E473" s="341" t="s">
        <v>192</v>
      </c>
      <c r="F473" s="4"/>
      <c r="G473" s="9">
        <f>G474</f>
        <v>883.9</v>
      </c>
      <c r="H473" s="129"/>
    </row>
    <row r="474" spans="1:8" s="128" customFormat="1" ht="15.75" x14ac:dyDescent="0.25">
      <c r="A474" s="345" t="s">
        <v>193</v>
      </c>
      <c r="B474" s="346" t="s">
        <v>897</v>
      </c>
      <c r="C474" s="341" t="s">
        <v>251</v>
      </c>
      <c r="D474" s="341" t="s">
        <v>116</v>
      </c>
      <c r="E474" s="341" t="s">
        <v>194</v>
      </c>
      <c r="F474" s="4"/>
      <c r="G474" s="9">
        <f>'Пр.3 Рд,пр, ЦС,ВР 22'!F1131</f>
        <v>883.9</v>
      </c>
      <c r="H474" s="129"/>
    </row>
    <row r="475" spans="1:8" s="128" customFormat="1" ht="31.5" x14ac:dyDescent="0.25">
      <c r="A475" s="29" t="s">
        <v>248</v>
      </c>
      <c r="B475" s="346" t="s">
        <v>897</v>
      </c>
      <c r="C475" s="341" t="s">
        <v>251</v>
      </c>
      <c r="D475" s="341" t="s">
        <v>116</v>
      </c>
      <c r="E475" s="341" t="s">
        <v>194</v>
      </c>
      <c r="F475" s="4">
        <v>907</v>
      </c>
      <c r="G475" s="9">
        <f>G474</f>
        <v>883.9</v>
      </c>
      <c r="H475" s="129"/>
    </row>
    <row r="476" spans="1:8" s="128" customFormat="1" ht="31.5" x14ac:dyDescent="0.25">
      <c r="A476" s="34" t="s">
        <v>514</v>
      </c>
      <c r="B476" s="6" t="s">
        <v>796</v>
      </c>
      <c r="C476" s="6"/>
      <c r="D476" s="6"/>
      <c r="E476" s="6"/>
      <c r="F476" s="119"/>
      <c r="G476" s="294">
        <f>G477</f>
        <v>2700</v>
      </c>
      <c r="H476" s="129"/>
    </row>
    <row r="477" spans="1:8" ht="15.75" x14ac:dyDescent="0.25">
      <c r="A477" s="20" t="s">
        <v>250</v>
      </c>
      <c r="B477" s="341" t="s">
        <v>796</v>
      </c>
      <c r="C477" s="341" t="s">
        <v>251</v>
      </c>
      <c r="D477" s="341"/>
      <c r="E477" s="341"/>
      <c r="F477" s="4"/>
      <c r="G477" s="295">
        <f>G478</f>
        <v>2700</v>
      </c>
    </row>
    <row r="478" spans="1:8" ht="31.5" x14ac:dyDescent="0.25">
      <c r="A478" s="345" t="s">
        <v>254</v>
      </c>
      <c r="B478" s="341" t="s">
        <v>796</v>
      </c>
      <c r="C478" s="341" t="s">
        <v>251</v>
      </c>
      <c r="D478" s="341" t="s">
        <v>168</v>
      </c>
      <c r="E478" s="341"/>
      <c r="F478" s="4"/>
      <c r="G478" s="295">
        <f>G479</f>
        <v>2700</v>
      </c>
    </row>
    <row r="479" spans="1:8" ht="15.75" x14ac:dyDescent="0.25">
      <c r="A479" s="20" t="s">
        <v>515</v>
      </c>
      <c r="B479" s="341" t="s">
        <v>797</v>
      </c>
      <c r="C479" s="341" t="s">
        <v>251</v>
      </c>
      <c r="D479" s="341" t="s">
        <v>168</v>
      </c>
      <c r="E479" s="341"/>
      <c r="F479" s="4"/>
      <c r="G479" s="295">
        <f>G480+G483</f>
        <v>2700</v>
      </c>
    </row>
    <row r="480" spans="1:8" ht="78.75" x14ac:dyDescent="0.25">
      <c r="A480" s="345" t="s">
        <v>119</v>
      </c>
      <c r="B480" s="341" t="s">
        <v>797</v>
      </c>
      <c r="C480" s="341" t="s">
        <v>251</v>
      </c>
      <c r="D480" s="341" t="s">
        <v>168</v>
      </c>
      <c r="E480" s="341" t="s">
        <v>120</v>
      </c>
      <c r="F480" s="4"/>
      <c r="G480" s="295">
        <f t="shared" ref="G480" si="43">G481</f>
        <v>2200</v>
      </c>
    </row>
    <row r="481" spans="1:8" ht="24" customHeight="1" x14ac:dyDescent="0.25">
      <c r="A481" s="345" t="s">
        <v>212</v>
      </c>
      <c r="B481" s="341" t="s">
        <v>797</v>
      </c>
      <c r="C481" s="341" t="s">
        <v>251</v>
      </c>
      <c r="D481" s="341" t="s">
        <v>168</v>
      </c>
      <c r="E481" s="341" t="s">
        <v>156</v>
      </c>
      <c r="F481" s="4"/>
      <c r="G481" s="295">
        <f>'Пр.4 ведом.22'!G1046</f>
        <v>2200</v>
      </c>
    </row>
    <row r="482" spans="1:8" s="128" customFormat="1" ht="33" customHeight="1" x14ac:dyDescent="0.25">
      <c r="A482" s="29" t="s">
        <v>248</v>
      </c>
      <c r="B482" s="341" t="s">
        <v>797</v>
      </c>
      <c r="C482" s="341" t="s">
        <v>251</v>
      </c>
      <c r="D482" s="341" t="s">
        <v>168</v>
      </c>
      <c r="E482" s="341" t="s">
        <v>156</v>
      </c>
      <c r="F482" s="4">
        <v>907</v>
      </c>
      <c r="G482" s="9">
        <f>G481</f>
        <v>2200</v>
      </c>
      <c r="H482" s="129"/>
    </row>
    <row r="483" spans="1:8" ht="31.5" x14ac:dyDescent="0.25">
      <c r="A483" s="20" t="s">
        <v>123</v>
      </c>
      <c r="B483" s="341" t="s">
        <v>797</v>
      </c>
      <c r="C483" s="341" t="s">
        <v>251</v>
      </c>
      <c r="D483" s="341" t="s">
        <v>168</v>
      </c>
      <c r="E483" s="341" t="s">
        <v>124</v>
      </c>
      <c r="F483" s="4"/>
      <c r="G483" s="295">
        <f t="shared" ref="G483" si="44">G484</f>
        <v>500</v>
      </c>
    </row>
    <row r="484" spans="1:8" ht="31.5" x14ac:dyDescent="0.25">
      <c r="A484" s="20" t="s">
        <v>125</v>
      </c>
      <c r="B484" s="341" t="s">
        <v>797</v>
      </c>
      <c r="C484" s="341" t="s">
        <v>251</v>
      </c>
      <c r="D484" s="341" t="s">
        <v>168</v>
      </c>
      <c r="E484" s="341" t="s">
        <v>126</v>
      </c>
      <c r="F484" s="4"/>
      <c r="G484" s="295">
        <f>'Пр.4 ведом.22'!G1048</f>
        <v>500</v>
      </c>
    </row>
    <row r="485" spans="1:8" ht="31.5" x14ac:dyDescent="0.25">
      <c r="A485" s="29" t="s">
        <v>248</v>
      </c>
      <c r="B485" s="341" t="s">
        <v>797</v>
      </c>
      <c r="C485" s="341" t="s">
        <v>251</v>
      </c>
      <c r="D485" s="341" t="s">
        <v>168</v>
      </c>
      <c r="E485" s="341" t="s">
        <v>126</v>
      </c>
      <c r="F485" s="4">
        <v>907</v>
      </c>
      <c r="G485" s="9">
        <f>G484</f>
        <v>500</v>
      </c>
    </row>
    <row r="486" spans="1:8" s="343" customFormat="1" ht="47.25" x14ac:dyDescent="0.25">
      <c r="A486" s="298" t="s">
        <v>1070</v>
      </c>
      <c r="B486" s="299" t="s">
        <v>1068</v>
      </c>
      <c r="C486" s="341"/>
      <c r="D486" s="341"/>
      <c r="E486" s="341"/>
      <c r="F486" s="4"/>
      <c r="G486" s="35">
        <f>G487</f>
        <v>5022.3</v>
      </c>
      <c r="H486" s="344"/>
    </row>
    <row r="487" spans="1:8" s="343" customFormat="1" ht="15.75" x14ac:dyDescent="0.25">
      <c r="A487" s="20" t="s">
        <v>250</v>
      </c>
      <c r="B487" s="346" t="s">
        <v>1069</v>
      </c>
      <c r="C487" s="341" t="s">
        <v>251</v>
      </c>
      <c r="D487" s="341"/>
      <c r="E487" s="341"/>
      <c r="F487" s="4"/>
      <c r="G487" s="9">
        <f>G488</f>
        <v>5022.3</v>
      </c>
      <c r="H487" s="344"/>
    </row>
    <row r="488" spans="1:8" s="343" customFormat="1" ht="15.75" x14ac:dyDescent="0.25">
      <c r="A488" s="20" t="s">
        <v>252</v>
      </c>
      <c r="B488" s="346" t="s">
        <v>1069</v>
      </c>
      <c r="C488" s="341" t="s">
        <v>251</v>
      </c>
      <c r="D488" s="341" t="s">
        <v>116</v>
      </c>
      <c r="E488" s="341"/>
      <c r="F488" s="4"/>
      <c r="G488" s="9">
        <f>G489</f>
        <v>5022.3</v>
      </c>
      <c r="H488" s="344"/>
    </row>
    <row r="489" spans="1:8" s="343" customFormat="1" ht="47.25" x14ac:dyDescent="0.25">
      <c r="A489" s="22" t="s">
        <v>1071</v>
      </c>
      <c r="B489" s="346" t="s">
        <v>1069</v>
      </c>
      <c r="C489" s="341" t="s">
        <v>251</v>
      </c>
      <c r="D489" s="341" t="s">
        <v>116</v>
      </c>
      <c r="E489" s="341"/>
      <c r="F489" s="4"/>
      <c r="G489" s="9">
        <f>G490</f>
        <v>5022.3</v>
      </c>
      <c r="H489" s="344"/>
    </row>
    <row r="490" spans="1:8" s="343" customFormat="1" ht="31.5" x14ac:dyDescent="0.25">
      <c r="A490" s="345" t="s">
        <v>191</v>
      </c>
      <c r="B490" s="346" t="s">
        <v>1069</v>
      </c>
      <c r="C490" s="341" t="s">
        <v>251</v>
      </c>
      <c r="D490" s="341" t="s">
        <v>116</v>
      </c>
      <c r="E490" s="341" t="s">
        <v>192</v>
      </c>
      <c r="F490" s="4"/>
      <c r="G490" s="9">
        <f>G491</f>
        <v>5022.3</v>
      </c>
      <c r="H490" s="344"/>
    </row>
    <row r="491" spans="1:8" s="343" customFormat="1" ht="15.75" x14ac:dyDescent="0.25">
      <c r="A491" s="345" t="s">
        <v>193</v>
      </c>
      <c r="B491" s="346" t="s">
        <v>1069</v>
      </c>
      <c r="C491" s="341" t="s">
        <v>251</v>
      </c>
      <c r="D491" s="341" t="s">
        <v>116</v>
      </c>
      <c r="E491" s="341" t="s">
        <v>194</v>
      </c>
      <c r="F491" s="4"/>
      <c r="G491" s="9">
        <f>'Пр.4 ведом.22'!G978</f>
        <v>5022.3</v>
      </c>
      <c r="H491" s="344"/>
    </row>
    <row r="492" spans="1:8" s="343" customFormat="1" ht="31.5" x14ac:dyDescent="0.25">
      <c r="A492" s="29" t="s">
        <v>248</v>
      </c>
      <c r="B492" s="346" t="s">
        <v>1069</v>
      </c>
      <c r="C492" s="341" t="s">
        <v>251</v>
      </c>
      <c r="D492" s="341" t="s">
        <v>116</v>
      </c>
      <c r="E492" s="341" t="s">
        <v>194</v>
      </c>
      <c r="F492" s="4">
        <v>907</v>
      </c>
      <c r="G492" s="9">
        <f>G491</f>
        <v>5022.3</v>
      </c>
      <c r="H492" s="344"/>
    </row>
    <row r="493" spans="1:8" s="128" customFormat="1" ht="63" hidden="1" x14ac:dyDescent="0.25">
      <c r="A493" s="298" t="s">
        <v>838</v>
      </c>
      <c r="B493" s="299" t="s">
        <v>795</v>
      </c>
      <c r="C493" s="6"/>
      <c r="D493" s="6"/>
      <c r="E493" s="6"/>
      <c r="F493" s="119"/>
      <c r="G493" s="35">
        <f>G494</f>
        <v>0</v>
      </c>
      <c r="H493" s="129"/>
    </row>
    <row r="494" spans="1:8" s="128" customFormat="1" ht="15.75" hidden="1" x14ac:dyDescent="0.25">
      <c r="A494" s="20" t="s">
        <v>250</v>
      </c>
      <c r="B494" s="346" t="s">
        <v>795</v>
      </c>
      <c r="C494" s="341" t="s">
        <v>251</v>
      </c>
      <c r="D494" s="341"/>
      <c r="E494" s="341"/>
      <c r="F494" s="4"/>
      <c r="G494" s="9">
        <f>G495</f>
        <v>0</v>
      </c>
      <c r="H494" s="129"/>
    </row>
    <row r="495" spans="1:8" s="128" customFormat="1" ht="15.75" hidden="1" x14ac:dyDescent="0.25">
      <c r="A495" s="20" t="s">
        <v>252</v>
      </c>
      <c r="B495" s="346" t="s">
        <v>795</v>
      </c>
      <c r="C495" s="341" t="s">
        <v>251</v>
      </c>
      <c r="D495" s="341" t="s">
        <v>116</v>
      </c>
      <c r="E495" s="341"/>
      <c r="F495" s="4"/>
      <c r="G495" s="9">
        <f>G496</f>
        <v>0</v>
      </c>
      <c r="H495" s="129"/>
    </row>
    <row r="496" spans="1:8" s="128" customFormat="1" ht="47.25" hidden="1" x14ac:dyDescent="0.25">
      <c r="A496" s="345" t="s">
        <v>731</v>
      </c>
      <c r="B496" s="346" t="s">
        <v>834</v>
      </c>
      <c r="C496" s="341" t="s">
        <v>251</v>
      </c>
      <c r="D496" s="341" t="s">
        <v>116</v>
      </c>
      <c r="E496" s="341"/>
      <c r="F496" s="4"/>
      <c r="G496" s="9">
        <f>G497</f>
        <v>0</v>
      </c>
      <c r="H496" s="129"/>
    </row>
    <row r="497" spans="1:8" s="128" customFormat="1" ht="31.5" hidden="1" x14ac:dyDescent="0.25">
      <c r="A497" s="345" t="s">
        <v>191</v>
      </c>
      <c r="B497" s="346" t="s">
        <v>834</v>
      </c>
      <c r="C497" s="341" t="s">
        <v>251</v>
      </c>
      <c r="D497" s="341" t="s">
        <v>116</v>
      </c>
      <c r="E497" s="341" t="s">
        <v>192</v>
      </c>
      <c r="F497" s="4"/>
      <c r="G497" s="9">
        <f>G498</f>
        <v>0</v>
      </c>
      <c r="H497" s="129"/>
    </row>
    <row r="498" spans="1:8" s="128" customFormat="1" ht="15.75" hidden="1" x14ac:dyDescent="0.25">
      <c r="A498" s="345" t="s">
        <v>193</v>
      </c>
      <c r="B498" s="346" t="s">
        <v>834</v>
      </c>
      <c r="C498" s="341" t="s">
        <v>251</v>
      </c>
      <c r="D498" s="341" t="s">
        <v>116</v>
      </c>
      <c r="E498" s="341" t="s">
        <v>194</v>
      </c>
      <c r="F498" s="4"/>
      <c r="G498" s="9">
        <f>'Пр.4 ведом.22'!G991</f>
        <v>0</v>
      </c>
      <c r="H498" s="129"/>
    </row>
    <row r="499" spans="1:8" s="128" customFormat="1" ht="31.5" hidden="1" x14ac:dyDescent="0.25">
      <c r="A499" s="29" t="s">
        <v>248</v>
      </c>
      <c r="B499" s="346" t="s">
        <v>834</v>
      </c>
      <c r="C499" s="341" t="s">
        <v>251</v>
      </c>
      <c r="D499" s="341" t="s">
        <v>116</v>
      </c>
      <c r="E499" s="341" t="s">
        <v>194</v>
      </c>
      <c r="F499" s="4">
        <v>907</v>
      </c>
      <c r="G499" s="9">
        <f>G493</f>
        <v>0</v>
      </c>
      <c r="H499" s="129"/>
    </row>
    <row r="500" spans="1:8" s="343" customFormat="1" ht="31.5" x14ac:dyDescent="0.25">
      <c r="A500" s="340" t="s">
        <v>1139</v>
      </c>
      <c r="B500" s="299" t="s">
        <v>1140</v>
      </c>
      <c r="C500" s="341"/>
      <c r="D500" s="341"/>
      <c r="E500" s="341"/>
      <c r="F500" s="4"/>
      <c r="G500" s="35">
        <f>G501</f>
        <v>430.1</v>
      </c>
      <c r="H500" s="344"/>
    </row>
    <row r="501" spans="1:8" s="343" customFormat="1" ht="15.75" x14ac:dyDescent="0.25">
      <c r="A501" s="20" t="s">
        <v>250</v>
      </c>
      <c r="B501" s="346" t="s">
        <v>1141</v>
      </c>
      <c r="C501" s="341" t="s">
        <v>251</v>
      </c>
      <c r="D501" s="341"/>
      <c r="E501" s="341"/>
      <c r="F501" s="4"/>
      <c r="G501" s="9">
        <f>G502</f>
        <v>430.1</v>
      </c>
      <c r="H501" s="344"/>
    </row>
    <row r="502" spans="1:8" s="343" customFormat="1" ht="15.75" x14ac:dyDescent="0.25">
      <c r="A502" s="20" t="s">
        <v>252</v>
      </c>
      <c r="B502" s="346" t="s">
        <v>1141</v>
      </c>
      <c r="C502" s="341" t="s">
        <v>251</v>
      </c>
      <c r="D502" s="341" t="s">
        <v>116</v>
      </c>
      <c r="E502" s="341"/>
      <c r="F502" s="4"/>
      <c r="G502" s="9">
        <f>G503</f>
        <v>430.1</v>
      </c>
      <c r="H502" s="344"/>
    </row>
    <row r="503" spans="1:8" s="343" customFormat="1" ht="31.5" x14ac:dyDescent="0.25">
      <c r="A503" s="20" t="s">
        <v>1142</v>
      </c>
      <c r="B503" s="346" t="s">
        <v>1141</v>
      </c>
      <c r="C503" s="341" t="s">
        <v>251</v>
      </c>
      <c r="D503" s="341" t="s">
        <v>116</v>
      </c>
      <c r="E503" s="341"/>
      <c r="F503" s="4"/>
      <c r="G503" s="9">
        <f>G504</f>
        <v>430.1</v>
      </c>
      <c r="H503" s="344"/>
    </row>
    <row r="504" spans="1:8" s="343" customFormat="1" ht="31.5" x14ac:dyDescent="0.25">
      <c r="A504" s="345" t="s">
        <v>191</v>
      </c>
      <c r="B504" s="346" t="s">
        <v>1141</v>
      </c>
      <c r="C504" s="341" t="s">
        <v>251</v>
      </c>
      <c r="D504" s="341" t="s">
        <v>116</v>
      </c>
      <c r="E504" s="341" t="s">
        <v>192</v>
      </c>
      <c r="F504" s="4"/>
      <c r="G504" s="9">
        <f>G505</f>
        <v>430.1</v>
      </c>
      <c r="H504" s="344"/>
    </row>
    <row r="505" spans="1:8" s="343" customFormat="1" ht="15.75" x14ac:dyDescent="0.25">
      <c r="A505" s="345" t="s">
        <v>193</v>
      </c>
      <c r="B505" s="346" t="s">
        <v>1141</v>
      </c>
      <c r="C505" s="341" t="s">
        <v>251</v>
      </c>
      <c r="D505" s="341" t="s">
        <v>116</v>
      </c>
      <c r="E505" s="341" t="s">
        <v>194</v>
      </c>
      <c r="F505" s="4"/>
      <c r="G505" s="9">
        <f>'Пр.4 ведом.22'!G983</f>
        <v>430.1</v>
      </c>
      <c r="H505" s="344"/>
    </row>
    <row r="506" spans="1:8" s="343" customFormat="1" ht="31.5" x14ac:dyDescent="0.25">
      <c r="A506" s="29" t="s">
        <v>248</v>
      </c>
      <c r="B506" s="346" t="s">
        <v>1141</v>
      </c>
      <c r="C506" s="341" t="s">
        <v>251</v>
      </c>
      <c r="D506" s="341" t="s">
        <v>116</v>
      </c>
      <c r="E506" s="341" t="s">
        <v>194</v>
      </c>
      <c r="F506" s="4">
        <v>907</v>
      </c>
      <c r="G506" s="9">
        <f>G505</f>
        <v>430.1</v>
      </c>
      <c r="H506" s="344"/>
    </row>
    <row r="507" spans="1:8" s="343" customFormat="1" ht="31.5" x14ac:dyDescent="0.25">
      <c r="A507" s="298" t="s">
        <v>1323</v>
      </c>
      <c r="B507" s="299" t="s">
        <v>1324</v>
      </c>
      <c r="C507" s="6"/>
      <c r="D507" s="6"/>
      <c r="E507" s="6"/>
      <c r="F507" s="119"/>
      <c r="G507" s="35">
        <f>G508</f>
        <v>298.39999999999998</v>
      </c>
      <c r="H507" s="344"/>
    </row>
    <row r="508" spans="1:8" s="343" customFormat="1" ht="15.75" x14ac:dyDescent="0.25">
      <c r="A508" s="20" t="s">
        <v>250</v>
      </c>
      <c r="B508" s="346" t="s">
        <v>1324</v>
      </c>
      <c r="C508" s="341" t="s">
        <v>251</v>
      </c>
      <c r="D508" s="341"/>
      <c r="E508" s="341"/>
      <c r="F508" s="4"/>
      <c r="G508" s="9">
        <f>G509</f>
        <v>298.39999999999998</v>
      </c>
      <c r="H508" s="344"/>
    </row>
    <row r="509" spans="1:8" s="343" customFormat="1" ht="15.75" x14ac:dyDescent="0.25">
      <c r="A509" s="20" t="s">
        <v>252</v>
      </c>
      <c r="B509" s="346" t="s">
        <v>1324</v>
      </c>
      <c r="C509" s="341" t="s">
        <v>251</v>
      </c>
      <c r="D509" s="341" t="s">
        <v>116</v>
      </c>
      <c r="E509" s="341"/>
      <c r="F509" s="4"/>
      <c r="G509" s="9">
        <f>G510</f>
        <v>298.39999999999998</v>
      </c>
      <c r="H509" s="344"/>
    </row>
    <row r="510" spans="1:8" s="343" customFormat="1" ht="31.5" x14ac:dyDescent="0.25">
      <c r="A510" s="345" t="s">
        <v>1322</v>
      </c>
      <c r="B510" s="346" t="s">
        <v>1325</v>
      </c>
      <c r="C510" s="341" t="s">
        <v>251</v>
      </c>
      <c r="D510" s="341" t="s">
        <v>116</v>
      </c>
      <c r="E510" s="341"/>
      <c r="F510" s="4"/>
      <c r="G510" s="9">
        <f>G511</f>
        <v>298.39999999999998</v>
      </c>
      <c r="H510" s="344"/>
    </row>
    <row r="511" spans="1:8" s="343" customFormat="1" ht="31.5" x14ac:dyDescent="0.25">
      <c r="A511" s="345" t="s">
        <v>191</v>
      </c>
      <c r="B511" s="346" t="s">
        <v>1325</v>
      </c>
      <c r="C511" s="341" t="s">
        <v>251</v>
      </c>
      <c r="D511" s="341" t="s">
        <v>116</v>
      </c>
      <c r="E511" s="341" t="s">
        <v>192</v>
      </c>
      <c r="F511" s="4"/>
      <c r="G511" s="9">
        <f>G512</f>
        <v>298.39999999999998</v>
      </c>
      <c r="H511" s="344"/>
    </row>
    <row r="512" spans="1:8" s="343" customFormat="1" ht="15.75" x14ac:dyDescent="0.25">
      <c r="A512" s="345" t="s">
        <v>193</v>
      </c>
      <c r="B512" s="346" t="s">
        <v>1325</v>
      </c>
      <c r="C512" s="341" t="s">
        <v>251</v>
      </c>
      <c r="D512" s="341" t="s">
        <v>116</v>
      </c>
      <c r="E512" s="341" t="s">
        <v>194</v>
      </c>
      <c r="F512" s="4"/>
      <c r="G512" s="9">
        <f>'Пр.4 ведом.22'!G987</f>
        <v>298.39999999999998</v>
      </c>
      <c r="H512" s="344"/>
    </row>
    <row r="513" spans="1:11" s="343" customFormat="1" ht="31.5" x14ac:dyDescent="0.25">
      <c r="A513" s="29" t="s">
        <v>248</v>
      </c>
      <c r="B513" s="346" t="s">
        <v>1325</v>
      </c>
      <c r="C513" s="341" t="s">
        <v>251</v>
      </c>
      <c r="D513" s="341" t="s">
        <v>116</v>
      </c>
      <c r="E513" s="341" t="s">
        <v>194</v>
      </c>
      <c r="F513" s="4">
        <v>907</v>
      </c>
      <c r="G513" s="9">
        <f>G512</f>
        <v>298.39999999999998</v>
      </c>
      <c r="H513" s="344"/>
    </row>
    <row r="514" spans="1:11" ht="31.5" x14ac:dyDescent="0.25">
      <c r="A514" s="340" t="s">
        <v>855</v>
      </c>
      <c r="B514" s="6" t="s">
        <v>189</v>
      </c>
      <c r="C514" s="44"/>
      <c r="D514" s="44"/>
      <c r="E514" s="44"/>
      <c r="F514" s="3"/>
      <c r="G514" s="35">
        <f>G515+G563+G598+G625+G648+G655+G666+G680+G687+G673</f>
        <v>97146.506559999994</v>
      </c>
      <c r="H514" s="130">
        <v>64965.4</v>
      </c>
      <c r="I514" s="145">
        <f>H514-G514</f>
        <v>-32181.106559999993</v>
      </c>
      <c r="J514">
        <v>90406.34</v>
      </c>
      <c r="K514" s="151">
        <f>J514-G514</f>
        <v>-6740.1665599999978</v>
      </c>
    </row>
    <row r="515" spans="1:11" s="128" customFormat="1" ht="38.25" customHeight="1" x14ac:dyDescent="0.25">
      <c r="A515" s="298" t="s">
        <v>815</v>
      </c>
      <c r="B515" s="299" t="s">
        <v>741</v>
      </c>
      <c r="C515" s="6"/>
      <c r="D515" s="6"/>
      <c r="E515" s="6"/>
      <c r="F515" s="3"/>
      <c r="G515" s="35">
        <f>G532+G516+G551</f>
        <v>78266.611229999995</v>
      </c>
      <c r="H515" s="129"/>
    </row>
    <row r="516" spans="1:11" s="128" customFormat="1" ht="18.75" customHeight="1" x14ac:dyDescent="0.25">
      <c r="A516" s="345" t="s">
        <v>186</v>
      </c>
      <c r="B516" s="346" t="s">
        <v>741</v>
      </c>
      <c r="C516" s="341" t="s">
        <v>187</v>
      </c>
      <c r="D516" s="341"/>
      <c r="E516" s="341"/>
      <c r="F516" s="2"/>
      <c r="G516" s="9">
        <f>G517</f>
        <v>19435.540999999997</v>
      </c>
      <c r="H516" s="129"/>
      <c r="J516" s="15">
        <f>G516+G564+G599+G626</f>
        <v>20936.780999999995</v>
      </c>
      <c r="K516" s="15">
        <v>16998.7</v>
      </c>
    </row>
    <row r="517" spans="1:11" s="128" customFormat="1" ht="19.5" customHeight="1" x14ac:dyDescent="0.25">
      <c r="A517" s="345" t="s">
        <v>188</v>
      </c>
      <c r="B517" s="346" t="s">
        <v>741</v>
      </c>
      <c r="C517" s="341" t="s">
        <v>187</v>
      </c>
      <c r="D517" s="341" t="s">
        <v>159</v>
      </c>
      <c r="E517" s="341"/>
      <c r="F517" s="2"/>
      <c r="G517" s="9">
        <f>G518+G528</f>
        <v>19435.540999999997</v>
      </c>
      <c r="H517" s="129"/>
    </row>
    <row r="518" spans="1:11" s="128" customFormat="1" ht="18" customHeight="1" x14ac:dyDescent="0.25">
      <c r="A518" s="345" t="s">
        <v>376</v>
      </c>
      <c r="B518" s="346" t="s">
        <v>742</v>
      </c>
      <c r="C518" s="341" t="s">
        <v>187</v>
      </c>
      <c r="D518" s="341" t="s">
        <v>159</v>
      </c>
      <c r="E518" s="341"/>
      <c r="F518" s="2"/>
      <c r="G518" s="9">
        <f>G519+G522+G525</f>
        <v>19435.540999999997</v>
      </c>
      <c r="H518" s="129"/>
    </row>
    <row r="519" spans="1:11" s="128" customFormat="1" ht="81" customHeight="1" x14ac:dyDescent="0.25">
      <c r="A519" s="345" t="s">
        <v>119</v>
      </c>
      <c r="B519" s="346" t="s">
        <v>742</v>
      </c>
      <c r="C519" s="341" t="s">
        <v>187</v>
      </c>
      <c r="D519" s="341" t="s">
        <v>159</v>
      </c>
      <c r="E519" s="346" t="s">
        <v>120</v>
      </c>
      <c r="F519" s="2"/>
      <c r="G519" s="9">
        <f>G520</f>
        <v>17055.699999999997</v>
      </c>
      <c r="H519" s="129"/>
    </row>
    <row r="520" spans="1:11" s="128" customFormat="1" ht="20.25" customHeight="1" x14ac:dyDescent="0.25">
      <c r="A520" s="30" t="s">
        <v>212</v>
      </c>
      <c r="B520" s="346" t="s">
        <v>742</v>
      </c>
      <c r="C520" s="341" t="s">
        <v>187</v>
      </c>
      <c r="D520" s="341" t="s">
        <v>159</v>
      </c>
      <c r="E520" s="346" t="s">
        <v>156</v>
      </c>
      <c r="F520" s="2"/>
      <c r="G520" s="9">
        <f>'Пр.4 ведом.22'!G338</f>
        <v>17055.699999999997</v>
      </c>
      <c r="H520" s="129"/>
    </row>
    <row r="521" spans="1:11" s="128" customFormat="1" ht="51.75" customHeight="1" x14ac:dyDescent="0.25">
      <c r="A521" s="29" t="s">
        <v>185</v>
      </c>
      <c r="B521" s="346" t="s">
        <v>742</v>
      </c>
      <c r="C521" s="341" t="s">
        <v>187</v>
      </c>
      <c r="D521" s="341" t="s">
        <v>159</v>
      </c>
      <c r="E521" s="346" t="s">
        <v>156</v>
      </c>
      <c r="F521" s="2">
        <v>903</v>
      </c>
      <c r="G521" s="9">
        <f>G520</f>
        <v>17055.699999999997</v>
      </c>
      <c r="H521" s="129"/>
    </row>
    <row r="522" spans="1:11" s="128" customFormat="1" ht="38.25" customHeight="1" x14ac:dyDescent="0.25">
      <c r="A522" s="345" t="s">
        <v>123</v>
      </c>
      <c r="B522" s="346" t="s">
        <v>742</v>
      </c>
      <c r="C522" s="341" t="s">
        <v>187</v>
      </c>
      <c r="D522" s="341" t="s">
        <v>159</v>
      </c>
      <c r="E522" s="346" t="s">
        <v>124</v>
      </c>
      <c r="F522" s="2"/>
      <c r="G522" s="9">
        <f>G523</f>
        <v>2336.4410000000003</v>
      </c>
      <c r="H522" s="129"/>
    </row>
    <row r="523" spans="1:11" s="128" customFormat="1" ht="33.75" customHeight="1" x14ac:dyDescent="0.25">
      <c r="A523" s="345" t="s">
        <v>125</v>
      </c>
      <c r="B523" s="346" t="s">
        <v>742</v>
      </c>
      <c r="C523" s="341" t="s">
        <v>187</v>
      </c>
      <c r="D523" s="341" t="s">
        <v>159</v>
      </c>
      <c r="E523" s="346" t="s">
        <v>126</v>
      </c>
      <c r="F523" s="2"/>
      <c r="G523" s="9">
        <f>'Пр.4 ведом.22'!G340</f>
        <v>2336.4410000000003</v>
      </c>
      <c r="H523" s="129"/>
    </row>
    <row r="524" spans="1:11" s="128" customFormat="1" ht="55.5" customHeight="1" x14ac:dyDescent="0.25">
      <c r="A524" s="29" t="s">
        <v>185</v>
      </c>
      <c r="B524" s="346" t="s">
        <v>742</v>
      </c>
      <c r="C524" s="341" t="s">
        <v>187</v>
      </c>
      <c r="D524" s="341" t="s">
        <v>159</v>
      </c>
      <c r="E524" s="346" t="s">
        <v>126</v>
      </c>
      <c r="F524" s="2">
        <v>903</v>
      </c>
      <c r="G524" s="9">
        <f>G523</f>
        <v>2336.4410000000003</v>
      </c>
      <c r="H524" s="129"/>
    </row>
    <row r="525" spans="1:11" s="128" customFormat="1" ht="19.5" customHeight="1" x14ac:dyDescent="0.25">
      <c r="A525" s="345" t="s">
        <v>127</v>
      </c>
      <c r="B525" s="346" t="s">
        <v>742</v>
      </c>
      <c r="C525" s="341" t="s">
        <v>187</v>
      </c>
      <c r="D525" s="341" t="s">
        <v>159</v>
      </c>
      <c r="E525" s="346" t="s">
        <v>134</v>
      </c>
      <c r="F525" s="2"/>
      <c r="G525" s="9">
        <f>G526</f>
        <v>43.400000000000013</v>
      </c>
      <c r="H525" s="129"/>
    </row>
    <row r="526" spans="1:11" s="128" customFormat="1" ht="17.45" customHeight="1" x14ac:dyDescent="0.25">
      <c r="A526" s="345" t="s">
        <v>338</v>
      </c>
      <c r="B526" s="346" t="s">
        <v>742</v>
      </c>
      <c r="C526" s="341" t="s">
        <v>187</v>
      </c>
      <c r="D526" s="341" t="s">
        <v>159</v>
      </c>
      <c r="E526" s="346" t="s">
        <v>130</v>
      </c>
      <c r="F526" s="2"/>
      <c r="G526" s="9">
        <f>'Пр.4 ведом.22'!G342</f>
        <v>43.400000000000013</v>
      </c>
      <c r="H526" s="129"/>
    </row>
    <row r="527" spans="1:11" s="128" customFormat="1" ht="56.25" customHeight="1" x14ac:dyDescent="0.25">
      <c r="A527" s="29" t="s">
        <v>185</v>
      </c>
      <c r="B527" s="346" t="s">
        <v>742</v>
      </c>
      <c r="C527" s="341" t="s">
        <v>187</v>
      </c>
      <c r="D527" s="341" t="s">
        <v>159</v>
      </c>
      <c r="E527" s="346" t="s">
        <v>130</v>
      </c>
      <c r="F527" s="2">
        <v>903</v>
      </c>
      <c r="G527" s="9">
        <f>G526</f>
        <v>43.400000000000013</v>
      </c>
      <c r="H527" s="129"/>
    </row>
    <row r="528" spans="1:11" s="128" customFormat="1" ht="31.5" hidden="1" x14ac:dyDescent="0.25">
      <c r="A528" s="22" t="s">
        <v>974</v>
      </c>
      <c r="B528" s="346" t="s">
        <v>965</v>
      </c>
      <c r="C528" s="341" t="s">
        <v>187</v>
      </c>
      <c r="D528" s="341" t="s">
        <v>159</v>
      </c>
      <c r="E528" s="346"/>
      <c r="F528" s="2"/>
      <c r="G528" s="9">
        <f>G529</f>
        <v>0</v>
      </c>
      <c r="H528" s="129"/>
    </row>
    <row r="529" spans="1:11" s="128" customFormat="1" ht="78.75" hidden="1" x14ac:dyDescent="0.25">
      <c r="A529" s="345" t="s">
        <v>119</v>
      </c>
      <c r="B529" s="346" t="s">
        <v>965</v>
      </c>
      <c r="C529" s="341" t="s">
        <v>187</v>
      </c>
      <c r="D529" s="341" t="s">
        <v>159</v>
      </c>
      <c r="E529" s="346" t="s">
        <v>120</v>
      </c>
      <c r="F529" s="2"/>
      <c r="G529" s="9">
        <f>G530</f>
        <v>0</v>
      </c>
      <c r="H529" s="129"/>
    </row>
    <row r="530" spans="1:11" s="128" customFormat="1" ht="15.75" hidden="1" x14ac:dyDescent="0.25">
      <c r="A530" s="345" t="s">
        <v>155</v>
      </c>
      <c r="B530" s="346" t="s">
        <v>965</v>
      </c>
      <c r="C530" s="341" t="s">
        <v>187</v>
      </c>
      <c r="D530" s="341" t="s">
        <v>159</v>
      </c>
      <c r="E530" s="346" t="s">
        <v>156</v>
      </c>
      <c r="F530" s="2"/>
      <c r="G530" s="9">
        <f>'Пр.4 ведом.22'!G345</f>
        <v>0</v>
      </c>
      <c r="H530" s="129"/>
    </row>
    <row r="531" spans="1:11" s="128" customFormat="1" ht="47.25" hidden="1" x14ac:dyDescent="0.25">
      <c r="A531" s="29" t="s">
        <v>185</v>
      </c>
      <c r="B531" s="346" t="s">
        <v>965</v>
      </c>
      <c r="C531" s="341" t="s">
        <v>187</v>
      </c>
      <c r="D531" s="341" t="s">
        <v>159</v>
      </c>
      <c r="E531" s="346" t="s">
        <v>156</v>
      </c>
      <c r="F531" s="2">
        <v>903</v>
      </c>
      <c r="G531" s="9">
        <f>G528</f>
        <v>0</v>
      </c>
      <c r="H531" s="129"/>
    </row>
    <row r="532" spans="1:11" ht="15.75" x14ac:dyDescent="0.25">
      <c r="A532" s="45" t="s">
        <v>202</v>
      </c>
      <c r="B532" s="346" t="s">
        <v>741</v>
      </c>
      <c r="C532" s="341" t="s">
        <v>203</v>
      </c>
      <c r="D532" s="45"/>
      <c r="E532" s="45"/>
      <c r="F532" s="2"/>
      <c r="G532" s="9">
        <f>G533</f>
        <v>53159.095260000002</v>
      </c>
      <c r="J532" s="15" t="e">
        <f>G532+G577+G605+G636+G649+G656+G681+#REF!</f>
        <v>#REF!</v>
      </c>
      <c r="K532">
        <f>67542.4</f>
        <v>67542.399999999994</v>
      </c>
    </row>
    <row r="533" spans="1:11" ht="15.75" x14ac:dyDescent="0.25">
      <c r="A533" s="45" t="s">
        <v>204</v>
      </c>
      <c r="B533" s="346" t="s">
        <v>741</v>
      </c>
      <c r="C533" s="341" t="s">
        <v>203</v>
      </c>
      <c r="D533" s="341" t="s">
        <v>116</v>
      </c>
      <c r="E533" s="45"/>
      <c r="F533" s="2"/>
      <c r="G533" s="9">
        <f>G534+G538</f>
        <v>53159.095260000002</v>
      </c>
    </row>
    <row r="534" spans="1:11" s="343" customFormat="1" ht="31.5" x14ac:dyDescent="0.25">
      <c r="A534" s="345" t="s">
        <v>205</v>
      </c>
      <c r="B534" s="346" t="s">
        <v>1218</v>
      </c>
      <c r="C534" s="341" t="s">
        <v>203</v>
      </c>
      <c r="D534" s="341" t="s">
        <v>116</v>
      </c>
      <c r="E534" s="2"/>
      <c r="F534" s="2"/>
      <c r="G534" s="9">
        <f>G535</f>
        <v>29345.94469</v>
      </c>
      <c r="H534" s="344"/>
    </row>
    <row r="535" spans="1:11" s="343" customFormat="1" ht="31.5" x14ac:dyDescent="0.25">
      <c r="A535" s="345" t="s">
        <v>191</v>
      </c>
      <c r="B535" s="346" t="s">
        <v>1218</v>
      </c>
      <c r="C535" s="341" t="s">
        <v>203</v>
      </c>
      <c r="D535" s="341" t="s">
        <v>116</v>
      </c>
      <c r="E535" s="2">
        <v>600</v>
      </c>
      <c r="F535" s="2"/>
      <c r="G535" s="9">
        <f>G536</f>
        <v>29345.94469</v>
      </c>
      <c r="H535" s="344"/>
    </row>
    <row r="536" spans="1:11" s="343" customFormat="1" ht="15.75" x14ac:dyDescent="0.25">
      <c r="A536" s="345" t="s">
        <v>193</v>
      </c>
      <c r="B536" s="346" t="s">
        <v>1218</v>
      </c>
      <c r="C536" s="341" t="s">
        <v>203</v>
      </c>
      <c r="D536" s="341" t="s">
        <v>116</v>
      </c>
      <c r="E536" s="2">
        <v>610</v>
      </c>
      <c r="F536" s="2"/>
      <c r="G536" s="9">
        <f>'Пр.4 ведом.22'!G414</f>
        <v>29345.94469</v>
      </c>
      <c r="H536" s="344"/>
    </row>
    <row r="537" spans="1:11" s="343" customFormat="1" ht="47.25" x14ac:dyDescent="0.25">
      <c r="A537" s="29" t="s">
        <v>185</v>
      </c>
      <c r="B537" s="346" t="s">
        <v>1218</v>
      </c>
      <c r="C537" s="341" t="s">
        <v>203</v>
      </c>
      <c r="D537" s="341" t="s">
        <v>116</v>
      </c>
      <c r="E537" s="2">
        <v>610</v>
      </c>
      <c r="F537" s="2">
        <v>903</v>
      </c>
      <c r="G537" s="9">
        <f>G536</f>
        <v>29345.94469</v>
      </c>
      <c r="H537" s="344"/>
    </row>
    <row r="538" spans="1:11" s="343" customFormat="1" ht="15.75" x14ac:dyDescent="0.25">
      <c r="A538" s="345" t="s">
        <v>376</v>
      </c>
      <c r="B538" s="346" t="s">
        <v>742</v>
      </c>
      <c r="C538" s="341" t="s">
        <v>203</v>
      </c>
      <c r="D538" s="341" t="s">
        <v>116</v>
      </c>
      <c r="E538" s="2"/>
      <c r="F538" s="2"/>
      <c r="G538" s="9">
        <f>G539+G541+G544</f>
        <v>23813.150570000002</v>
      </c>
      <c r="H538" s="344"/>
    </row>
    <row r="539" spans="1:11" s="343" customFormat="1" ht="78.75" x14ac:dyDescent="0.25">
      <c r="A539" s="345" t="s">
        <v>119</v>
      </c>
      <c r="B539" s="346" t="s">
        <v>742</v>
      </c>
      <c r="C539" s="341" t="s">
        <v>203</v>
      </c>
      <c r="D539" s="341" t="s">
        <v>116</v>
      </c>
      <c r="E539" s="2">
        <v>100</v>
      </c>
      <c r="F539" s="2"/>
      <c r="G539" s="9">
        <f>G540</f>
        <v>19555.05</v>
      </c>
      <c r="H539" s="344"/>
    </row>
    <row r="540" spans="1:11" s="343" customFormat="1" ht="15.75" x14ac:dyDescent="0.25">
      <c r="A540" s="345" t="s">
        <v>155</v>
      </c>
      <c r="B540" s="346" t="s">
        <v>742</v>
      </c>
      <c r="C540" s="341" t="s">
        <v>203</v>
      </c>
      <c r="D540" s="341" t="s">
        <v>116</v>
      </c>
      <c r="E540" s="2">
        <v>110</v>
      </c>
      <c r="F540" s="2"/>
      <c r="G540" s="9">
        <f>'Пр.4 ведом.22'!G417</f>
        <v>19555.05</v>
      </c>
      <c r="H540" s="344"/>
    </row>
    <row r="541" spans="1:11" ht="31.5" x14ac:dyDescent="0.25">
      <c r="A541" s="345" t="s">
        <v>123</v>
      </c>
      <c r="B541" s="346" t="s">
        <v>742</v>
      </c>
      <c r="C541" s="341" t="s">
        <v>203</v>
      </c>
      <c r="D541" s="341" t="s">
        <v>116</v>
      </c>
      <c r="E541" s="341" t="s">
        <v>124</v>
      </c>
      <c r="F541" s="2"/>
      <c r="G541" s="9">
        <f>G542</f>
        <v>4185.6000000000004</v>
      </c>
    </row>
    <row r="542" spans="1:11" ht="31.5" x14ac:dyDescent="0.25">
      <c r="A542" s="345" t="s">
        <v>125</v>
      </c>
      <c r="B542" s="346" t="s">
        <v>742</v>
      </c>
      <c r="C542" s="341" t="s">
        <v>203</v>
      </c>
      <c r="D542" s="341" t="s">
        <v>116</v>
      </c>
      <c r="E542" s="341" t="s">
        <v>126</v>
      </c>
      <c r="F542" s="2"/>
      <c r="G542" s="9">
        <f>'Пр.4 ведом.22'!G419</f>
        <v>4185.6000000000004</v>
      </c>
    </row>
    <row r="543" spans="1:11" s="128" customFormat="1" ht="47.25" x14ac:dyDescent="0.25">
      <c r="A543" s="29" t="s">
        <v>185</v>
      </c>
      <c r="B543" s="346" t="s">
        <v>742</v>
      </c>
      <c r="C543" s="341" t="s">
        <v>203</v>
      </c>
      <c r="D543" s="341" t="s">
        <v>116</v>
      </c>
      <c r="E543" s="341" t="s">
        <v>126</v>
      </c>
      <c r="F543" s="2">
        <v>903</v>
      </c>
      <c r="G543" s="9">
        <f>G542</f>
        <v>4185.6000000000004</v>
      </c>
      <c r="H543" s="129"/>
    </row>
    <row r="544" spans="1:11" ht="15.75" customHeight="1" x14ac:dyDescent="0.25">
      <c r="A544" s="345" t="s">
        <v>127</v>
      </c>
      <c r="B544" s="346" t="s">
        <v>742</v>
      </c>
      <c r="C544" s="341" t="s">
        <v>203</v>
      </c>
      <c r="D544" s="341" t="s">
        <v>116</v>
      </c>
      <c r="E544" s="341" t="s">
        <v>134</v>
      </c>
      <c r="F544" s="2"/>
      <c r="G544" s="9">
        <f>G545</f>
        <v>72.50057000000001</v>
      </c>
    </row>
    <row r="545" spans="1:8" ht="15.75" customHeight="1" x14ac:dyDescent="0.25">
      <c r="A545" s="345" t="s">
        <v>129</v>
      </c>
      <c r="B545" s="346" t="s">
        <v>742</v>
      </c>
      <c r="C545" s="341" t="s">
        <v>203</v>
      </c>
      <c r="D545" s="341" t="s">
        <v>116</v>
      </c>
      <c r="E545" s="341" t="s">
        <v>130</v>
      </c>
      <c r="F545" s="2"/>
      <c r="G545" s="9">
        <f>'Пр.4 ведом.22'!G421</f>
        <v>72.50057000000001</v>
      </c>
    </row>
    <row r="546" spans="1:8" s="128" customFormat="1" ht="50.25" customHeight="1" x14ac:dyDescent="0.25">
      <c r="A546" s="29" t="s">
        <v>185</v>
      </c>
      <c r="B546" s="346" t="s">
        <v>742</v>
      </c>
      <c r="C546" s="341" t="s">
        <v>203</v>
      </c>
      <c r="D546" s="341" t="s">
        <v>116</v>
      </c>
      <c r="E546" s="341" t="s">
        <v>130</v>
      </c>
      <c r="F546" s="2">
        <v>903</v>
      </c>
      <c r="G546" s="9">
        <f>G545</f>
        <v>72.50057000000001</v>
      </c>
      <c r="H546" s="129"/>
    </row>
    <row r="547" spans="1:8" s="128" customFormat="1" ht="31.5" hidden="1" x14ac:dyDescent="0.25">
      <c r="A547" s="22" t="s">
        <v>974</v>
      </c>
      <c r="B547" s="346" t="s">
        <v>965</v>
      </c>
      <c r="C547" s="341" t="s">
        <v>203</v>
      </c>
      <c r="D547" s="341" t="s">
        <v>116</v>
      </c>
      <c r="E547" s="346"/>
      <c r="F547" s="2"/>
      <c r="G547" s="9">
        <f>G548</f>
        <v>0</v>
      </c>
      <c r="H547" s="129"/>
    </row>
    <row r="548" spans="1:8" s="128" customFormat="1" ht="78.75" hidden="1" x14ac:dyDescent="0.25">
      <c r="A548" s="345" t="s">
        <v>119</v>
      </c>
      <c r="B548" s="346" t="s">
        <v>965</v>
      </c>
      <c r="C548" s="341" t="s">
        <v>203</v>
      </c>
      <c r="D548" s="341" t="s">
        <v>116</v>
      </c>
      <c r="E548" s="346" t="s">
        <v>120</v>
      </c>
      <c r="F548" s="2"/>
      <c r="G548" s="9">
        <f>G549</f>
        <v>0</v>
      </c>
      <c r="H548" s="129"/>
    </row>
    <row r="549" spans="1:8" s="128" customFormat="1" ht="15.75" hidden="1" x14ac:dyDescent="0.25">
      <c r="A549" s="345" t="s">
        <v>155</v>
      </c>
      <c r="B549" s="346" t="s">
        <v>965</v>
      </c>
      <c r="C549" s="341" t="s">
        <v>203</v>
      </c>
      <c r="D549" s="341" t="s">
        <v>116</v>
      </c>
      <c r="E549" s="346" t="s">
        <v>156</v>
      </c>
      <c r="F549" s="2"/>
      <c r="G549" s="9">
        <f>'Пр.4 ведом.22'!G424</f>
        <v>0</v>
      </c>
      <c r="H549" s="129"/>
    </row>
    <row r="550" spans="1:8" s="128" customFormat="1" ht="47.25" hidden="1" x14ac:dyDescent="0.25">
      <c r="A550" s="29" t="s">
        <v>185</v>
      </c>
      <c r="B550" s="346" t="s">
        <v>965</v>
      </c>
      <c r="C550" s="341" t="s">
        <v>203</v>
      </c>
      <c r="D550" s="341" t="s">
        <v>116</v>
      </c>
      <c r="E550" s="346" t="s">
        <v>156</v>
      </c>
      <c r="F550" s="2">
        <v>903</v>
      </c>
      <c r="G550" s="9">
        <f>G547</f>
        <v>0</v>
      </c>
      <c r="H550" s="129"/>
    </row>
    <row r="551" spans="1:8" s="128" customFormat="1" ht="19.5" customHeight="1" x14ac:dyDescent="0.25">
      <c r="A551" s="345" t="s">
        <v>288</v>
      </c>
      <c r="B551" s="346" t="s">
        <v>741</v>
      </c>
      <c r="C551" s="341" t="s">
        <v>171</v>
      </c>
      <c r="D551" s="45"/>
      <c r="E551" s="45"/>
      <c r="F551" s="2"/>
      <c r="G551" s="9">
        <f>G552</f>
        <v>5671.9749700000011</v>
      </c>
      <c r="H551" s="129"/>
    </row>
    <row r="552" spans="1:8" s="128" customFormat="1" ht="23.25" customHeight="1" x14ac:dyDescent="0.25">
      <c r="A552" s="345" t="s">
        <v>289</v>
      </c>
      <c r="B552" s="346" t="s">
        <v>741</v>
      </c>
      <c r="C552" s="341" t="s">
        <v>171</v>
      </c>
      <c r="D552" s="341" t="s">
        <v>158</v>
      </c>
      <c r="E552" s="45"/>
      <c r="F552" s="2"/>
      <c r="G552" s="9">
        <f>G553</f>
        <v>5671.9749700000011</v>
      </c>
      <c r="H552" s="129"/>
    </row>
    <row r="553" spans="1:8" s="128" customFormat="1" ht="20.25" customHeight="1" x14ac:dyDescent="0.25">
      <c r="A553" s="345" t="s">
        <v>376</v>
      </c>
      <c r="B553" s="346" t="s">
        <v>742</v>
      </c>
      <c r="C553" s="341" t="s">
        <v>171</v>
      </c>
      <c r="D553" s="341" t="s">
        <v>158</v>
      </c>
      <c r="E553" s="341"/>
      <c r="F553" s="2"/>
      <c r="G553" s="9">
        <f>G554+G557+G560</f>
        <v>5671.9749700000011</v>
      </c>
      <c r="H553" s="129"/>
    </row>
    <row r="554" spans="1:8" s="128" customFormat="1" ht="79.5" customHeight="1" x14ac:dyDescent="0.25">
      <c r="A554" s="345" t="s">
        <v>119</v>
      </c>
      <c r="B554" s="346" t="s">
        <v>742</v>
      </c>
      <c r="C554" s="341" t="s">
        <v>171</v>
      </c>
      <c r="D554" s="341" t="s">
        <v>158</v>
      </c>
      <c r="E554" s="341" t="s">
        <v>120</v>
      </c>
      <c r="F554" s="2"/>
      <c r="G554" s="9">
        <f>G555</f>
        <v>4735.3232400000006</v>
      </c>
      <c r="H554" s="129"/>
    </row>
    <row r="555" spans="1:8" s="128" customFormat="1" ht="20.25" customHeight="1" x14ac:dyDescent="0.25">
      <c r="A555" s="345" t="s">
        <v>155</v>
      </c>
      <c r="B555" s="346" t="s">
        <v>742</v>
      </c>
      <c r="C555" s="341" t="s">
        <v>171</v>
      </c>
      <c r="D555" s="341" t="s">
        <v>158</v>
      </c>
      <c r="E555" s="341" t="s">
        <v>156</v>
      </c>
      <c r="F555" s="2"/>
      <c r="G555" s="9">
        <f>'Пр.4 ведом.22'!G583</f>
        <v>4735.3232400000006</v>
      </c>
      <c r="H555" s="129"/>
    </row>
    <row r="556" spans="1:8" s="128" customFormat="1" ht="50.25" customHeight="1" x14ac:dyDescent="0.25">
      <c r="A556" s="29" t="s">
        <v>185</v>
      </c>
      <c r="B556" s="346" t="s">
        <v>742</v>
      </c>
      <c r="C556" s="341" t="s">
        <v>171</v>
      </c>
      <c r="D556" s="341" t="s">
        <v>158</v>
      </c>
      <c r="E556" s="341" t="s">
        <v>156</v>
      </c>
      <c r="F556" s="2">
        <v>903</v>
      </c>
      <c r="G556" s="9">
        <f>G555</f>
        <v>4735.3232400000006</v>
      </c>
      <c r="H556" s="129"/>
    </row>
    <row r="557" spans="1:8" s="128" customFormat="1" ht="42.75" customHeight="1" x14ac:dyDescent="0.25">
      <c r="A557" s="345" t="s">
        <v>123</v>
      </c>
      <c r="B557" s="346" t="s">
        <v>742</v>
      </c>
      <c r="C557" s="341" t="s">
        <v>171</v>
      </c>
      <c r="D557" s="341" t="s">
        <v>158</v>
      </c>
      <c r="E557" s="341" t="s">
        <v>124</v>
      </c>
      <c r="F557" s="2"/>
      <c r="G557" s="9">
        <f>G558</f>
        <v>753.14800000000002</v>
      </c>
      <c r="H557" s="129"/>
    </row>
    <row r="558" spans="1:8" s="128" customFormat="1" ht="36" customHeight="1" x14ac:dyDescent="0.25">
      <c r="A558" s="345" t="s">
        <v>125</v>
      </c>
      <c r="B558" s="346" t="s">
        <v>742</v>
      </c>
      <c r="C558" s="341" t="s">
        <v>171</v>
      </c>
      <c r="D558" s="341" t="s">
        <v>158</v>
      </c>
      <c r="E558" s="341" t="s">
        <v>126</v>
      </c>
      <c r="F558" s="2"/>
      <c r="G558" s="9">
        <f>'Пр.4 ведом.22'!G585</f>
        <v>753.14800000000002</v>
      </c>
      <c r="H558" s="129"/>
    </row>
    <row r="559" spans="1:8" s="128" customFormat="1" ht="50.25" customHeight="1" x14ac:dyDescent="0.25">
      <c r="A559" s="29" t="s">
        <v>185</v>
      </c>
      <c r="B559" s="346" t="s">
        <v>742</v>
      </c>
      <c r="C559" s="341" t="s">
        <v>171</v>
      </c>
      <c r="D559" s="341" t="s">
        <v>158</v>
      </c>
      <c r="E559" s="341" t="s">
        <v>126</v>
      </c>
      <c r="F559" s="2">
        <v>903</v>
      </c>
      <c r="G559" s="9">
        <f>G558</f>
        <v>753.14800000000002</v>
      </c>
      <c r="H559" s="129"/>
    </row>
    <row r="560" spans="1:8" s="128" customFormat="1" ht="19.5" customHeight="1" x14ac:dyDescent="0.25">
      <c r="A560" s="345" t="s">
        <v>127</v>
      </c>
      <c r="B560" s="346" t="s">
        <v>742</v>
      </c>
      <c r="C560" s="341" t="s">
        <v>171</v>
      </c>
      <c r="D560" s="341" t="s">
        <v>158</v>
      </c>
      <c r="E560" s="341" t="s">
        <v>134</v>
      </c>
      <c r="F560" s="2"/>
      <c r="G560" s="9">
        <f>G561</f>
        <v>183.50372999999999</v>
      </c>
      <c r="H560" s="129"/>
    </row>
    <row r="561" spans="1:8" s="128" customFormat="1" ht="23.25" customHeight="1" x14ac:dyDescent="0.25">
      <c r="A561" s="345" t="s">
        <v>129</v>
      </c>
      <c r="B561" s="346" t="s">
        <v>742</v>
      </c>
      <c r="C561" s="341" t="s">
        <v>171</v>
      </c>
      <c r="D561" s="341" t="s">
        <v>158</v>
      </c>
      <c r="E561" s="341" t="s">
        <v>130</v>
      </c>
      <c r="F561" s="2"/>
      <c r="G561" s="9">
        <f>'Пр.4 ведом.22'!G587</f>
        <v>183.50372999999999</v>
      </c>
      <c r="H561" s="129"/>
    </row>
    <row r="562" spans="1:8" s="128" customFormat="1" ht="50.25" customHeight="1" x14ac:dyDescent="0.25">
      <c r="A562" s="29" t="s">
        <v>185</v>
      </c>
      <c r="B562" s="346" t="s">
        <v>742</v>
      </c>
      <c r="C562" s="341" t="s">
        <v>171</v>
      </c>
      <c r="D562" s="341" t="s">
        <v>158</v>
      </c>
      <c r="E562" s="341" t="s">
        <v>130</v>
      </c>
      <c r="F562" s="2">
        <v>903</v>
      </c>
      <c r="G562" s="9">
        <f>G561</f>
        <v>183.50372999999999</v>
      </c>
      <c r="H562" s="129"/>
    </row>
    <row r="563" spans="1:8" s="128" customFormat="1" ht="31.7" customHeight="1" x14ac:dyDescent="0.25">
      <c r="A563" s="138" t="s">
        <v>817</v>
      </c>
      <c r="B563" s="299" t="s">
        <v>743</v>
      </c>
      <c r="C563" s="6"/>
      <c r="D563" s="6"/>
      <c r="E563" s="6"/>
      <c r="F563" s="3"/>
      <c r="G563" s="35">
        <f>G564+G577</f>
        <v>1201.5953099999999</v>
      </c>
      <c r="H563" s="129"/>
    </row>
    <row r="564" spans="1:8" s="128" customFormat="1" ht="21.2" customHeight="1" x14ac:dyDescent="0.25">
      <c r="A564" s="345" t="s">
        <v>186</v>
      </c>
      <c r="B564" s="346" t="s">
        <v>743</v>
      </c>
      <c r="C564" s="341" t="s">
        <v>187</v>
      </c>
      <c r="D564" s="341"/>
      <c r="E564" s="341"/>
      <c r="F564" s="2"/>
      <c r="G564" s="9">
        <f>G565</f>
        <v>384.94</v>
      </c>
      <c r="H564" s="129"/>
    </row>
    <row r="565" spans="1:8" s="128" customFormat="1" ht="20.25" customHeight="1" x14ac:dyDescent="0.25">
      <c r="A565" s="345" t="s">
        <v>188</v>
      </c>
      <c r="B565" s="346" t="s">
        <v>743</v>
      </c>
      <c r="C565" s="341" t="s">
        <v>187</v>
      </c>
      <c r="D565" s="341" t="s">
        <v>159</v>
      </c>
      <c r="E565" s="341"/>
      <c r="F565" s="2"/>
      <c r="G565" s="9">
        <f>G566</f>
        <v>384.94</v>
      </c>
      <c r="H565" s="129"/>
    </row>
    <row r="566" spans="1:8" s="128" customFormat="1" ht="30.6" customHeight="1" x14ac:dyDescent="0.25">
      <c r="A566" s="120" t="s">
        <v>375</v>
      </c>
      <c r="B566" s="346" t="s">
        <v>744</v>
      </c>
      <c r="C566" s="341" t="s">
        <v>187</v>
      </c>
      <c r="D566" s="341" t="s">
        <v>159</v>
      </c>
      <c r="E566" s="346"/>
      <c r="F566" s="2"/>
      <c r="G566" s="9">
        <f>G567+G570</f>
        <v>384.94</v>
      </c>
      <c r="H566" s="129"/>
    </row>
    <row r="567" spans="1:8" s="128" customFormat="1" ht="21.2" customHeight="1" x14ac:dyDescent="0.25">
      <c r="A567" s="345" t="s">
        <v>177</v>
      </c>
      <c r="B567" s="346" t="s">
        <v>744</v>
      </c>
      <c r="C567" s="341" t="s">
        <v>187</v>
      </c>
      <c r="D567" s="341" t="s">
        <v>159</v>
      </c>
      <c r="E567" s="346" t="s">
        <v>178</v>
      </c>
      <c r="F567" s="2"/>
      <c r="G567" s="9">
        <f>G568</f>
        <v>45.3</v>
      </c>
      <c r="H567" s="129"/>
    </row>
    <row r="568" spans="1:8" s="128" customFormat="1" ht="19.5" customHeight="1" x14ac:dyDescent="0.25">
      <c r="A568" s="345" t="s">
        <v>396</v>
      </c>
      <c r="B568" s="346" t="s">
        <v>744</v>
      </c>
      <c r="C568" s="341" t="s">
        <v>187</v>
      </c>
      <c r="D568" s="341" t="s">
        <v>159</v>
      </c>
      <c r="E568" s="346" t="s">
        <v>395</v>
      </c>
      <c r="F568" s="2"/>
      <c r="G568" s="9">
        <f>'Пр.4 ведом.22'!G349</f>
        <v>45.3</v>
      </c>
      <c r="H568" s="129"/>
    </row>
    <row r="569" spans="1:8" s="128" customFormat="1" ht="54" customHeight="1" x14ac:dyDescent="0.25">
      <c r="A569" s="29" t="s">
        <v>185</v>
      </c>
      <c r="B569" s="346" t="s">
        <v>744</v>
      </c>
      <c r="C569" s="341" t="s">
        <v>187</v>
      </c>
      <c r="D569" s="341" t="s">
        <v>159</v>
      </c>
      <c r="E569" s="346" t="s">
        <v>395</v>
      </c>
      <c r="F569" s="2">
        <v>903</v>
      </c>
      <c r="G569" s="9">
        <f>G568</f>
        <v>45.3</v>
      </c>
      <c r="H569" s="129"/>
    </row>
    <row r="570" spans="1:8" s="128" customFormat="1" ht="31.7" customHeight="1" x14ac:dyDescent="0.25">
      <c r="A570" s="22" t="s">
        <v>392</v>
      </c>
      <c r="B570" s="346" t="s">
        <v>745</v>
      </c>
      <c r="C570" s="341" t="s">
        <v>187</v>
      </c>
      <c r="D570" s="341" t="s">
        <v>159</v>
      </c>
      <c r="E570" s="346"/>
      <c r="F570" s="2"/>
      <c r="G570" s="9">
        <f>G571+G574</f>
        <v>339.64</v>
      </c>
      <c r="H570" s="129"/>
    </row>
    <row r="571" spans="1:8" s="128" customFormat="1" ht="31.7" customHeight="1" x14ac:dyDescent="0.25">
      <c r="A571" s="345" t="s">
        <v>119</v>
      </c>
      <c r="B571" s="346" t="s">
        <v>745</v>
      </c>
      <c r="C571" s="341" t="s">
        <v>187</v>
      </c>
      <c r="D571" s="341" t="s">
        <v>159</v>
      </c>
      <c r="E571" s="346" t="s">
        <v>120</v>
      </c>
      <c r="F571" s="2"/>
      <c r="G571" s="9">
        <f>G572</f>
        <v>339.64</v>
      </c>
      <c r="H571" s="129"/>
    </row>
    <row r="572" spans="1:8" s="128" customFormat="1" ht="21.2" customHeight="1" x14ac:dyDescent="0.25">
      <c r="A572" s="30" t="s">
        <v>212</v>
      </c>
      <c r="B572" s="346" t="s">
        <v>745</v>
      </c>
      <c r="C572" s="341" t="s">
        <v>187</v>
      </c>
      <c r="D572" s="341" t="s">
        <v>159</v>
      </c>
      <c r="E572" s="346" t="s">
        <v>156</v>
      </c>
      <c r="F572" s="2"/>
      <c r="G572" s="9">
        <f>'Пр.4 ведом.22'!G352</f>
        <v>339.64</v>
      </c>
      <c r="H572" s="129"/>
    </row>
    <row r="573" spans="1:8" s="128" customFormat="1" ht="52.5" customHeight="1" x14ac:dyDescent="0.25">
      <c r="A573" s="29" t="s">
        <v>185</v>
      </c>
      <c r="B573" s="346" t="s">
        <v>745</v>
      </c>
      <c r="C573" s="341" t="s">
        <v>187</v>
      </c>
      <c r="D573" s="341" t="s">
        <v>159</v>
      </c>
      <c r="E573" s="346" t="s">
        <v>156</v>
      </c>
      <c r="F573" s="2">
        <v>903</v>
      </c>
      <c r="G573" s="9">
        <f>G572</f>
        <v>339.64</v>
      </c>
      <c r="H573" s="129"/>
    </row>
    <row r="574" spans="1:8" s="128" customFormat="1" ht="31.7" hidden="1" customHeight="1" x14ac:dyDescent="0.25">
      <c r="A574" s="345" t="s">
        <v>123</v>
      </c>
      <c r="B574" s="346" t="s">
        <v>745</v>
      </c>
      <c r="C574" s="341" t="s">
        <v>187</v>
      </c>
      <c r="D574" s="341" t="s">
        <v>159</v>
      </c>
      <c r="E574" s="346" t="s">
        <v>124</v>
      </c>
      <c r="F574" s="2"/>
      <c r="G574" s="9">
        <f>G575</f>
        <v>0</v>
      </c>
      <c r="H574" s="129"/>
    </row>
    <row r="575" spans="1:8" s="128" customFormat="1" ht="31.7" hidden="1" customHeight="1" x14ac:dyDescent="0.25">
      <c r="A575" s="345" t="s">
        <v>125</v>
      </c>
      <c r="B575" s="346" t="s">
        <v>745</v>
      </c>
      <c r="C575" s="341" t="s">
        <v>187</v>
      </c>
      <c r="D575" s="341" t="s">
        <v>159</v>
      </c>
      <c r="E575" s="346" t="s">
        <v>126</v>
      </c>
      <c r="F575" s="2"/>
      <c r="G575" s="9">
        <f>'Пр.4 ведом.22'!G354</f>
        <v>0</v>
      </c>
      <c r="H575" s="129"/>
    </row>
    <row r="576" spans="1:8" s="128" customFormat="1" ht="55.5" hidden="1" customHeight="1" x14ac:dyDescent="0.25">
      <c r="A576" s="29" t="s">
        <v>185</v>
      </c>
      <c r="B576" s="346" t="s">
        <v>745</v>
      </c>
      <c r="C576" s="341" t="s">
        <v>187</v>
      </c>
      <c r="D576" s="341" t="s">
        <v>159</v>
      </c>
      <c r="E576" s="346" t="s">
        <v>126</v>
      </c>
      <c r="F576" s="2">
        <v>903</v>
      </c>
      <c r="G576" s="9">
        <f>G575</f>
        <v>0</v>
      </c>
      <c r="H576" s="129"/>
    </row>
    <row r="577" spans="1:8" s="128" customFormat="1" ht="16.5" customHeight="1" x14ac:dyDescent="0.25">
      <c r="A577" s="45" t="s">
        <v>202</v>
      </c>
      <c r="B577" s="346" t="s">
        <v>743</v>
      </c>
      <c r="C577" s="341" t="s">
        <v>203</v>
      </c>
      <c r="D577" s="45"/>
      <c r="E577" s="45"/>
      <c r="F577" s="2"/>
      <c r="G577" s="9">
        <f>G578</f>
        <v>816.65530999999999</v>
      </c>
      <c r="H577" s="129"/>
    </row>
    <row r="578" spans="1:8" s="128" customFormat="1" ht="16.5" customHeight="1" x14ac:dyDescent="0.25">
      <c r="A578" s="45" t="s">
        <v>204</v>
      </c>
      <c r="B578" s="346" t="s">
        <v>743</v>
      </c>
      <c r="C578" s="341" t="s">
        <v>203</v>
      </c>
      <c r="D578" s="341" t="s">
        <v>116</v>
      </c>
      <c r="E578" s="45"/>
      <c r="F578" s="2"/>
      <c r="G578" s="9">
        <f>G579+G583+G586+G590+G594</f>
        <v>816.65530999999999</v>
      </c>
      <c r="H578" s="129"/>
    </row>
    <row r="579" spans="1:8" s="128" customFormat="1" ht="41.25" hidden="1" customHeight="1" x14ac:dyDescent="0.25">
      <c r="A579" s="22" t="s">
        <v>392</v>
      </c>
      <c r="B579" s="346" t="s">
        <v>745</v>
      </c>
      <c r="C579" s="341" t="s">
        <v>203</v>
      </c>
      <c r="D579" s="341" t="s">
        <v>116</v>
      </c>
      <c r="E579" s="341"/>
      <c r="F579" s="2"/>
      <c r="G579" s="9">
        <f>G580</f>
        <v>0</v>
      </c>
      <c r="H579" s="129"/>
    </row>
    <row r="580" spans="1:8" s="128" customFormat="1" ht="83.25" hidden="1" customHeight="1" x14ac:dyDescent="0.25">
      <c r="A580" s="345" t="s">
        <v>119</v>
      </c>
      <c r="B580" s="346" t="s">
        <v>745</v>
      </c>
      <c r="C580" s="341" t="s">
        <v>203</v>
      </c>
      <c r="D580" s="341" t="s">
        <v>116</v>
      </c>
      <c r="E580" s="341" t="s">
        <v>120</v>
      </c>
      <c r="F580" s="2"/>
      <c r="G580" s="9">
        <f>G581</f>
        <v>0</v>
      </c>
      <c r="H580" s="129"/>
    </row>
    <row r="581" spans="1:8" s="128" customFormat="1" ht="15.75" hidden="1" customHeight="1" x14ac:dyDescent="0.25">
      <c r="A581" s="345" t="s">
        <v>155</v>
      </c>
      <c r="B581" s="346" t="s">
        <v>745</v>
      </c>
      <c r="C581" s="341" t="s">
        <v>203</v>
      </c>
      <c r="D581" s="341" t="s">
        <v>116</v>
      </c>
      <c r="E581" s="341" t="s">
        <v>156</v>
      </c>
      <c r="F581" s="2"/>
      <c r="G581" s="9">
        <f>'Пр.3 Рд,пр, ЦС,ВР 22'!F915</f>
        <v>0</v>
      </c>
      <c r="H581" s="129"/>
    </row>
    <row r="582" spans="1:8" s="128" customFormat="1" ht="40.15" hidden="1" customHeight="1" x14ac:dyDescent="0.25">
      <c r="A582" s="29" t="s">
        <v>185</v>
      </c>
      <c r="B582" s="346" t="s">
        <v>745</v>
      </c>
      <c r="C582" s="341" t="s">
        <v>203</v>
      </c>
      <c r="D582" s="341" t="s">
        <v>116</v>
      </c>
      <c r="E582" s="341" t="s">
        <v>156</v>
      </c>
      <c r="F582" s="2">
        <v>903</v>
      </c>
      <c r="G582" s="9">
        <f>G581</f>
        <v>0</v>
      </c>
      <c r="H582" s="129"/>
    </row>
    <row r="583" spans="1:8" s="128" customFormat="1" ht="40.700000000000003" hidden="1" customHeight="1" x14ac:dyDescent="0.25">
      <c r="A583" s="345" t="s">
        <v>123</v>
      </c>
      <c r="B583" s="346" t="s">
        <v>745</v>
      </c>
      <c r="C583" s="341" t="s">
        <v>203</v>
      </c>
      <c r="D583" s="341" t="s">
        <v>116</v>
      </c>
      <c r="E583" s="341" t="s">
        <v>124</v>
      </c>
      <c r="F583" s="2"/>
      <c r="G583" s="9">
        <f>G584</f>
        <v>0</v>
      </c>
      <c r="H583" s="129"/>
    </row>
    <row r="584" spans="1:8" s="128" customFormat="1" ht="40.700000000000003" hidden="1" customHeight="1" x14ac:dyDescent="0.25">
      <c r="A584" s="345" t="s">
        <v>125</v>
      </c>
      <c r="B584" s="346" t="s">
        <v>745</v>
      </c>
      <c r="C584" s="341" t="s">
        <v>203</v>
      </c>
      <c r="D584" s="341" t="s">
        <v>116</v>
      </c>
      <c r="E584" s="341" t="s">
        <v>126</v>
      </c>
      <c r="F584" s="2"/>
      <c r="G584" s="9">
        <f>'Пр.3 Рд,пр, ЦС,ВР 22'!F917</f>
        <v>0</v>
      </c>
      <c r="H584" s="129"/>
    </row>
    <row r="585" spans="1:8" s="128" customFormat="1" ht="46.5" hidden="1" customHeight="1" x14ac:dyDescent="0.25">
      <c r="A585" s="29" t="s">
        <v>185</v>
      </c>
      <c r="B585" s="346" t="s">
        <v>745</v>
      </c>
      <c r="C585" s="341" t="s">
        <v>203</v>
      </c>
      <c r="D585" s="341" t="s">
        <v>116</v>
      </c>
      <c r="E585" s="341" t="s">
        <v>126</v>
      </c>
      <c r="F585" s="2">
        <v>903</v>
      </c>
      <c r="G585" s="9">
        <f>G584</f>
        <v>0</v>
      </c>
      <c r="H585" s="129"/>
    </row>
    <row r="586" spans="1:8" s="343" customFormat="1" ht="31.5" x14ac:dyDescent="0.25">
      <c r="A586" s="345" t="s">
        <v>1219</v>
      </c>
      <c r="B586" s="346" t="s">
        <v>1220</v>
      </c>
      <c r="C586" s="341" t="s">
        <v>203</v>
      </c>
      <c r="D586" s="341" t="s">
        <v>116</v>
      </c>
      <c r="E586" s="341"/>
      <c r="F586" s="2"/>
      <c r="G586" s="9">
        <f>G587</f>
        <v>676.3</v>
      </c>
      <c r="H586" s="344"/>
    </row>
    <row r="587" spans="1:8" s="343" customFormat="1" ht="31.5" x14ac:dyDescent="0.25">
      <c r="A587" s="345" t="s">
        <v>191</v>
      </c>
      <c r="B587" s="346" t="s">
        <v>1220</v>
      </c>
      <c r="C587" s="341" t="s">
        <v>203</v>
      </c>
      <c r="D587" s="341" t="s">
        <v>116</v>
      </c>
      <c r="E587" s="341" t="s">
        <v>192</v>
      </c>
      <c r="F587" s="2"/>
      <c r="G587" s="9">
        <f>G588</f>
        <v>676.3</v>
      </c>
      <c r="H587" s="344"/>
    </row>
    <row r="588" spans="1:8" s="343" customFormat="1" ht="15.75" x14ac:dyDescent="0.25">
      <c r="A588" s="345" t="s">
        <v>193</v>
      </c>
      <c r="B588" s="346" t="s">
        <v>1220</v>
      </c>
      <c r="C588" s="341" t="s">
        <v>203</v>
      </c>
      <c r="D588" s="341" t="s">
        <v>116</v>
      </c>
      <c r="E588" s="341" t="s">
        <v>194</v>
      </c>
      <c r="F588" s="2"/>
      <c r="G588" s="9">
        <f>'Пр.4 ведом.22'!G433</f>
        <v>676.3</v>
      </c>
      <c r="H588" s="344"/>
    </row>
    <row r="589" spans="1:8" s="343" customFormat="1" ht="47.25" x14ac:dyDescent="0.25">
      <c r="A589" s="29" t="s">
        <v>185</v>
      </c>
      <c r="B589" s="346" t="s">
        <v>1220</v>
      </c>
      <c r="C589" s="341" t="s">
        <v>203</v>
      </c>
      <c r="D589" s="341" t="s">
        <v>116</v>
      </c>
      <c r="E589" s="341" t="s">
        <v>194</v>
      </c>
      <c r="F589" s="2">
        <v>903</v>
      </c>
      <c r="G589" s="9">
        <f>G588</f>
        <v>676.3</v>
      </c>
      <c r="H589" s="344"/>
    </row>
    <row r="590" spans="1:8" s="343" customFormat="1" ht="31.5" x14ac:dyDescent="0.25">
      <c r="A590" s="345" t="s">
        <v>195</v>
      </c>
      <c r="B590" s="346" t="s">
        <v>1330</v>
      </c>
      <c r="C590" s="341" t="s">
        <v>203</v>
      </c>
      <c r="D590" s="341" t="s">
        <v>116</v>
      </c>
      <c r="E590" s="341"/>
      <c r="F590" s="2"/>
      <c r="G590" s="9">
        <f>G591</f>
        <v>0.25530999999999998</v>
      </c>
      <c r="H590" s="344"/>
    </row>
    <row r="591" spans="1:8" s="343" customFormat="1" ht="31.5" x14ac:dyDescent="0.25">
      <c r="A591" s="345" t="s">
        <v>191</v>
      </c>
      <c r="B591" s="346" t="s">
        <v>1330</v>
      </c>
      <c r="C591" s="341" t="s">
        <v>203</v>
      </c>
      <c r="D591" s="341" t="s">
        <v>116</v>
      </c>
      <c r="E591" s="341" t="s">
        <v>192</v>
      </c>
      <c r="F591" s="2"/>
      <c r="G591" s="9">
        <f>G592</f>
        <v>0.25530999999999998</v>
      </c>
      <c r="H591" s="344"/>
    </row>
    <row r="592" spans="1:8" s="343" customFormat="1" ht="15.75" x14ac:dyDescent="0.25">
      <c r="A592" s="345" t="s">
        <v>193</v>
      </c>
      <c r="B592" s="346" t="s">
        <v>1330</v>
      </c>
      <c r="C592" s="341" t="s">
        <v>203</v>
      </c>
      <c r="D592" s="341" t="s">
        <v>116</v>
      </c>
      <c r="E592" s="341" t="s">
        <v>194</v>
      </c>
      <c r="F592" s="2"/>
      <c r="G592" s="9">
        <f>'Пр.4 ведом.22'!G436</f>
        <v>0.25530999999999998</v>
      </c>
      <c r="H592" s="344"/>
    </row>
    <row r="593" spans="1:8" s="343" customFormat="1" ht="47.25" x14ac:dyDescent="0.25">
      <c r="A593" s="29" t="s">
        <v>185</v>
      </c>
      <c r="B593" s="346" t="s">
        <v>1330</v>
      </c>
      <c r="C593" s="341" t="s">
        <v>203</v>
      </c>
      <c r="D593" s="341" t="s">
        <v>116</v>
      </c>
      <c r="E593" s="341" t="s">
        <v>194</v>
      </c>
      <c r="F593" s="2">
        <v>903</v>
      </c>
      <c r="G593" s="9">
        <f>G592</f>
        <v>0.25530999999999998</v>
      </c>
      <c r="H593" s="344"/>
    </row>
    <row r="594" spans="1:8" s="343" customFormat="1" ht="31.5" x14ac:dyDescent="0.25">
      <c r="A594" s="345" t="s">
        <v>196</v>
      </c>
      <c r="B594" s="346" t="s">
        <v>1331</v>
      </c>
      <c r="C594" s="341" t="s">
        <v>203</v>
      </c>
      <c r="D594" s="341" t="s">
        <v>116</v>
      </c>
      <c r="E594" s="341"/>
      <c r="F594" s="2"/>
      <c r="G594" s="9">
        <f>G595</f>
        <v>140.1</v>
      </c>
      <c r="H594" s="344"/>
    </row>
    <row r="595" spans="1:8" s="343" customFormat="1" ht="31.5" x14ac:dyDescent="0.25">
      <c r="A595" s="345" t="s">
        <v>191</v>
      </c>
      <c r="B595" s="346" t="s">
        <v>1331</v>
      </c>
      <c r="C595" s="341" t="s">
        <v>203</v>
      </c>
      <c r="D595" s="341" t="s">
        <v>116</v>
      </c>
      <c r="E595" s="341" t="s">
        <v>192</v>
      </c>
      <c r="F595" s="2"/>
      <c r="G595" s="9">
        <f>G596</f>
        <v>140.1</v>
      </c>
      <c r="H595" s="344"/>
    </row>
    <row r="596" spans="1:8" s="343" customFormat="1" ht="15.75" x14ac:dyDescent="0.25">
      <c r="A596" s="345" t="s">
        <v>193</v>
      </c>
      <c r="B596" s="346" t="s">
        <v>1331</v>
      </c>
      <c r="C596" s="341" t="s">
        <v>203</v>
      </c>
      <c r="D596" s="341" t="s">
        <v>116</v>
      </c>
      <c r="E596" s="341" t="s">
        <v>194</v>
      </c>
      <c r="F596" s="2"/>
      <c r="G596" s="9">
        <f>'Пр.4 ведом.22'!G439</f>
        <v>140.1</v>
      </c>
      <c r="H596" s="344"/>
    </row>
    <row r="597" spans="1:8" s="343" customFormat="1" ht="47.25" x14ac:dyDescent="0.25">
      <c r="A597" s="29" t="s">
        <v>185</v>
      </c>
      <c r="B597" s="346" t="s">
        <v>1331</v>
      </c>
      <c r="C597" s="341" t="s">
        <v>203</v>
      </c>
      <c r="D597" s="341" t="s">
        <v>116</v>
      </c>
      <c r="E597" s="341" t="s">
        <v>194</v>
      </c>
      <c r="F597" s="2">
        <v>903</v>
      </c>
      <c r="G597" s="9">
        <f>G596</f>
        <v>140.1</v>
      </c>
      <c r="H597" s="344"/>
    </row>
    <row r="598" spans="1:8" s="128" customFormat="1" ht="35.450000000000003" customHeight="1" x14ac:dyDescent="0.25">
      <c r="A598" s="298" t="s">
        <v>512</v>
      </c>
      <c r="B598" s="299" t="s">
        <v>746</v>
      </c>
      <c r="C598" s="6"/>
      <c r="D598" s="6"/>
      <c r="E598" s="6"/>
      <c r="F598" s="3"/>
      <c r="G598" s="35">
        <f>G606+G600+G619</f>
        <v>1183</v>
      </c>
      <c r="H598" s="129"/>
    </row>
    <row r="599" spans="1:8" s="128" customFormat="1" ht="18" customHeight="1" x14ac:dyDescent="0.25">
      <c r="A599" s="345" t="s">
        <v>186</v>
      </c>
      <c r="B599" s="346" t="s">
        <v>746</v>
      </c>
      <c r="C599" s="341" t="s">
        <v>187</v>
      </c>
      <c r="D599" s="341"/>
      <c r="E599" s="341"/>
      <c r="F599" s="2"/>
      <c r="G599" s="9">
        <f>G600</f>
        <v>373</v>
      </c>
      <c r="H599" s="129"/>
    </row>
    <row r="600" spans="1:8" s="128" customFormat="1" ht="22.7" customHeight="1" x14ac:dyDescent="0.25">
      <c r="A600" s="345" t="s">
        <v>188</v>
      </c>
      <c r="B600" s="346" t="s">
        <v>746</v>
      </c>
      <c r="C600" s="341" t="s">
        <v>187</v>
      </c>
      <c r="D600" s="341" t="s">
        <v>159</v>
      </c>
      <c r="E600" s="341"/>
      <c r="F600" s="2"/>
      <c r="G600" s="9">
        <f>G601</f>
        <v>373</v>
      </c>
      <c r="H600" s="129"/>
    </row>
    <row r="601" spans="1:8" s="128" customFormat="1" ht="49.7" customHeight="1" x14ac:dyDescent="0.25">
      <c r="A601" s="345" t="s">
        <v>414</v>
      </c>
      <c r="B601" s="346" t="s">
        <v>747</v>
      </c>
      <c r="C601" s="341" t="s">
        <v>187</v>
      </c>
      <c r="D601" s="341" t="s">
        <v>159</v>
      </c>
      <c r="E601" s="346"/>
      <c r="F601" s="2"/>
      <c r="G601" s="9">
        <f>G602</f>
        <v>373</v>
      </c>
      <c r="H601" s="129"/>
    </row>
    <row r="602" spans="1:8" s="128" customFormat="1" ht="88.5" customHeight="1" x14ac:dyDescent="0.25">
      <c r="A602" s="345" t="s">
        <v>119</v>
      </c>
      <c r="B602" s="346" t="s">
        <v>747</v>
      </c>
      <c r="C602" s="341" t="s">
        <v>187</v>
      </c>
      <c r="D602" s="341" t="s">
        <v>159</v>
      </c>
      <c r="E602" s="346" t="s">
        <v>120</v>
      </c>
      <c r="F602" s="2"/>
      <c r="G602" s="9">
        <f>G603</f>
        <v>373</v>
      </c>
      <c r="H602" s="129"/>
    </row>
    <row r="603" spans="1:8" s="128" customFormat="1" ht="36.75" customHeight="1" x14ac:dyDescent="0.25">
      <c r="A603" s="345" t="s">
        <v>121</v>
      </c>
      <c r="B603" s="346" t="s">
        <v>747</v>
      </c>
      <c r="C603" s="341" t="s">
        <v>187</v>
      </c>
      <c r="D603" s="341" t="s">
        <v>159</v>
      </c>
      <c r="E603" s="346" t="s">
        <v>156</v>
      </c>
      <c r="F603" s="2"/>
      <c r="G603" s="9">
        <f>'Пр.4 ведом.22'!G358</f>
        <v>373</v>
      </c>
      <c r="H603" s="129"/>
    </row>
    <row r="604" spans="1:8" s="128" customFormat="1" ht="58.7" customHeight="1" x14ac:dyDescent="0.25">
      <c r="A604" s="29" t="s">
        <v>185</v>
      </c>
      <c r="B604" s="346" t="s">
        <v>747</v>
      </c>
      <c r="C604" s="341" t="s">
        <v>187</v>
      </c>
      <c r="D604" s="341" t="s">
        <v>159</v>
      </c>
      <c r="E604" s="346" t="s">
        <v>156</v>
      </c>
      <c r="F604" s="2">
        <v>903</v>
      </c>
      <c r="G604" s="9">
        <f>G603</f>
        <v>373</v>
      </c>
      <c r="H604" s="129"/>
    </row>
    <row r="605" spans="1:8" s="128" customFormat="1" ht="16.5" customHeight="1" x14ac:dyDescent="0.25">
      <c r="A605" s="45" t="s">
        <v>202</v>
      </c>
      <c r="B605" s="346" t="s">
        <v>746</v>
      </c>
      <c r="C605" s="341" t="s">
        <v>203</v>
      </c>
      <c r="D605" s="45"/>
      <c r="E605" s="45"/>
      <c r="F605" s="2"/>
      <c r="G605" s="9">
        <f>G606</f>
        <v>810</v>
      </c>
      <c r="H605" s="129"/>
    </row>
    <row r="606" spans="1:8" s="128" customFormat="1" ht="18.75" customHeight="1" x14ac:dyDescent="0.25">
      <c r="A606" s="45" t="s">
        <v>204</v>
      </c>
      <c r="B606" s="346" t="s">
        <v>746</v>
      </c>
      <c r="C606" s="341" t="s">
        <v>203</v>
      </c>
      <c r="D606" s="341" t="s">
        <v>116</v>
      </c>
      <c r="E606" s="45"/>
      <c r="F606" s="2"/>
      <c r="G606" s="9">
        <f>G607+G611+G615</f>
        <v>810</v>
      </c>
      <c r="H606" s="129"/>
    </row>
    <row r="607" spans="1:8" s="128" customFormat="1" ht="43.5" customHeight="1" x14ac:dyDescent="0.25">
      <c r="A607" s="345" t="s">
        <v>414</v>
      </c>
      <c r="B607" s="346" t="s">
        <v>747</v>
      </c>
      <c r="C607" s="341" t="s">
        <v>203</v>
      </c>
      <c r="D607" s="341" t="s">
        <v>116</v>
      </c>
      <c r="E607" s="341"/>
      <c r="F607" s="2"/>
      <c r="G607" s="9">
        <f>G608</f>
        <v>136.69999999999999</v>
      </c>
      <c r="H607" s="129"/>
    </row>
    <row r="608" spans="1:8" s="128" customFormat="1" ht="81" customHeight="1" x14ac:dyDescent="0.25">
      <c r="A608" s="345" t="s">
        <v>119</v>
      </c>
      <c r="B608" s="346" t="s">
        <v>747</v>
      </c>
      <c r="C608" s="341" t="s">
        <v>203</v>
      </c>
      <c r="D608" s="341" t="s">
        <v>116</v>
      </c>
      <c r="E608" s="341" t="s">
        <v>120</v>
      </c>
      <c r="F608" s="2"/>
      <c r="G608" s="9">
        <f>G609</f>
        <v>136.69999999999999</v>
      </c>
      <c r="H608" s="129"/>
    </row>
    <row r="609" spans="1:8" s="128" customFormat="1" ht="38.25" customHeight="1" x14ac:dyDescent="0.25">
      <c r="A609" s="345" t="s">
        <v>121</v>
      </c>
      <c r="B609" s="346" t="s">
        <v>747</v>
      </c>
      <c r="C609" s="341" t="s">
        <v>203</v>
      </c>
      <c r="D609" s="341" t="s">
        <v>116</v>
      </c>
      <c r="E609" s="341" t="s">
        <v>156</v>
      </c>
      <c r="F609" s="2"/>
      <c r="G609" s="9">
        <f>'Пр.3 Рд,пр, ЦС,ВР 22'!F930</f>
        <v>136.69999999999999</v>
      </c>
      <c r="H609" s="129"/>
    </row>
    <row r="610" spans="1:8" s="128" customFormat="1" ht="47.25" customHeight="1" x14ac:dyDescent="0.25">
      <c r="A610" s="29" t="s">
        <v>185</v>
      </c>
      <c r="B610" s="346" t="s">
        <v>747</v>
      </c>
      <c r="C610" s="341" t="s">
        <v>203</v>
      </c>
      <c r="D610" s="341" t="s">
        <v>116</v>
      </c>
      <c r="E610" s="341" t="s">
        <v>156</v>
      </c>
      <c r="F610" s="2">
        <v>903</v>
      </c>
      <c r="G610" s="9">
        <f>G609</f>
        <v>136.69999999999999</v>
      </c>
      <c r="H610" s="129"/>
    </row>
    <row r="611" spans="1:8" s="343" customFormat="1" ht="31.5" x14ac:dyDescent="0.25">
      <c r="A611" s="345" t="s">
        <v>342</v>
      </c>
      <c r="B611" s="346" t="s">
        <v>1221</v>
      </c>
      <c r="C611" s="341" t="s">
        <v>203</v>
      </c>
      <c r="D611" s="341" t="s">
        <v>116</v>
      </c>
      <c r="E611" s="341"/>
      <c r="F611" s="2"/>
      <c r="G611" s="9">
        <f>G612</f>
        <v>473.3</v>
      </c>
      <c r="H611" s="344"/>
    </row>
    <row r="612" spans="1:8" s="343" customFormat="1" ht="31.5" x14ac:dyDescent="0.25">
      <c r="A612" s="345" t="s">
        <v>191</v>
      </c>
      <c r="B612" s="346" t="s">
        <v>1221</v>
      </c>
      <c r="C612" s="341" t="s">
        <v>203</v>
      </c>
      <c r="D612" s="341" t="s">
        <v>116</v>
      </c>
      <c r="E612" s="341" t="s">
        <v>192</v>
      </c>
      <c r="F612" s="2"/>
      <c r="G612" s="9">
        <f>G613</f>
        <v>473.3</v>
      </c>
      <c r="H612" s="344"/>
    </row>
    <row r="613" spans="1:8" s="343" customFormat="1" ht="15.75" x14ac:dyDescent="0.25">
      <c r="A613" s="345" t="s">
        <v>193</v>
      </c>
      <c r="B613" s="346" t="s">
        <v>1221</v>
      </c>
      <c r="C613" s="341" t="s">
        <v>203</v>
      </c>
      <c r="D613" s="341" t="s">
        <v>116</v>
      </c>
      <c r="E613" s="341" t="s">
        <v>194</v>
      </c>
      <c r="F613" s="2"/>
      <c r="G613" s="9">
        <f>'Пр.4 ведом.22'!G446</f>
        <v>473.3</v>
      </c>
      <c r="H613" s="344"/>
    </row>
    <row r="614" spans="1:8" s="343" customFormat="1" ht="47.25" x14ac:dyDescent="0.25">
      <c r="A614" s="29" t="s">
        <v>185</v>
      </c>
      <c r="B614" s="346" t="s">
        <v>1221</v>
      </c>
      <c r="C614" s="341" t="s">
        <v>203</v>
      </c>
      <c r="D614" s="341" t="s">
        <v>116</v>
      </c>
      <c r="E614" s="341" t="s">
        <v>194</v>
      </c>
      <c r="F614" s="2">
        <v>903</v>
      </c>
      <c r="G614" s="9">
        <f>G613</f>
        <v>473.3</v>
      </c>
      <c r="H614" s="344"/>
    </row>
    <row r="615" spans="1:8" s="343" customFormat="1" ht="31.5" x14ac:dyDescent="0.25">
      <c r="A615" s="345" t="s">
        <v>1359</v>
      </c>
      <c r="B615" s="346" t="s">
        <v>1358</v>
      </c>
      <c r="C615" s="341" t="s">
        <v>203</v>
      </c>
      <c r="D615" s="341" t="s">
        <v>116</v>
      </c>
      <c r="E615" s="341"/>
      <c r="F615" s="2"/>
      <c r="G615" s="9">
        <f>G616</f>
        <v>200</v>
      </c>
      <c r="H615" s="344"/>
    </row>
    <row r="616" spans="1:8" s="343" customFormat="1" ht="31.5" x14ac:dyDescent="0.25">
      <c r="A616" s="345" t="s">
        <v>191</v>
      </c>
      <c r="B616" s="346" t="s">
        <v>1358</v>
      </c>
      <c r="C616" s="341" t="s">
        <v>203</v>
      </c>
      <c r="D616" s="341" t="s">
        <v>116</v>
      </c>
      <c r="E616" s="341" t="s">
        <v>192</v>
      </c>
      <c r="F616" s="2"/>
      <c r="G616" s="9">
        <f>G617</f>
        <v>200</v>
      </c>
      <c r="H616" s="344"/>
    </row>
    <row r="617" spans="1:8" s="343" customFormat="1" ht="15.75" x14ac:dyDescent="0.25">
      <c r="A617" s="345" t="s">
        <v>193</v>
      </c>
      <c r="B617" s="346" t="s">
        <v>1358</v>
      </c>
      <c r="C617" s="341" t="s">
        <v>203</v>
      </c>
      <c r="D617" s="341" t="s">
        <v>116</v>
      </c>
      <c r="E617" s="341" t="s">
        <v>194</v>
      </c>
      <c r="F617" s="2"/>
      <c r="G617" s="9">
        <f>'Пр.4 ведом.22'!G449</f>
        <v>200</v>
      </c>
      <c r="H617" s="344"/>
    </row>
    <row r="618" spans="1:8" s="343" customFormat="1" ht="47.25" x14ac:dyDescent="0.25">
      <c r="A618" s="29" t="s">
        <v>185</v>
      </c>
      <c r="B618" s="346" t="s">
        <v>1358</v>
      </c>
      <c r="C618" s="341" t="s">
        <v>203</v>
      </c>
      <c r="D618" s="341" t="s">
        <v>116</v>
      </c>
      <c r="E618" s="341" t="s">
        <v>194</v>
      </c>
      <c r="F618" s="2">
        <v>903</v>
      </c>
      <c r="G618" s="9">
        <f>G617</f>
        <v>200</v>
      </c>
      <c r="H618" s="344"/>
    </row>
    <row r="619" spans="1:8" s="128" customFormat="1" ht="16.5" hidden="1" customHeight="1" x14ac:dyDescent="0.25">
      <c r="A619" s="42" t="s">
        <v>288</v>
      </c>
      <c r="B619" s="346" t="s">
        <v>746</v>
      </c>
      <c r="C619" s="341" t="s">
        <v>171</v>
      </c>
      <c r="D619" s="45"/>
      <c r="E619" s="45"/>
      <c r="F619" s="2"/>
      <c r="G619" s="9">
        <f>G620</f>
        <v>0</v>
      </c>
      <c r="H619" s="129"/>
    </row>
    <row r="620" spans="1:8" s="128" customFormat="1" ht="18" hidden="1" customHeight="1" x14ac:dyDescent="0.25">
      <c r="A620" s="345" t="s">
        <v>289</v>
      </c>
      <c r="B620" s="346" t="s">
        <v>746</v>
      </c>
      <c r="C620" s="341" t="s">
        <v>171</v>
      </c>
      <c r="D620" s="341" t="s">
        <v>158</v>
      </c>
      <c r="E620" s="45"/>
      <c r="F620" s="2"/>
      <c r="G620" s="9">
        <f>G621</f>
        <v>0</v>
      </c>
      <c r="H620" s="129"/>
    </row>
    <row r="621" spans="1:8" s="128" customFormat="1" ht="47.25" hidden="1" customHeight="1" x14ac:dyDescent="0.25">
      <c r="A621" s="345" t="s">
        <v>414</v>
      </c>
      <c r="B621" s="346" t="s">
        <v>747</v>
      </c>
      <c r="C621" s="341" t="s">
        <v>171</v>
      </c>
      <c r="D621" s="341" t="s">
        <v>158</v>
      </c>
      <c r="E621" s="341"/>
      <c r="F621" s="2"/>
      <c r="G621" s="9">
        <f>G622</f>
        <v>0</v>
      </c>
      <c r="H621" s="129"/>
    </row>
    <row r="622" spans="1:8" s="128" customFormat="1" ht="47.25" hidden="1" customHeight="1" x14ac:dyDescent="0.25">
      <c r="A622" s="345" t="s">
        <v>119</v>
      </c>
      <c r="B622" s="346" t="s">
        <v>747</v>
      </c>
      <c r="C622" s="341" t="s">
        <v>171</v>
      </c>
      <c r="D622" s="341" t="s">
        <v>158</v>
      </c>
      <c r="E622" s="341" t="s">
        <v>120</v>
      </c>
      <c r="F622" s="2"/>
      <c r="G622" s="9">
        <f>G623</f>
        <v>0</v>
      </c>
      <c r="H622" s="129"/>
    </row>
    <row r="623" spans="1:8" s="128" customFormat="1" ht="47.25" hidden="1" customHeight="1" x14ac:dyDescent="0.25">
      <c r="A623" s="345" t="s">
        <v>121</v>
      </c>
      <c r="B623" s="346" t="s">
        <v>747</v>
      </c>
      <c r="C623" s="341" t="s">
        <v>171</v>
      </c>
      <c r="D623" s="341" t="s">
        <v>158</v>
      </c>
      <c r="E623" s="341" t="s">
        <v>156</v>
      </c>
      <c r="F623" s="2"/>
      <c r="G623" s="9">
        <f>'Пр.4 ведом.22'!G591</f>
        <v>0</v>
      </c>
      <c r="H623" s="129"/>
    </row>
    <row r="624" spans="1:8" s="128" customFormat="1" ht="47.25" hidden="1" customHeight="1" x14ac:dyDescent="0.25">
      <c r="A624" s="29" t="s">
        <v>185</v>
      </c>
      <c r="B624" s="346" t="s">
        <v>747</v>
      </c>
      <c r="C624" s="341" t="s">
        <v>171</v>
      </c>
      <c r="D624" s="341" t="s">
        <v>158</v>
      </c>
      <c r="E624" s="341" t="s">
        <v>156</v>
      </c>
      <c r="F624" s="2">
        <v>903</v>
      </c>
      <c r="G624" s="9">
        <f>G623</f>
        <v>0</v>
      </c>
      <c r="H624" s="129"/>
    </row>
    <row r="625" spans="1:10" s="128" customFormat="1" ht="48.2" customHeight="1" x14ac:dyDescent="0.25">
      <c r="A625" s="139" t="s">
        <v>469</v>
      </c>
      <c r="B625" s="299" t="s">
        <v>748</v>
      </c>
      <c r="C625" s="6"/>
      <c r="D625" s="6"/>
      <c r="E625" s="6"/>
      <c r="F625" s="3"/>
      <c r="G625" s="35">
        <f>G626+G637</f>
        <v>3297.7</v>
      </c>
      <c r="H625" s="129"/>
    </row>
    <row r="626" spans="1:10" s="128" customFormat="1" ht="21.75" customHeight="1" x14ac:dyDescent="0.25">
      <c r="A626" s="345" t="s">
        <v>186</v>
      </c>
      <c r="B626" s="346" t="s">
        <v>748</v>
      </c>
      <c r="C626" s="341" t="s">
        <v>187</v>
      </c>
      <c r="D626" s="341"/>
      <c r="E626" s="341"/>
      <c r="F626" s="2"/>
      <c r="G626" s="9">
        <f>G627</f>
        <v>743.3</v>
      </c>
      <c r="H626" s="129"/>
    </row>
    <row r="627" spans="1:10" s="128" customFormat="1" ht="18" customHeight="1" x14ac:dyDescent="0.25">
      <c r="A627" s="345" t="s">
        <v>188</v>
      </c>
      <c r="B627" s="346" t="s">
        <v>748</v>
      </c>
      <c r="C627" s="341" t="s">
        <v>187</v>
      </c>
      <c r="D627" s="341" t="s">
        <v>159</v>
      </c>
      <c r="E627" s="341"/>
      <c r="F627" s="2"/>
      <c r="G627" s="9">
        <f>G628+G632</f>
        <v>743.3</v>
      </c>
      <c r="H627" s="129"/>
    </row>
    <row r="628" spans="1:10" s="128" customFormat="1" ht="79.900000000000006" customHeight="1" x14ac:dyDescent="0.25">
      <c r="A628" s="22" t="s">
        <v>200</v>
      </c>
      <c r="B628" s="346" t="s">
        <v>898</v>
      </c>
      <c r="C628" s="341" t="s">
        <v>187</v>
      </c>
      <c r="D628" s="341" t="s">
        <v>159</v>
      </c>
      <c r="E628" s="346"/>
      <c r="F628" s="2"/>
      <c r="G628" s="9">
        <f>G629</f>
        <v>471</v>
      </c>
      <c r="H628" s="129"/>
      <c r="J628" s="151">
        <f>G628+G638</f>
        <v>2571.5</v>
      </c>
    </row>
    <row r="629" spans="1:10" s="128" customFormat="1" ht="84.2" customHeight="1" x14ac:dyDescent="0.25">
      <c r="A629" s="345" t="s">
        <v>119</v>
      </c>
      <c r="B629" s="346" t="s">
        <v>898</v>
      </c>
      <c r="C629" s="341" t="s">
        <v>187</v>
      </c>
      <c r="D629" s="341" t="s">
        <v>159</v>
      </c>
      <c r="E629" s="346" t="s">
        <v>120</v>
      </c>
      <c r="F629" s="2"/>
      <c r="G629" s="9">
        <f>G630</f>
        <v>471</v>
      </c>
      <c r="H629" s="129"/>
    </row>
    <row r="630" spans="1:10" s="128" customFormat="1" ht="15" customHeight="1" x14ac:dyDescent="0.25">
      <c r="A630" s="30" t="s">
        <v>212</v>
      </c>
      <c r="B630" s="346" t="s">
        <v>898</v>
      </c>
      <c r="C630" s="341" t="s">
        <v>187</v>
      </c>
      <c r="D630" s="341" t="s">
        <v>159</v>
      </c>
      <c r="E630" s="346" t="s">
        <v>156</v>
      </c>
      <c r="F630" s="2"/>
      <c r="G630" s="9">
        <f>'Пр.4 ведом.22'!G362</f>
        <v>471</v>
      </c>
      <c r="H630" s="129"/>
    </row>
    <row r="631" spans="1:10" s="128" customFormat="1" ht="48" customHeight="1" x14ac:dyDescent="0.25">
      <c r="A631" s="29" t="s">
        <v>185</v>
      </c>
      <c r="B631" s="346" t="s">
        <v>898</v>
      </c>
      <c r="C631" s="341" t="s">
        <v>187</v>
      </c>
      <c r="D631" s="341" t="s">
        <v>159</v>
      </c>
      <c r="E631" s="346" t="s">
        <v>156</v>
      </c>
      <c r="F631" s="2">
        <v>903</v>
      </c>
      <c r="G631" s="9">
        <f>G630</f>
        <v>471</v>
      </c>
      <c r="H631" s="129"/>
    </row>
    <row r="632" spans="1:10" s="128" customFormat="1" ht="47.25" x14ac:dyDescent="0.25">
      <c r="A632" s="345" t="s">
        <v>1165</v>
      </c>
      <c r="B632" s="346" t="s">
        <v>1167</v>
      </c>
      <c r="C632" s="341" t="s">
        <v>187</v>
      </c>
      <c r="D632" s="341" t="s">
        <v>159</v>
      </c>
      <c r="E632" s="346"/>
      <c r="F632" s="2"/>
      <c r="G632" s="9">
        <f>G633</f>
        <v>272.29999999999995</v>
      </c>
      <c r="H632" s="129"/>
    </row>
    <row r="633" spans="1:10" s="128" customFormat="1" ht="78.599999999999994" customHeight="1" x14ac:dyDescent="0.25">
      <c r="A633" s="345" t="s">
        <v>119</v>
      </c>
      <c r="B633" s="346" t="s">
        <v>1167</v>
      </c>
      <c r="C633" s="341" t="s">
        <v>187</v>
      </c>
      <c r="D633" s="341" t="s">
        <v>159</v>
      </c>
      <c r="E633" s="346" t="s">
        <v>120</v>
      </c>
      <c r="F633" s="2"/>
      <c r="G633" s="9">
        <f>G634</f>
        <v>272.29999999999995</v>
      </c>
      <c r="H633" s="129"/>
    </row>
    <row r="634" spans="1:10" s="128" customFormat="1" ht="23.25" customHeight="1" x14ac:dyDescent="0.25">
      <c r="A634" s="30" t="s">
        <v>212</v>
      </c>
      <c r="B634" s="346" t="s">
        <v>1167</v>
      </c>
      <c r="C634" s="341" t="s">
        <v>187</v>
      </c>
      <c r="D634" s="341" t="s">
        <v>159</v>
      </c>
      <c r="E634" s="346" t="s">
        <v>156</v>
      </c>
      <c r="F634" s="2"/>
      <c r="G634" s="9">
        <f>'Пр.4 ведом.22'!G365</f>
        <v>272.29999999999995</v>
      </c>
      <c r="H634" s="129"/>
    </row>
    <row r="635" spans="1:10" s="128" customFormat="1" ht="55.5" customHeight="1" x14ac:dyDescent="0.25">
      <c r="A635" s="29" t="s">
        <v>185</v>
      </c>
      <c r="B635" s="346" t="s">
        <v>1167</v>
      </c>
      <c r="C635" s="341" t="s">
        <v>187</v>
      </c>
      <c r="D635" s="341" t="s">
        <v>159</v>
      </c>
      <c r="E635" s="346" t="s">
        <v>156</v>
      </c>
      <c r="F635" s="2">
        <v>903</v>
      </c>
      <c r="G635" s="9">
        <f>G634</f>
        <v>272.29999999999995</v>
      </c>
      <c r="H635" s="129"/>
    </row>
    <row r="636" spans="1:10" s="128" customFormat="1" ht="17.45" customHeight="1" x14ac:dyDescent="0.25">
      <c r="A636" s="45" t="s">
        <v>202</v>
      </c>
      <c r="B636" s="346" t="s">
        <v>748</v>
      </c>
      <c r="C636" s="341" t="s">
        <v>203</v>
      </c>
      <c r="D636" s="45"/>
      <c r="E636" s="45"/>
      <c r="F636" s="2"/>
      <c r="G636" s="9">
        <f>G637</f>
        <v>2554.4</v>
      </c>
      <c r="H636" s="129"/>
    </row>
    <row r="637" spans="1:10" s="128" customFormat="1" ht="18" customHeight="1" x14ac:dyDescent="0.25">
      <c r="A637" s="45" t="s">
        <v>204</v>
      </c>
      <c r="B637" s="346" t="s">
        <v>748</v>
      </c>
      <c r="C637" s="341" t="s">
        <v>203</v>
      </c>
      <c r="D637" s="341" t="s">
        <v>116</v>
      </c>
      <c r="E637" s="45"/>
      <c r="F637" s="2"/>
      <c r="G637" s="9">
        <f>G638+G644</f>
        <v>2554.4</v>
      </c>
      <c r="H637" s="129"/>
    </row>
    <row r="638" spans="1:10" s="128" customFormat="1" ht="103.9" customHeight="1" x14ac:dyDescent="0.25">
      <c r="A638" s="22" t="s">
        <v>200</v>
      </c>
      <c r="B638" s="346" t="s">
        <v>898</v>
      </c>
      <c r="C638" s="341" t="s">
        <v>203</v>
      </c>
      <c r="D638" s="341" t="s">
        <v>116</v>
      </c>
      <c r="E638" s="341"/>
      <c r="F638" s="2"/>
      <c r="G638" s="9">
        <f>G639+G641</f>
        <v>2100.5</v>
      </c>
      <c r="H638" s="129"/>
    </row>
    <row r="639" spans="1:10" s="128" customFormat="1" ht="79.5" customHeight="1" x14ac:dyDescent="0.25">
      <c r="A639" s="345" t="s">
        <v>119</v>
      </c>
      <c r="B639" s="346" t="s">
        <v>898</v>
      </c>
      <c r="C639" s="341" t="s">
        <v>203</v>
      </c>
      <c r="D639" s="341" t="s">
        <v>116</v>
      </c>
      <c r="E639" s="341" t="s">
        <v>120</v>
      </c>
      <c r="F639" s="2"/>
      <c r="G639" s="9">
        <f>G640</f>
        <v>1204.3</v>
      </c>
      <c r="H639" s="129"/>
    </row>
    <row r="640" spans="1:10" s="128" customFormat="1" ht="19.149999999999999" customHeight="1" x14ac:dyDescent="0.25">
      <c r="A640" s="345" t="s">
        <v>155</v>
      </c>
      <c r="B640" s="346" t="s">
        <v>898</v>
      </c>
      <c r="C640" s="341" t="s">
        <v>203</v>
      </c>
      <c r="D640" s="341" t="s">
        <v>116</v>
      </c>
      <c r="E640" s="341" t="s">
        <v>156</v>
      </c>
      <c r="F640" s="2"/>
      <c r="G640" s="9">
        <f>'Пр.3 Рд,пр, ЦС,ВР 22'!F940</f>
        <v>1204.3</v>
      </c>
      <c r="H640" s="129"/>
    </row>
    <row r="641" spans="1:8" s="343" customFormat="1" ht="31.5" x14ac:dyDescent="0.25">
      <c r="A641" s="345" t="s">
        <v>191</v>
      </c>
      <c r="B641" s="346" t="s">
        <v>898</v>
      </c>
      <c r="C641" s="341" t="s">
        <v>203</v>
      </c>
      <c r="D641" s="341" t="s">
        <v>116</v>
      </c>
      <c r="E641" s="341" t="s">
        <v>192</v>
      </c>
      <c r="F641" s="2"/>
      <c r="G641" s="9">
        <f>G642</f>
        <v>896.19999999999993</v>
      </c>
      <c r="H641" s="344"/>
    </row>
    <row r="642" spans="1:8" s="343" customFormat="1" ht="19.149999999999999" customHeight="1" x14ac:dyDescent="0.25">
      <c r="A642" s="345" t="s">
        <v>193</v>
      </c>
      <c r="B642" s="346" t="s">
        <v>898</v>
      </c>
      <c r="C642" s="341" t="s">
        <v>203</v>
      </c>
      <c r="D642" s="341" t="s">
        <v>116</v>
      </c>
      <c r="E642" s="341" t="s">
        <v>194</v>
      </c>
      <c r="F642" s="2"/>
      <c r="G642" s="9">
        <f>'Пр.4 ведом.22'!G455</f>
        <v>896.19999999999993</v>
      </c>
      <c r="H642" s="344"/>
    </row>
    <row r="643" spans="1:8" s="128" customFormat="1" ht="44.1" customHeight="1" x14ac:dyDescent="0.25">
      <c r="A643" s="29" t="s">
        <v>185</v>
      </c>
      <c r="B643" s="346" t="s">
        <v>898</v>
      </c>
      <c r="C643" s="341" t="s">
        <v>203</v>
      </c>
      <c r="D643" s="341" t="s">
        <v>116</v>
      </c>
      <c r="E643" s="341" t="s">
        <v>156</v>
      </c>
      <c r="F643" s="2">
        <v>903</v>
      </c>
      <c r="G643" s="9">
        <f>G638</f>
        <v>2100.5</v>
      </c>
      <c r="H643" s="129"/>
    </row>
    <row r="644" spans="1:8" s="128" customFormat="1" ht="70.5" customHeight="1" x14ac:dyDescent="0.25">
      <c r="A644" s="345" t="s">
        <v>207</v>
      </c>
      <c r="B644" s="346" t="s">
        <v>809</v>
      </c>
      <c r="C644" s="346" t="s">
        <v>203</v>
      </c>
      <c r="D644" s="346" t="s">
        <v>116</v>
      </c>
      <c r="E644" s="346"/>
      <c r="F644" s="346"/>
      <c r="G644" s="9">
        <f>G645</f>
        <v>453.90000000000003</v>
      </c>
      <c r="H644" s="129"/>
    </row>
    <row r="645" spans="1:8" s="128" customFormat="1" ht="82.5" customHeight="1" x14ac:dyDescent="0.25">
      <c r="A645" s="345" t="s">
        <v>119</v>
      </c>
      <c r="B645" s="346" t="s">
        <v>809</v>
      </c>
      <c r="C645" s="346" t="s">
        <v>203</v>
      </c>
      <c r="D645" s="346" t="s">
        <v>116</v>
      </c>
      <c r="E645" s="346" t="s">
        <v>120</v>
      </c>
      <c r="F645" s="346"/>
      <c r="G645" s="9">
        <f>G646</f>
        <v>453.90000000000003</v>
      </c>
      <c r="H645" s="129"/>
    </row>
    <row r="646" spans="1:8" s="128" customFormat="1" ht="21.75" customHeight="1" x14ac:dyDescent="0.25">
      <c r="A646" s="345" t="s">
        <v>155</v>
      </c>
      <c r="B646" s="346" t="s">
        <v>809</v>
      </c>
      <c r="C646" s="346" t="s">
        <v>203</v>
      </c>
      <c r="D646" s="346" t="s">
        <v>116</v>
      </c>
      <c r="E646" s="346" t="s">
        <v>156</v>
      </c>
      <c r="F646" s="346"/>
      <c r="G646" s="9">
        <f>'Пр.4 ведом.22'!G458</f>
        <v>453.90000000000003</v>
      </c>
      <c r="H646" s="129"/>
    </row>
    <row r="647" spans="1:8" s="128" customFormat="1" ht="51" customHeight="1" x14ac:dyDescent="0.25">
      <c r="A647" s="29" t="s">
        <v>185</v>
      </c>
      <c r="B647" s="346" t="s">
        <v>809</v>
      </c>
      <c r="C647" s="346" t="s">
        <v>203</v>
      </c>
      <c r="D647" s="346" t="s">
        <v>116</v>
      </c>
      <c r="E647" s="346" t="s">
        <v>156</v>
      </c>
      <c r="F647" s="346" t="s">
        <v>305</v>
      </c>
      <c r="G647" s="9">
        <f>G646</f>
        <v>453.90000000000003</v>
      </c>
      <c r="H647" s="129"/>
    </row>
    <row r="648" spans="1:8" s="128" customFormat="1" ht="36" customHeight="1" x14ac:dyDescent="0.25">
      <c r="A648" s="298" t="s">
        <v>471</v>
      </c>
      <c r="B648" s="299" t="s">
        <v>751</v>
      </c>
      <c r="C648" s="341"/>
      <c r="D648" s="341"/>
      <c r="E648" s="341"/>
      <c r="F648" s="2"/>
      <c r="G648" s="35">
        <f>G649</f>
        <v>307.10000000000002</v>
      </c>
      <c r="H648" s="129"/>
    </row>
    <row r="649" spans="1:8" s="128" customFormat="1" ht="20.100000000000001" customHeight="1" x14ac:dyDescent="0.25">
      <c r="A649" s="45" t="s">
        <v>202</v>
      </c>
      <c r="B649" s="346" t="s">
        <v>751</v>
      </c>
      <c r="C649" s="341" t="s">
        <v>203</v>
      </c>
      <c r="D649" s="341"/>
      <c r="E649" s="341"/>
      <c r="F649" s="2"/>
      <c r="G649" s="9">
        <f>G650</f>
        <v>307.10000000000002</v>
      </c>
      <c r="H649" s="129"/>
    </row>
    <row r="650" spans="1:8" s="128" customFormat="1" ht="20.100000000000001" customHeight="1" x14ac:dyDescent="0.25">
      <c r="A650" s="45" t="s">
        <v>204</v>
      </c>
      <c r="B650" s="346" t="s">
        <v>751</v>
      </c>
      <c r="C650" s="341" t="s">
        <v>203</v>
      </c>
      <c r="D650" s="341" t="s">
        <v>116</v>
      </c>
      <c r="E650" s="341"/>
      <c r="F650" s="2"/>
      <c r="G650" s="9">
        <f>G651</f>
        <v>307.10000000000002</v>
      </c>
      <c r="H650" s="129"/>
    </row>
    <row r="651" spans="1:8" s="128" customFormat="1" ht="35.450000000000003" customHeight="1" x14ac:dyDescent="0.25">
      <c r="A651" s="345" t="s">
        <v>397</v>
      </c>
      <c r="B651" s="346" t="s">
        <v>752</v>
      </c>
      <c r="C651" s="341" t="s">
        <v>203</v>
      </c>
      <c r="D651" s="341" t="s">
        <v>116</v>
      </c>
      <c r="E651" s="341"/>
      <c r="F651" s="2"/>
      <c r="G651" s="9">
        <f>G652</f>
        <v>307.10000000000002</v>
      </c>
      <c r="H651" s="129"/>
    </row>
    <row r="652" spans="1:8" s="128" customFormat="1" ht="36.75" customHeight="1" x14ac:dyDescent="0.25">
      <c r="A652" s="345" t="s">
        <v>123</v>
      </c>
      <c r="B652" s="346" t="s">
        <v>752</v>
      </c>
      <c r="C652" s="341" t="s">
        <v>203</v>
      </c>
      <c r="D652" s="341" t="s">
        <v>116</v>
      </c>
      <c r="E652" s="341" t="s">
        <v>124</v>
      </c>
      <c r="F652" s="2"/>
      <c r="G652" s="9">
        <f>G653</f>
        <v>307.10000000000002</v>
      </c>
      <c r="H652" s="129"/>
    </row>
    <row r="653" spans="1:8" s="128" customFormat="1" ht="33" customHeight="1" x14ac:dyDescent="0.25">
      <c r="A653" s="345" t="s">
        <v>125</v>
      </c>
      <c r="B653" s="346" t="s">
        <v>752</v>
      </c>
      <c r="C653" s="341" t="s">
        <v>203</v>
      </c>
      <c r="D653" s="341" t="s">
        <v>116</v>
      </c>
      <c r="E653" s="341" t="s">
        <v>126</v>
      </c>
      <c r="F653" s="2"/>
      <c r="G653" s="9">
        <f>'Пр.4 ведом.22'!G462</f>
        <v>307.10000000000002</v>
      </c>
      <c r="H653" s="129"/>
    </row>
    <row r="654" spans="1:8" s="128" customFormat="1" ht="51" customHeight="1" x14ac:dyDescent="0.25">
      <c r="A654" s="29" t="s">
        <v>185</v>
      </c>
      <c r="B654" s="346" t="s">
        <v>752</v>
      </c>
      <c r="C654" s="341" t="s">
        <v>203</v>
      </c>
      <c r="D654" s="341" t="s">
        <v>116</v>
      </c>
      <c r="E654" s="341" t="s">
        <v>126</v>
      </c>
      <c r="F654" s="2">
        <v>903</v>
      </c>
      <c r="G654" s="9">
        <f>G653</f>
        <v>307.10000000000002</v>
      </c>
      <c r="H654" s="129"/>
    </row>
    <row r="655" spans="1:8" s="128" customFormat="1" ht="39.200000000000003" customHeight="1" x14ac:dyDescent="0.25">
      <c r="A655" s="298" t="s">
        <v>571</v>
      </c>
      <c r="B655" s="299" t="s">
        <v>753</v>
      </c>
      <c r="C655" s="6"/>
      <c r="D655" s="6"/>
      <c r="E655" s="6"/>
      <c r="F655" s="3"/>
      <c r="G655" s="35">
        <f>G656+G662</f>
        <v>60.5</v>
      </c>
      <c r="H655" s="129"/>
    </row>
    <row r="656" spans="1:8" s="128" customFormat="1" ht="20.100000000000001" customHeight="1" x14ac:dyDescent="0.25">
      <c r="A656" s="42" t="s">
        <v>202</v>
      </c>
      <c r="B656" s="346" t="s">
        <v>753</v>
      </c>
      <c r="C656" s="341" t="s">
        <v>203</v>
      </c>
      <c r="D656" s="341"/>
      <c r="E656" s="341"/>
      <c r="F656" s="46"/>
      <c r="G656" s="9">
        <f t="shared" ref="G656" si="45">G657</f>
        <v>3.5</v>
      </c>
      <c r="H656" s="129"/>
    </row>
    <row r="657" spans="1:8" s="128" customFormat="1" ht="20.100000000000001" customHeight="1" x14ac:dyDescent="0.25">
      <c r="A657" s="42" t="s">
        <v>204</v>
      </c>
      <c r="B657" s="346" t="s">
        <v>753</v>
      </c>
      <c r="C657" s="341" t="s">
        <v>203</v>
      </c>
      <c r="D657" s="341" t="s">
        <v>116</v>
      </c>
      <c r="E657" s="341"/>
      <c r="F657" s="46"/>
      <c r="G657" s="9">
        <f>G658</f>
        <v>3.5</v>
      </c>
      <c r="H657" s="129"/>
    </row>
    <row r="658" spans="1:8" s="128" customFormat="1" ht="31.5" x14ac:dyDescent="0.25">
      <c r="A658" s="345" t="s">
        <v>966</v>
      </c>
      <c r="B658" s="346" t="s">
        <v>754</v>
      </c>
      <c r="C658" s="341" t="s">
        <v>203</v>
      </c>
      <c r="D658" s="341" t="s">
        <v>116</v>
      </c>
      <c r="E658" s="341"/>
      <c r="F658" s="2"/>
      <c r="G658" s="9">
        <f>G659</f>
        <v>3.5</v>
      </c>
      <c r="H658" s="129"/>
    </row>
    <row r="659" spans="1:8" s="128" customFormat="1" ht="39.200000000000003" customHeight="1" x14ac:dyDescent="0.25">
      <c r="A659" s="345" t="s">
        <v>123</v>
      </c>
      <c r="B659" s="346" t="s">
        <v>754</v>
      </c>
      <c r="C659" s="341" t="s">
        <v>203</v>
      </c>
      <c r="D659" s="341" t="s">
        <v>116</v>
      </c>
      <c r="E659" s="341" t="s">
        <v>124</v>
      </c>
      <c r="F659" s="2"/>
      <c r="G659" s="9">
        <f>G660</f>
        <v>3.5</v>
      </c>
      <c r="H659" s="129"/>
    </row>
    <row r="660" spans="1:8" s="128" customFormat="1" ht="36.75" customHeight="1" x14ac:dyDescent="0.25">
      <c r="A660" s="345" t="s">
        <v>125</v>
      </c>
      <c r="B660" s="346" t="s">
        <v>754</v>
      </c>
      <c r="C660" s="341" t="s">
        <v>203</v>
      </c>
      <c r="D660" s="341" t="s">
        <v>116</v>
      </c>
      <c r="E660" s="341" t="s">
        <v>126</v>
      </c>
      <c r="F660" s="2"/>
      <c r="G660" s="9">
        <f>'Пр.4 ведом.22'!G466</f>
        <v>3.5</v>
      </c>
      <c r="H660" s="129"/>
    </row>
    <row r="661" spans="1:8" s="128" customFormat="1" ht="54.75" customHeight="1" x14ac:dyDescent="0.25">
      <c r="A661" s="29" t="s">
        <v>185</v>
      </c>
      <c r="B661" s="346" t="s">
        <v>754</v>
      </c>
      <c r="C661" s="341" t="s">
        <v>203</v>
      </c>
      <c r="D661" s="341" t="s">
        <v>116</v>
      </c>
      <c r="E661" s="341" t="s">
        <v>126</v>
      </c>
      <c r="F661" s="2">
        <v>903</v>
      </c>
      <c r="G661" s="9">
        <f>G660</f>
        <v>3.5</v>
      </c>
      <c r="H661" s="129"/>
    </row>
    <row r="662" spans="1:8" s="343" customFormat="1" ht="31.5" x14ac:dyDescent="0.25">
      <c r="A662" s="345" t="s">
        <v>1155</v>
      </c>
      <c r="B662" s="346" t="s">
        <v>1156</v>
      </c>
      <c r="C662" s="341" t="s">
        <v>203</v>
      </c>
      <c r="D662" s="341" t="s">
        <v>116</v>
      </c>
      <c r="E662" s="341"/>
      <c r="F662" s="2"/>
      <c r="G662" s="9">
        <f>G663</f>
        <v>57</v>
      </c>
      <c r="H662" s="344"/>
    </row>
    <row r="663" spans="1:8" s="343" customFormat="1" ht="31.5" x14ac:dyDescent="0.25">
      <c r="A663" s="345" t="s">
        <v>123</v>
      </c>
      <c r="B663" s="346" t="s">
        <v>1156</v>
      </c>
      <c r="C663" s="341" t="s">
        <v>203</v>
      </c>
      <c r="D663" s="341" t="s">
        <v>116</v>
      </c>
      <c r="E663" s="341" t="s">
        <v>124</v>
      </c>
      <c r="F663" s="2"/>
      <c r="G663" s="9">
        <f>G664</f>
        <v>57</v>
      </c>
      <c r="H663" s="344"/>
    </row>
    <row r="664" spans="1:8" s="343" customFormat="1" ht="31.5" x14ac:dyDescent="0.25">
      <c r="A664" s="345" t="s">
        <v>125</v>
      </c>
      <c r="B664" s="346" t="s">
        <v>1156</v>
      </c>
      <c r="C664" s="341" t="s">
        <v>203</v>
      </c>
      <c r="D664" s="341" t="s">
        <v>116</v>
      </c>
      <c r="E664" s="341" t="s">
        <v>126</v>
      </c>
      <c r="F664" s="2"/>
      <c r="G664" s="9">
        <f>'Пр.4 ведом.22'!G469</f>
        <v>57</v>
      </c>
      <c r="H664" s="344"/>
    </row>
    <row r="665" spans="1:8" s="343" customFormat="1" ht="47.25" x14ac:dyDescent="0.25">
      <c r="A665" s="29" t="s">
        <v>185</v>
      </c>
      <c r="B665" s="346" t="s">
        <v>1156</v>
      </c>
      <c r="C665" s="341" t="s">
        <v>203</v>
      </c>
      <c r="D665" s="341" t="s">
        <v>116</v>
      </c>
      <c r="E665" s="341" t="s">
        <v>126</v>
      </c>
      <c r="F665" s="2">
        <v>903</v>
      </c>
      <c r="G665" s="9">
        <f>G664</f>
        <v>57</v>
      </c>
      <c r="H665" s="344"/>
    </row>
    <row r="666" spans="1:8" s="293" customFormat="1" ht="31.5" hidden="1" x14ac:dyDescent="0.25">
      <c r="A666" s="24" t="s">
        <v>1049</v>
      </c>
      <c r="B666" s="299" t="s">
        <v>1051</v>
      </c>
      <c r="C666" s="341"/>
      <c r="D666" s="341"/>
      <c r="E666" s="341"/>
      <c r="F666" s="2"/>
      <c r="G666" s="35">
        <f>G667</f>
        <v>0</v>
      </c>
      <c r="H666" s="129"/>
    </row>
    <row r="667" spans="1:8" s="293" customFormat="1" ht="15.75" hidden="1" x14ac:dyDescent="0.25">
      <c r="A667" s="42" t="s">
        <v>202</v>
      </c>
      <c r="B667" s="346" t="s">
        <v>1051</v>
      </c>
      <c r="C667" s="341" t="s">
        <v>203</v>
      </c>
      <c r="D667" s="341"/>
      <c r="E667" s="341"/>
      <c r="F667" s="2"/>
      <c r="G667" s="9">
        <f>G668</f>
        <v>0</v>
      </c>
      <c r="H667" s="129"/>
    </row>
    <row r="668" spans="1:8" s="293" customFormat="1" ht="15.75" hidden="1" x14ac:dyDescent="0.25">
      <c r="A668" s="42" t="s">
        <v>204</v>
      </c>
      <c r="B668" s="346" t="s">
        <v>1051</v>
      </c>
      <c r="C668" s="341" t="s">
        <v>203</v>
      </c>
      <c r="D668" s="341" t="s">
        <v>116</v>
      </c>
      <c r="E668" s="341"/>
      <c r="F668" s="2"/>
      <c r="G668" s="9">
        <f>G669</f>
        <v>0</v>
      </c>
      <c r="H668" s="129"/>
    </row>
    <row r="669" spans="1:8" s="293" customFormat="1" ht="63" hidden="1" x14ac:dyDescent="0.25">
      <c r="A669" s="22" t="s">
        <v>1050</v>
      </c>
      <c r="B669" s="346" t="s">
        <v>1052</v>
      </c>
      <c r="C669" s="341" t="s">
        <v>203</v>
      </c>
      <c r="D669" s="341" t="s">
        <v>116</v>
      </c>
      <c r="E669" s="341"/>
      <c r="F669" s="2"/>
      <c r="G669" s="9">
        <f>G670</f>
        <v>0</v>
      </c>
      <c r="H669" s="129"/>
    </row>
    <row r="670" spans="1:8" s="293" customFormat="1" ht="31.5" hidden="1" x14ac:dyDescent="0.25">
      <c r="A670" s="345" t="s">
        <v>123</v>
      </c>
      <c r="B670" s="346" t="s">
        <v>1052</v>
      </c>
      <c r="C670" s="341" t="s">
        <v>203</v>
      </c>
      <c r="D670" s="341" t="s">
        <v>116</v>
      </c>
      <c r="E670" s="341" t="s">
        <v>124</v>
      </c>
      <c r="F670" s="2"/>
      <c r="G670" s="9">
        <f>G671</f>
        <v>0</v>
      </c>
      <c r="H670" s="129"/>
    </row>
    <row r="671" spans="1:8" s="293" customFormat="1" ht="31.5" hidden="1" x14ac:dyDescent="0.25">
      <c r="A671" s="345" t="s">
        <v>125</v>
      </c>
      <c r="B671" s="346" t="s">
        <v>1052</v>
      </c>
      <c r="C671" s="341" t="s">
        <v>203</v>
      </c>
      <c r="D671" s="341" t="s">
        <v>116</v>
      </c>
      <c r="E671" s="341" t="s">
        <v>126</v>
      </c>
      <c r="F671" s="2"/>
      <c r="G671" s="9">
        <f>'Пр.4 ведом.22'!G473</f>
        <v>0</v>
      </c>
      <c r="H671" s="129"/>
    </row>
    <row r="672" spans="1:8" s="293" customFormat="1" ht="47.25" hidden="1" x14ac:dyDescent="0.25">
      <c r="A672" s="29" t="s">
        <v>185</v>
      </c>
      <c r="B672" s="346" t="s">
        <v>1052</v>
      </c>
      <c r="C672" s="341" t="s">
        <v>203</v>
      </c>
      <c r="D672" s="341" t="s">
        <v>116</v>
      </c>
      <c r="E672" s="341" t="s">
        <v>126</v>
      </c>
      <c r="F672" s="2">
        <v>903</v>
      </c>
      <c r="G672" s="9">
        <f>G671</f>
        <v>0</v>
      </c>
      <c r="H672" s="129"/>
    </row>
    <row r="673" spans="1:8" s="343" customFormat="1" ht="31.5" x14ac:dyDescent="0.25">
      <c r="A673" s="298" t="s">
        <v>1332</v>
      </c>
      <c r="B673" s="299" t="s">
        <v>1333</v>
      </c>
      <c r="C673" s="6"/>
      <c r="D673" s="6"/>
      <c r="E673" s="6"/>
      <c r="F673" s="3"/>
      <c r="G673" s="35">
        <f>G674</f>
        <v>2538.3000000000002</v>
      </c>
      <c r="H673" s="344"/>
    </row>
    <row r="674" spans="1:8" s="343" customFormat="1" ht="15.75" x14ac:dyDescent="0.25">
      <c r="A674" s="42" t="s">
        <v>202</v>
      </c>
      <c r="B674" s="346" t="s">
        <v>1333</v>
      </c>
      <c r="C674" s="341" t="s">
        <v>203</v>
      </c>
      <c r="D674" s="341"/>
      <c r="E674" s="341"/>
      <c r="F674" s="2"/>
      <c r="G674" s="9">
        <f>G675</f>
        <v>2538.3000000000002</v>
      </c>
      <c r="H674" s="344"/>
    </row>
    <row r="675" spans="1:8" s="343" customFormat="1" ht="15.75" x14ac:dyDescent="0.25">
      <c r="A675" s="42" t="s">
        <v>204</v>
      </c>
      <c r="B675" s="346" t="s">
        <v>1333</v>
      </c>
      <c r="C675" s="341" t="s">
        <v>203</v>
      </c>
      <c r="D675" s="341" t="s">
        <v>116</v>
      </c>
      <c r="E675" s="341"/>
      <c r="F675" s="2"/>
      <c r="G675" s="9">
        <f>G676</f>
        <v>2538.3000000000002</v>
      </c>
      <c r="H675" s="344"/>
    </row>
    <row r="676" spans="1:8" s="343" customFormat="1" ht="47.25" x14ac:dyDescent="0.25">
      <c r="A676" s="345" t="s">
        <v>1334</v>
      </c>
      <c r="B676" s="346" t="s">
        <v>1335</v>
      </c>
      <c r="C676" s="341" t="s">
        <v>203</v>
      </c>
      <c r="D676" s="341" t="s">
        <v>116</v>
      </c>
      <c r="E676" s="341"/>
      <c r="F676" s="2"/>
      <c r="G676" s="9">
        <f>G677</f>
        <v>2538.3000000000002</v>
      </c>
      <c r="H676" s="344"/>
    </row>
    <row r="677" spans="1:8" s="343" customFormat="1" ht="31.5" x14ac:dyDescent="0.25">
      <c r="A677" s="345" t="s">
        <v>191</v>
      </c>
      <c r="B677" s="346" t="s">
        <v>1335</v>
      </c>
      <c r="C677" s="341" t="s">
        <v>203</v>
      </c>
      <c r="D677" s="341" t="s">
        <v>116</v>
      </c>
      <c r="E677" s="341" t="s">
        <v>192</v>
      </c>
      <c r="F677" s="2"/>
      <c r="G677" s="9">
        <f>G678</f>
        <v>2538.3000000000002</v>
      </c>
      <c r="H677" s="344"/>
    </row>
    <row r="678" spans="1:8" s="343" customFormat="1" ht="15.75" x14ac:dyDescent="0.25">
      <c r="A678" s="345" t="s">
        <v>193</v>
      </c>
      <c r="B678" s="346" t="s">
        <v>1335</v>
      </c>
      <c r="C678" s="341" t="s">
        <v>203</v>
      </c>
      <c r="D678" s="341" t="s">
        <v>116</v>
      </c>
      <c r="E678" s="341" t="s">
        <v>194</v>
      </c>
      <c r="F678" s="2"/>
      <c r="G678" s="9">
        <f>'Пр.4 ведом.22'!G477</f>
        <v>2538.3000000000002</v>
      </c>
      <c r="H678" s="344"/>
    </row>
    <row r="679" spans="1:8" s="343" customFormat="1" ht="47.25" x14ac:dyDescent="0.25">
      <c r="A679" s="29" t="s">
        <v>185</v>
      </c>
      <c r="B679" s="346" t="s">
        <v>1335</v>
      </c>
      <c r="C679" s="341" t="s">
        <v>203</v>
      </c>
      <c r="D679" s="341" t="s">
        <v>116</v>
      </c>
      <c r="E679" s="341" t="s">
        <v>194</v>
      </c>
      <c r="F679" s="2">
        <v>903</v>
      </c>
      <c r="G679" s="9">
        <f>G678</f>
        <v>2538.3000000000002</v>
      </c>
      <c r="H679" s="344"/>
    </row>
    <row r="680" spans="1:8" s="128" customFormat="1" ht="33.75" customHeight="1" x14ac:dyDescent="0.25">
      <c r="A680" s="339" t="s">
        <v>723</v>
      </c>
      <c r="B680" s="299" t="s">
        <v>749</v>
      </c>
      <c r="C680" s="299"/>
      <c r="D680" s="299"/>
      <c r="E680" s="341"/>
      <c r="F680" s="2"/>
      <c r="G680" s="35">
        <f>G681</f>
        <v>10178.300020000001</v>
      </c>
      <c r="H680" s="129"/>
    </row>
    <row r="681" spans="1:8" s="128" customFormat="1" ht="19.5" customHeight="1" x14ac:dyDescent="0.25">
      <c r="A681" s="42" t="s">
        <v>202</v>
      </c>
      <c r="B681" s="346" t="s">
        <v>749</v>
      </c>
      <c r="C681" s="346" t="s">
        <v>203</v>
      </c>
      <c r="D681" s="346"/>
      <c r="E681" s="341"/>
      <c r="F681" s="2"/>
      <c r="G681" s="9">
        <f>G682</f>
        <v>10178.300020000001</v>
      </c>
      <c r="H681" s="129"/>
    </row>
    <row r="682" spans="1:8" s="128" customFormat="1" ht="18" customHeight="1" x14ac:dyDescent="0.25">
      <c r="A682" s="42" t="s">
        <v>204</v>
      </c>
      <c r="B682" s="346" t="s">
        <v>749</v>
      </c>
      <c r="C682" s="346" t="s">
        <v>203</v>
      </c>
      <c r="D682" s="346" t="s">
        <v>116</v>
      </c>
      <c r="E682" s="341"/>
      <c r="F682" s="2"/>
      <c r="G682" s="9">
        <f>G683</f>
        <v>10178.300020000001</v>
      </c>
      <c r="H682" s="129"/>
    </row>
    <row r="683" spans="1:8" s="343" customFormat="1" ht="18" customHeight="1" x14ac:dyDescent="0.25">
      <c r="A683" s="519" t="s">
        <v>1152</v>
      </c>
      <c r="B683" s="346" t="s">
        <v>1153</v>
      </c>
      <c r="C683" s="346" t="s">
        <v>203</v>
      </c>
      <c r="D683" s="346" t="s">
        <v>116</v>
      </c>
      <c r="E683" s="341"/>
      <c r="F683" s="2"/>
      <c r="G683" s="9">
        <f>G684</f>
        <v>10178.300020000001</v>
      </c>
      <c r="H683" s="344"/>
    </row>
    <row r="684" spans="1:8" s="343" customFormat="1" ht="31.5" x14ac:dyDescent="0.25">
      <c r="A684" s="345" t="s">
        <v>191</v>
      </c>
      <c r="B684" s="346" t="s">
        <v>1153</v>
      </c>
      <c r="C684" s="346" t="s">
        <v>203</v>
      </c>
      <c r="D684" s="346" t="s">
        <v>116</v>
      </c>
      <c r="E684" s="341" t="s">
        <v>192</v>
      </c>
      <c r="F684" s="2"/>
      <c r="G684" s="9">
        <f>G685</f>
        <v>10178.300020000001</v>
      </c>
      <c r="H684" s="344"/>
    </row>
    <row r="685" spans="1:8" s="343" customFormat="1" ht="15.75" x14ac:dyDescent="0.25">
      <c r="A685" s="345" t="s">
        <v>193</v>
      </c>
      <c r="B685" s="346" t="s">
        <v>1153</v>
      </c>
      <c r="C685" s="346" t="s">
        <v>203</v>
      </c>
      <c r="D685" s="346" t="s">
        <v>116</v>
      </c>
      <c r="E685" s="341" t="s">
        <v>194</v>
      </c>
      <c r="F685" s="2"/>
      <c r="G685" s="9">
        <f>'Пр.4 ведом.22'!G484</f>
        <v>10178.300020000001</v>
      </c>
      <c r="H685" s="344"/>
    </row>
    <row r="686" spans="1:8" s="343" customFormat="1" ht="47.25" x14ac:dyDescent="0.25">
      <c r="A686" s="29" t="s">
        <v>185</v>
      </c>
      <c r="B686" s="346" t="s">
        <v>1153</v>
      </c>
      <c r="C686" s="346" t="s">
        <v>203</v>
      </c>
      <c r="D686" s="346" t="s">
        <v>116</v>
      </c>
      <c r="E686" s="341" t="s">
        <v>194</v>
      </c>
      <c r="F686" s="2">
        <v>903</v>
      </c>
      <c r="G686" s="9">
        <f>G685</f>
        <v>10178.300020000001</v>
      </c>
      <c r="H686" s="344"/>
    </row>
    <row r="687" spans="1:8" s="343" customFormat="1" ht="31.5" x14ac:dyDescent="0.25">
      <c r="A687" s="34" t="s">
        <v>1216</v>
      </c>
      <c r="B687" s="299" t="s">
        <v>1214</v>
      </c>
      <c r="C687" s="299"/>
      <c r="D687" s="299"/>
      <c r="E687" s="6"/>
      <c r="F687" s="3"/>
      <c r="G687" s="35">
        <f>G688</f>
        <v>113.4</v>
      </c>
      <c r="H687" s="344"/>
    </row>
    <row r="688" spans="1:8" s="128" customFormat="1" ht="18" customHeight="1" x14ac:dyDescent="0.25">
      <c r="A688" s="67" t="s">
        <v>725</v>
      </c>
      <c r="B688" s="346" t="s">
        <v>1215</v>
      </c>
      <c r="C688" s="346" t="s">
        <v>203</v>
      </c>
      <c r="D688" s="346" t="s">
        <v>116</v>
      </c>
      <c r="E688" s="341"/>
      <c r="F688" s="2"/>
      <c r="G688" s="9">
        <f>G689+G692</f>
        <v>113.4</v>
      </c>
      <c r="H688" s="129"/>
    </row>
    <row r="689" spans="1:8" s="128" customFormat="1" ht="35.450000000000003" hidden="1" customHeight="1" x14ac:dyDescent="0.25">
      <c r="A689" s="345" t="s">
        <v>123</v>
      </c>
      <c r="B689" s="346" t="s">
        <v>1215</v>
      </c>
      <c r="C689" s="346" t="s">
        <v>203</v>
      </c>
      <c r="D689" s="346" t="s">
        <v>116</v>
      </c>
      <c r="E689" s="341" t="s">
        <v>124</v>
      </c>
      <c r="F689" s="2"/>
      <c r="G689" s="9">
        <f>G690</f>
        <v>0</v>
      </c>
      <c r="H689" s="129"/>
    </row>
    <row r="690" spans="1:8" s="128" customFormat="1" ht="36" hidden="1" customHeight="1" x14ac:dyDescent="0.25">
      <c r="A690" s="345" t="s">
        <v>125</v>
      </c>
      <c r="B690" s="346" t="s">
        <v>1215</v>
      </c>
      <c r="C690" s="346" t="s">
        <v>203</v>
      </c>
      <c r="D690" s="346" t="s">
        <v>116</v>
      </c>
      <c r="E690" s="341" t="s">
        <v>126</v>
      </c>
      <c r="F690" s="2"/>
      <c r="G690" s="9">
        <f>'Пр.4 ведом.22'!G488</f>
        <v>0</v>
      </c>
      <c r="H690" s="129"/>
    </row>
    <row r="691" spans="1:8" s="128" customFormat="1" ht="50.25" hidden="1" customHeight="1" x14ac:dyDescent="0.25">
      <c r="A691" s="29" t="s">
        <v>185</v>
      </c>
      <c r="B691" s="346" t="s">
        <v>1215</v>
      </c>
      <c r="C691" s="346" t="s">
        <v>203</v>
      </c>
      <c r="D691" s="346" t="s">
        <v>116</v>
      </c>
      <c r="E691" s="341" t="s">
        <v>126</v>
      </c>
      <c r="F691" s="2">
        <v>903</v>
      </c>
      <c r="G691" s="9">
        <f>G690</f>
        <v>0</v>
      </c>
      <c r="H691" s="129"/>
    </row>
    <row r="692" spans="1:8" s="343" customFormat="1" ht="31.5" x14ac:dyDescent="0.25">
      <c r="A692" s="345" t="s">
        <v>191</v>
      </c>
      <c r="B692" s="346" t="s">
        <v>1215</v>
      </c>
      <c r="C692" s="346" t="s">
        <v>203</v>
      </c>
      <c r="D692" s="346" t="s">
        <v>116</v>
      </c>
      <c r="E692" s="341" t="s">
        <v>192</v>
      </c>
      <c r="F692" s="2"/>
      <c r="G692" s="9">
        <f>G693</f>
        <v>113.4</v>
      </c>
      <c r="H692" s="344"/>
    </row>
    <row r="693" spans="1:8" s="343" customFormat="1" ht="15.75" x14ac:dyDescent="0.25">
      <c r="A693" s="345" t="s">
        <v>193</v>
      </c>
      <c r="B693" s="346" t="s">
        <v>1215</v>
      </c>
      <c r="C693" s="346" t="s">
        <v>203</v>
      </c>
      <c r="D693" s="346" t="s">
        <v>116</v>
      </c>
      <c r="E693" s="341" t="s">
        <v>194</v>
      </c>
      <c r="F693" s="2"/>
      <c r="G693" s="9">
        <f>'Пр.4 ведом.22'!G490</f>
        <v>113.4</v>
      </c>
      <c r="H693" s="344"/>
    </row>
    <row r="694" spans="1:8" s="343" customFormat="1" ht="47.25" x14ac:dyDescent="0.25">
      <c r="A694" s="29" t="s">
        <v>185</v>
      </c>
      <c r="B694" s="346" t="s">
        <v>1215</v>
      </c>
      <c r="C694" s="346" t="s">
        <v>203</v>
      </c>
      <c r="D694" s="346" t="s">
        <v>116</v>
      </c>
      <c r="E694" s="341" t="s">
        <v>194</v>
      </c>
      <c r="F694" s="2">
        <v>903</v>
      </c>
      <c r="G694" s="9">
        <f>G693</f>
        <v>113.4</v>
      </c>
      <c r="H694" s="344"/>
    </row>
    <row r="695" spans="1:8" s="1" customFormat="1" ht="51" customHeight="1" x14ac:dyDescent="0.25">
      <c r="A695" s="340" t="s">
        <v>860</v>
      </c>
      <c r="B695" s="6" t="s">
        <v>206</v>
      </c>
      <c r="C695" s="44"/>
      <c r="D695" s="44"/>
      <c r="E695" s="44"/>
      <c r="F695" s="44"/>
      <c r="G695" s="35">
        <f>G696</f>
        <v>200</v>
      </c>
      <c r="H695" s="129"/>
    </row>
    <row r="696" spans="1:8" s="129" customFormat="1" ht="64.5" customHeight="1" x14ac:dyDescent="0.25">
      <c r="A696" s="24" t="s">
        <v>586</v>
      </c>
      <c r="B696" s="6" t="s">
        <v>502</v>
      </c>
      <c r="C696" s="6"/>
      <c r="D696" s="6"/>
      <c r="E696" s="44"/>
      <c r="F696" s="44"/>
      <c r="G696" s="35">
        <f>G697+G703+G709+G725</f>
        <v>200</v>
      </c>
    </row>
    <row r="697" spans="1:8" s="344" customFormat="1" ht="15.75" x14ac:dyDescent="0.25">
      <c r="A697" s="29" t="s">
        <v>115</v>
      </c>
      <c r="B697" s="346" t="s">
        <v>502</v>
      </c>
      <c r="C697" s="341" t="s">
        <v>116</v>
      </c>
      <c r="D697" s="341"/>
      <c r="E697" s="2"/>
      <c r="F697" s="2"/>
      <c r="G697" s="9">
        <f>G698</f>
        <v>12</v>
      </c>
    </row>
    <row r="698" spans="1:8" s="344" customFormat="1" ht="15.75" x14ac:dyDescent="0.25">
      <c r="A698" s="29" t="s">
        <v>131</v>
      </c>
      <c r="B698" s="346" t="s">
        <v>502</v>
      </c>
      <c r="C698" s="341" t="s">
        <v>116</v>
      </c>
      <c r="D698" s="341" t="s">
        <v>132</v>
      </c>
      <c r="E698" s="2"/>
      <c r="F698" s="2"/>
      <c r="G698" s="9">
        <f>G699</f>
        <v>12</v>
      </c>
    </row>
    <row r="699" spans="1:8" s="344" customFormat="1" ht="47.25" x14ac:dyDescent="0.25">
      <c r="A699" s="345" t="s">
        <v>632</v>
      </c>
      <c r="B699" s="346" t="s">
        <v>587</v>
      </c>
      <c r="C699" s="341" t="s">
        <v>116</v>
      </c>
      <c r="D699" s="341" t="s">
        <v>132</v>
      </c>
      <c r="E699" s="2"/>
      <c r="F699" s="2"/>
      <c r="G699" s="9">
        <f>G700</f>
        <v>12</v>
      </c>
    </row>
    <row r="700" spans="1:8" s="344" customFormat="1" ht="31.5" x14ac:dyDescent="0.25">
      <c r="A700" s="345" t="s">
        <v>153</v>
      </c>
      <c r="B700" s="346" t="s">
        <v>587</v>
      </c>
      <c r="C700" s="341" t="s">
        <v>116</v>
      </c>
      <c r="D700" s="341" t="s">
        <v>132</v>
      </c>
      <c r="E700" s="2">
        <v>200</v>
      </c>
      <c r="F700" s="2"/>
      <c r="G700" s="9">
        <f>G701</f>
        <v>12</v>
      </c>
    </row>
    <row r="701" spans="1:8" s="344" customFormat="1" ht="31.5" x14ac:dyDescent="0.25">
      <c r="A701" s="345" t="s">
        <v>125</v>
      </c>
      <c r="B701" s="346" t="s">
        <v>587</v>
      </c>
      <c r="C701" s="341" t="s">
        <v>116</v>
      </c>
      <c r="D701" s="341" t="s">
        <v>132</v>
      </c>
      <c r="E701" s="2">
        <v>240</v>
      </c>
      <c r="F701" s="2"/>
      <c r="G701" s="9">
        <f>'Пр.4 ведом.22'!G147</f>
        <v>12</v>
      </c>
    </row>
    <row r="702" spans="1:8" s="344" customFormat="1" ht="15.75" x14ac:dyDescent="0.25">
      <c r="A702" s="22" t="s">
        <v>137</v>
      </c>
      <c r="B702" s="346" t="s">
        <v>587</v>
      </c>
      <c r="C702" s="341" t="s">
        <v>116</v>
      </c>
      <c r="D702" s="341" t="s">
        <v>132</v>
      </c>
      <c r="E702" s="2">
        <v>240</v>
      </c>
      <c r="F702" s="404">
        <v>902</v>
      </c>
      <c r="G702" s="9">
        <f>G701</f>
        <v>12</v>
      </c>
    </row>
    <row r="703" spans="1:8" s="129" customFormat="1" ht="18.75" hidden="1" customHeight="1" x14ac:dyDescent="0.25">
      <c r="A703" s="22" t="s">
        <v>231</v>
      </c>
      <c r="B703" s="341" t="s">
        <v>502</v>
      </c>
      <c r="C703" s="341" t="s">
        <v>168</v>
      </c>
      <c r="D703" s="341"/>
      <c r="E703" s="44"/>
      <c r="F703" s="44"/>
      <c r="G703" s="9">
        <f>G704</f>
        <v>0</v>
      </c>
    </row>
    <row r="704" spans="1:8" s="129" customFormat="1" ht="37.5" hidden="1" customHeight="1" x14ac:dyDescent="0.25">
      <c r="A704" s="22" t="s">
        <v>281</v>
      </c>
      <c r="B704" s="341" t="s">
        <v>502</v>
      </c>
      <c r="C704" s="341" t="s">
        <v>168</v>
      </c>
      <c r="D704" s="341" t="s">
        <v>168</v>
      </c>
      <c r="E704" s="44"/>
      <c r="F704" s="44"/>
      <c r="G704" s="9">
        <f>G705</f>
        <v>0</v>
      </c>
    </row>
    <row r="705" spans="1:8" s="129" customFormat="1" ht="51.75" hidden="1" customHeight="1" x14ac:dyDescent="0.25">
      <c r="A705" s="22" t="s">
        <v>632</v>
      </c>
      <c r="B705" s="346" t="s">
        <v>587</v>
      </c>
      <c r="C705" s="341" t="s">
        <v>168</v>
      </c>
      <c r="D705" s="341" t="s">
        <v>168</v>
      </c>
      <c r="E705" s="44"/>
      <c r="F705" s="44"/>
      <c r="G705" s="9">
        <f>G706</f>
        <v>0</v>
      </c>
    </row>
    <row r="706" spans="1:8" s="129" customFormat="1" ht="35.450000000000003" hidden="1" customHeight="1" x14ac:dyDescent="0.25">
      <c r="A706" s="345" t="s">
        <v>123</v>
      </c>
      <c r="B706" s="346" t="s">
        <v>587</v>
      </c>
      <c r="C706" s="341" t="s">
        <v>168</v>
      </c>
      <c r="D706" s="341" t="s">
        <v>168</v>
      </c>
      <c r="E706" s="2">
        <v>200</v>
      </c>
      <c r="F706" s="44"/>
      <c r="G706" s="9">
        <f>G707</f>
        <v>0</v>
      </c>
    </row>
    <row r="707" spans="1:8" s="129" customFormat="1" ht="34.5" hidden="1" customHeight="1" x14ac:dyDescent="0.25">
      <c r="A707" s="345" t="s">
        <v>125</v>
      </c>
      <c r="B707" s="346" t="s">
        <v>587</v>
      </c>
      <c r="C707" s="341" t="s">
        <v>168</v>
      </c>
      <c r="D707" s="341" t="s">
        <v>168</v>
      </c>
      <c r="E707" s="2">
        <v>240</v>
      </c>
      <c r="F707" s="44"/>
      <c r="G707" s="9">
        <f>G708</f>
        <v>0</v>
      </c>
    </row>
    <row r="708" spans="1:8" s="129" customFormat="1" ht="37.35" hidden="1" customHeight="1" x14ac:dyDescent="0.25">
      <c r="A708" s="29" t="s">
        <v>302</v>
      </c>
      <c r="B708" s="346" t="s">
        <v>587</v>
      </c>
      <c r="C708" s="341" t="s">
        <v>168</v>
      </c>
      <c r="D708" s="341" t="s">
        <v>168</v>
      </c>
      <c r="E708" s="2">
        <v>240</v>
      </c>
      <c r="F708" s="2">
        <v>908</v>
      </c>
      <c r="G708" s="9">
        <f>'Пр.4 ведом.22'!G1320</f>
        <v>0</v>
      </c>
    </row>
    <row r="709" spans="1:8" s="1" customFormat="1" ht="15.75" x14ac:dyDescent="0.25">
      <c r="A709" s="345" t="s">
        <v>186</v>
      </c>
      <c r="B709" s="341" t="s">
        <v>502</v>
      </c>
      <c r="C709" s="341" t="s">
        <v>187</v>
      </c>
      <c r="D709" s="45"/>
      <c r="E709" s="45"/>
      <c r="F709" s="45"/>
      <c r="G709" s="9">
        <f>G710+G715+G720</f>
        <v>146</v>
      </c>
      <c r="H709" s="129"/>
    </row>
    <row r="710" spans="1:8" s="1" customFormat="1" ht="15.75" x14ac:dyDescent="0.25">
      <c r="A710" s="345" t="s">
        <v>236</v>
      </c>
      <c r="B710" s="341" t="s">
        <v>502</v>
      </c>
      <c r="C710" s="341" t="s">
        <v>187</v>
      </c>
      <c r="D710" s="341" t="s">
        <v>116</v>
      </c>
      <c r="E710" s="45"/>
      <c r="F710" s="45"/>
      <c r="G710" s="9">
        <f>G711</f>
        <v>80</v>
      </c>
      <c r="H710" s="129"/>
    </row>
    <row r="711" spans="1:8" s="1" customFormat="1" ht="47.25" x14ac:dyDescent="0.25">
      <c r="A711" s="22" t="s">
        <v>633</v>
      </c>
      <c r="B711" s="346" t="s">
        <v>503</v>
      </c>
      <c r="C711" s="341" t="s">
        <v>187</v>
      </c>
      <c r="D711" s="341" t="s">
        <v>116</v>
      </c>
      <c r="E711" s="44"/>
      <c r="F711" s="44"/>
      <c r="G711" s="9">
        <f>G712</f>
        <v>80</v>
      </c>
      <c r="H711" s="129"/>
    </row>
    <row r="712" spans="1:8" s="1" customFormat="1" ht="31.5" x14ac:dyDescent="0.25">
      <c r="A712" s="22" t="s">
        <v>191</v>
      </c>
      <c r="B712" s="346" t="s">
        <v>503</v>
      </c>
      <c r="C712" s="341" t="s">
        <v>187</v>
      </c>
      <c r="D712" s="341" t="s">
        <v>116</v>
      </c>
      <c r="E712" s="341" t="s">
        <v>192</v>
      </c>
      <c r="F712" s="44"/>
      <c r="G712" s="9">
        <f>G713</f>
        <v>80</v>
      </c>
      <c r="H712" s="129"/>
    </row>
    <row r="713" spans="1:8" s="1" customFormat="1" ht="15.75" x14ac:dyDescent="0.25">
      <c r="A713" s="22" t="s">
        <v>193</v>
      </c>
      <c r="B713" s="346" t="s">
        <v>503</v>
      </c>
      <c r="C713" s="341" t="s">
        <v>187</v>
      </c>
      <c r="D713" s="341" t="s">
        <v>116</v>
      </c>
      <c r="E713" s="341" t="s">
        <v>194</v>
      </c>
      <c r="F713" s="44"/>
      <c r="G713" s="9">
        <f>'Пр.4 ведом.22'!G747</f>
        <v>80</v>
      </c>
      <c r="H713" s="129"/>
    </row>
    <row r="714" spans="1:8" s="129" customFormat="1" ht="31.5" x14ac:dyDescent="0.25">
      <c r="A714" s="22" t="s">
        <v>235</v>
      </c>
      <c r="B714" s="346" t="s">
        <v>503</v>
      </c>
      <c r="C714" s="341" t="s">
        <v>187</v>
      </c>
      <c r="D714" s="341" t="s">
        <v>116</v>
      </c>
      <c r="E714" s="341" t="s">
        <v>194</v>
      </c>
      <c r="F714" s="2">
        <v>906</v>
      </c>
      <c r="G714" s="9">
        <f>G713</f>
        <v>80</v>
      </c>
    </row>
    <row r="715" spans="1:8" s="344" customFormat="1" ht="15.75" x14ac:dyDescent="0.25">
      <c r="A715" s="22" t="s">
        <v>239</v>
      </c>
      <c r="B715" s="346" t="s">
        <v>503</v>
      </c>
      <c r="C715" s="341" t="s">
        <v>187</v>
      </c>
      <c r="D715" s="341" t="s">
        <v>158</v>
      </c>
      <c r="E715" s="341"/>
      <c r="F715" s="2"/>
      <c r="G715" s="9">
        <f>G716</f>
        <v>60</v>
      </c>
    </row>
    <row r="716" spans="1:8" s="344" customFormat="1" ht="47.25" x14ac:dyDescent="0.25">
      <c r="A716" s="22" t="s">
        <v>633</v>
      </c>
      <c r="B716" s="346" t="s">
        <v>503</v>
      </c>
      <c r="C716" s="341" t="s">
        <v>187</v>
      </c>
      <c r="D716" s="341" t="s">
        <v>158</v>
      </c>
      <c r="E716" s="341"/>
      <c r="F716" s="2"/>
      <c r="G716" s="9">
        <f>G717</f>
        <v>60</v>
      </c>
    </row>
    <row r="717" spans="1:8" s="344" customFormat="1" ht="31.5" x14ac:dyDescent="0.25">
      <c r="A717" s="22" t="s">
        <v>191</v>
      </c>
      <c r="B717" s="346" t="s">
        <v>503</v>
      </c>
      <c r="C717" s="341" t="s">
        <v>187</v>
      </c>
      <c r="D717" s="341" t="s">
        <v>158</v>
      </c>
      <c r="E717" s="341" t="s">
        <v>192</v>
      </c>
      <c r="F717" s="2"/>
      <c r="G717" s="9">
        <f>G718</f>
        <v>60</v>
      </c>
    </row>
    <row r="718" spans="1:8" s="344" customFormat="1" ht="15.75" x14ac:dyDescent="0.25">
      <c r="A718" s="22" t="s">
        <v>193</v>
      </c>
      <c r="B718" s="346" t="s">
        <v>503</v>
      </c>
      <c r="C718" s="341" t="s">
        <v>187</v>
      </c>
      <c r="D718" s="341" t="s">
        <v>158</v>
      </c>
      <c r="E718" s="341" t="s">
        <v>194</v>
      </c>
      <c r="F718" s="2"/>
      <c r="G718" s="9">
        <f>'Пр.4 ведом.22'!G839</f>
        <v>60</v>
      </c>
    </row>
    <row r="719" spans="1:8" s="344" customFormat="1" ht="31.5" x14ac:dyDescent="0.25">
      <c r="A719" s="22" t="s">
        <v>235</v>
      </c>
      <c r="B719" s="346" t="s">
        <v>503</v>
      </c>
      <c r="C719" s="341" t="s">
        <v>187</v>
      </c>
      <c r="D719" s="341" t="s">
        <v>158</v>
      </c>
      <c r="E719" s="341" t="s">
        <v>194</v>
      </c>
      <c r="F719" s="2">
        <v>906</v>
      </c>
      <c r="G719" s="9">
        <f>G718</f>
        <v>60</v>
      </c>
    </row>
    <row r="720" spans="1:8" s="1" customFormat="1" ht="15.75" x14ac:dyDescent="0.25">
      <c r="A720" s="20" t="s">
        <v>188</v>
      </c>
      <c r="B720" s="341" t="s">
        <v>502</v>
      </c>
      <c r="C720" s="341" t="s">
        <v>187</v>
      </c>
      <c r="D720" s="341" t="s">
        <v>159</v>
      </c>
      <c r="E720" s="341"/>
      <c r="F720" s="45"/>
      <c r="G720" s="9">
        <f>G721</f>
        <v>6</v>
      </c>
      <c r="H720" s="129"/>
    </row>
    <row r="721" spans="1:8" s="1" customFormat="1" ht="47.25" x14ac:dyDescent="0.25">
      <c r="A721" s="22" t="s">
        <v>632</v>
      </c>
      <c r="B721" s="346" t="s">
        <v>587</v>
      </c>
      <c r="C721" s="341" t="s">
        <v>187</v>
      </c>
      <c r="D721" s="341" t="s">
        <v>159</v>
      </c>
      <c r="E721" s="341"/>
      <c r="F721" s="44"/>
      <c r="G721" s="9">
        <f>G722</f>
        <v>6</v>
      </c>
      <c r="H721" s="129"/>
    </row>
    <row r="722" spans="1:8" s="1" customFormat="1" ht="31.5" x14ac:dyDescent="0.25">
      <c r="A722" s="22" t="s">
        <v>191</v>
      </c>
      <c r="B722" s="346" t="s">
        <v>587</v>
      </c>
      <c r="C722" s="341" t="s">
        <v>187</v>
      </c>
      <c r="D722" s="341" t="s">
        <v>159</v>
      </c>
      <c r="E722" s="341" t="s">
        <v>124</v>
      </c>
      <c r="F722" s="44"/>
      <c r="G722" s="9">
        <f>G723</f>
        <v>6</v>
      </c>
      <c r="H722" s="129"/>
    </row>
    <row r="723" spans="1:8" s="1" customFormat="1" ht="15.75" x14ac:dyDescent="0.25">
      <c r="A723" s="22" t="s">
        <v>193</v>
      </c>
      <c r="B723" s="346" t="s">
        <v>587</v>
      </c>
      <c r="C723" s="341" t="s">
        <v>187</v>
      </c>
      <c r="D723" s="341" t="s">
        <v>159</v>
      </c>
      <c r="E723" s="341" t="s">
        <v>126</v>
      </c>
      <c r="F723" s="44"/>
      <c r="G723" s="9">
        <f>'Пр.4 ведом.22'!G370</f>
        <v>6</v>
      </c>
      <c r="H723" s="129"/>
    </row>
    <row r="724" spans="1:8" s="1" customFormat="1" ht="47.25" x14ac:dyDescent="0.25">
      <c r="A724" s="29" t="s">
        <v>185</v>
      </c>
      <c r="B724" s="346" t="s">
        <v>587</v>
      </c>
      <c r="C724" s="341" t="s">
        <v>187</v>
      </c>
      <c r="D724" s="341" t="s">
        <v>159</v>
      </c>
      <c r="E724" s="341" t="s">
        <v>126</v>
      </c>
      <c r="F724" s="2">
        <v>903</v>
      </c>
      <c r="G724" s="9">
        <f>G723</f>
        <v>6</v>
      </c>
      <c r="H724" s="129"/>
    </row>
    <row r="725" spans="1:8" s="129" customFormat="1" ht="15.75" x14ac:dyDescent="0.25">
      <c r="A725" s="22" t="s">
        <v>202</v>
      </c>
      <c r="B725" s="346" t="s">
        <v>502</v>
      </c>
      <c r="C725" s="341" t="s">
        <v>203</v>
      </c>
      <c r="D725" s="341"/>
      <c r="E725" s="341"/>
      <c r="F725" s="2"/>
      <c r="G725" s="9">
        <f>G726+G735</f>
        <v>42</v>
      </c>
    </row>
    <row r="726" spans="1:8" s="344" customFormat="1" ht="15.75" x14ac:dyDescent="0.25">
      <c r="A726" s="42" t="s">
        <v>204</v>
      </c>
      <c r="B726" s="346" t="s">
        <v>502</v>
      </c>
      <c r="C726" s="341" t="s">
        <v>203</v>
      </c>
      <c r="D726" s="341" t="s">
        <v>116</v>
      </c>
      <c r="E726" s="341"/>
      <c r="F726" s="2"/>
      <c r="G726" s="9">
        <f>G727+G731</f>
        <v>42</v>
      </c>
    </row>
    <row r="727" spans="1:8" s="344" customFormat="1" ht="47.25" x14ac:dyDescent="0.25">
      <c r="A727" s="22" t="s">
        <v>632</v>
      </c>
      <c r="B727" s="346" t="s">
        <v>587</v>
      </c>
      <c r="C727" s="341" t="s">
        <v>203</v>
      </c>
      <c r="D727" s="341" t="s">
        <v>116</v>
      </c>
      <c r="E727" s="341"/>
      <c r="F727" s="2"/>
      <c r="G727" s="9">
        <f>G728</f>
        <v>4</v>
      </c>
    </row>
    <row r="728" spans="1:8" s="344" customFormat="1" ht="31.5" x14ac:dyDescent="0.25">
      <c r="A728" s="345" t="s">
        <v>123</v>
      </c>
      <c r="B728" s="346" t="s">
        <v>587</v>
      </c>
      <c r="C728" s="341" t="s">
        <v>203</v>
      </c>
      <c r="D728" s="341" t="s">
        <v>116</v>
      </c>
      <c r="E728" s="341" t="s">
        <v>124</v>
      </c>
      <c r="F728" s="2"/>
      <c r="G728" s="9">
        <f>G729</f>
        <v>4</v>
      </c>
    </row>
    <row r="729" spans="1:8" s="344" customFormat="1" ht="31.5" x14ac:dyDescent="0.25">
      <c r="A729" s="345" t="s">
        <v>125</v>
      </c>
      <c r="B729" s="346" t="s">
        <v>587</v>
      </c>
      <c r="C729" s="341" t="s">
        <v>203</v>
      </c>
      <c r="D729" s="341" t="s">
        <v>116</v>
      </c>
      <c r="E729" s="341" t="s">
        <v>126</v>
      </c>
      <c r="F729" s="2"/>
      <c r="G729" s="9">
        <f>'Пр.4 ведом.22'!G495</f>
        <v>4</v>
      </c>
    </row>
    <row r="730" spans="1:8" s="344" customFormat="1" ht="47.25" x14ac:dyDescent="0.25">
      <c r="A730" s="29" t="s">
        <v>185</v>
      </c>
      <c r="B730" s="346" t="s">
        <v>587</v>
      </c>
      <c r="C730" s="341" t="s">
        <v>203</v>
      </c>
      <c r="D730" s="341" t="s">
        <v>116</v>
      </c>
      <c r="E730" s="341" t="s">
        <v>126</v>
      </c>
      <c r="F730" s="2">
        <v>903</v>
      </c>
      <c r="G730" s="9">
        <f>G729</f>
        <v>4</v>
      </c>
    </row>
    <row r="731" spans="1:8" s="344" customFormat="1" ht="47.25" x14ac:dyDescent="0.25">
      <c r="A731" s="345" t="s">
        <v>569</v>
      </c>
      <c r="B731" s="346" t="s">
        <v>503</v>
      </c>
      <c r="C731" s="341" t="s">
        <v>203</v>
      </c>
      <c r="D731" s="341" t="s">
        <v>116</v>
      </c>
      <c r="E731" s="341"/>
      <c r="F731" s="2"/>
      <c r="G731" s="9">
        <f>G732</f>
        <v>38</v>
      </c>
    </row>
    <row r="732" spans="1:8" s="344" customFormat="1" ht="31.5" x14ac:dyDescent="0.25">
      <c r="A732" s="345" t="s">
        <v>191</v>
      </c>
      <c r="B732" s="346" t="s">
        <v>503</v>
      </c>
      <c r="C732" s="341" t="s">
        <v>203</v>
      </c>
      <c r="D732" s="341" t="s">
        <v>116</v>
      </c>
      <c r="E732" s="341" t="s">
        <v>192</v>
      </c>
      <c r="F732" s="2"/>
      <c r="G732" s="9">
        <f>G733</f>
        <v>38</v>
      </c>
    </row>
    <row r="733" spans="1:8" s="344" customFormat="1" ht="15.75" x14ac:dyDescent="0.25">
      <c r="A733" s="345" t="s">
        <v>193</v>
      </c>
      <c r="B733" s="346" t="s">
        <v>503</v>
      </c>
      <c r="C733" s="341" t="s">
        <v>203</v>
      </c>
      <c r="D733" s="341" t="s">
        <v>116</v>
      </c>
      <c r="E733" s="341" t="s">
        <v>194</v>
      </c>
      <c r="F733" s="2"/>
      <c r="G733" s="9">
        <f>'Пр.4 ведом.22'!G498</f>
        <v>38</v>
      </c>
    </row>
    <row r="734" spans="1:8" s="344" customFormat="1" ht="47.25" x14ac:dyDescent="0.25">
      <c r="A734" s="29" t="s">
        <v>185</v>
      </c>
      <c r="B734" s="346" t="s">
        <v>503</v>
      </c>
      <c r="C734" s="341" t="s">
        <v>203</v>
      </c>
      <c r="D734" s="341" t="s">
        <v>116</v>
      </c>
      <c r="E734" s="341" t="s">
        <v>194</v>
      </c>
      <c r="F734" s="2">
        <v>903</v>
      </c>
      <c r="G734" s="9">
        <f>G733</f>
        <v>38</v>
      </c>
    </row>
    <row r="735" spans="1:8" s="129" customFormat="1" ht="15.75" hidden="1" x14ac:dyDescent="0.25">
      <c r="A735" s="345" t="s">
        <v>208</v>
      </c>
      <c r="B735" s="346" t="s">
        <v>502</v>
      </c>
      <c r="C735" s="341" t="s">
        <v>203</v>
      </c>
      <c r="D735" s="341" t="s">
        <v>139</v>
      </c>
      <c r="E735" s="341"/>
      <c r="F735" s="2"/>
      <c r="G735" s="9">
        <f>G736</f>
        <v>0</v>
      </c>
    </row>
    <row r="736" spans="1:8" s="129" customFormat="1" ht="47.25" hidden="1" x14ac:dyDescent="0.25">
      <c r="A736" s="22" t="s">
        <v>632</v>
      </c>
      <c r="B736" s="346" t="s">
        <v>587</v>
      </c>
      <c r="C736" s="341" t="s">
        <v>203</v>
      </c>
      <c r="D736" s="341" t="s">
        <v>139</v>
      </c>
      <c r="E736" s="341"/>
      <c r="F736" s="2"/>
      <c r="G736" s="9">
        <f>G737</f>
        <v>0</v>
      </c>
    </row>
    <row r="737" spans="1:8" s="129" customFormat="1" ht="31.5" hidden="1" x14ac:dyDescent="0.25">
      <c r="A737" s="345" t="s">
        <v>123</v>
      </c>
      <c r="B737" s="346" t="s">
        <v>587</v>
      </c>
      <c r="C737" s="341" t="s">
        <v>203</v>
      </c>
      <c r="D737" s="341" t="s">
        <v>139</v>
      </c>
      <c r="E737" s="341" t="s">
        <v>124</v>
      </c>
      <c r="F737" s="2"/>
      <c r="G737" s="9">
        <f>G738</f>
        <v>0</v>
      </c>
    </row>
    <row r="738" spans="1:8" s="129" customFormat="1" ht="31.5" hidden="1" x14ac:dyDescent="0.25">
      <c r="A738" s="345" t="s">
        <v>125</v>
      </c>
      <c r="B738" s="346" t="s">
        <v>587</v>
      </c>
      <c r="C738" s="341" t="s">
        <v>203</v>
      </c>
      <c r="D738" s="341" t="s">
        <v>139</v>
      </c>
      <c r="E738" s="341" t="s">
        <v>126</v>
      </c>
      <c r="F738" s="2"/>
      <c r="G738" s="9">
        <f>'Пр.4 ведом.22'!G551</f>
        <v>0</v>
      </c>
    </row>
    <row r="739" spans="1:8" s="129" customFormat="1" ht="47.25" hidden="1" x14ac:dyDescent="0.25">
      <c r="A739" s="29" t="s">
        <v>185</v>
      </c>
      <c r="B739" s="346" t="s">
        <v>587</v>
      </c>
      <c r="C739" s="341" t="s">
        <v>203</v>
      </c>
      <c r="D739" s="341" t="s">
        <v>139</v>
      </c>
      <c r="E739" s="341" t="s">
        <v>126</v>
      </c>
      <c r="F739" s="2">
        <v>903</v>
      </c>
      <c r="G739" s="252">
        <f>G736</f>
        <v>0</v>
      </c>
    </row>
    <row r="740" spans="1:8" s="1" customFormat="1" ht="15.75" hidden="1" customHeight="1" x14ac:dyDescent="0.25">
      <c r="A740" s="45" t="s">
        <v>250</v>
      </c>
      <c r="B740" s="341" t="s">
        <v>502</v>
      </c>
      <c r="C740" s="341" t="s">
        <v>251</v>
      </c>
      <c r="D740" s="45"/>
      <c r="E740" s="45"/>
      <c r="F740" s="45"/>
      <c r="G740" s="9">
        <f t="shared" ref="G740" si="46">G741</f>
        <v>0</v>
      </c>
      <c r="H740" s="129"/>
    </row>
    <row r="741" spans="1:8" s="1" customFormat="1" ht="15.75" hidden="1" customHeight="1" x14ac:dyDescent="0.25">
      <c r="A741" s="45" t="s">
        <v>252</v>
      </c>
      <c r="B741" s="341" t="s">
        <v>502</v>
      </c>
      <c r="C741" s="341" t="s">
        <v>251</v>
      </c>
      <c r="D741" s="341" t="s">
        <v>116</v>
      </c>
      <c r="E741" s="45"/>
      <c r="F741" s="45"/>
      <c r="G741" s="9">
        <f t="shared" ref="G741" si="47">G742</f>
        <v>0</v>
      </c>
      <c r="H741" s="129"/>
    </row>
    <row r="742" spans="1:8" s="1" customFormat="1" ht="47.25" hidden="1" customHeight="1" x14ac:dyDescent="0.25">
      <c r="A742" s="22" t="s">
        <v>633</v>
      </c>
      <c r="B742" s="341" t="s">
        <v>503</v>
      </c>
      <c r="C742" s="341" t="s">
        <v>251</v>
      </c>
      <c r="D742" s="341" t="s">
        <v>116</v>
      </c>
      <c r="E742" s="45"/>
      <c r="F742" s="45"/>
      <c r="G742" s="9">
        <f>G743</f>
        <v>0</v>
      </c>
      <c r="H742" s="129"/>
    </row>
    <row r="743" spans="1:8" s="1" customFormat="1" ht="31.7" hidden="1" customHeight="1" x14ac:dyDescent="0.25">
      <c r="A743" s="345" t="s">
        <v>191</v>
      </c>
      <c r="B743" s="341" t="s">
        <v>503</v>
      </c>
      <c r="C743" s="341" t="s">
        <v>251</v>
      </c>
      <c r="D743" s="341" t="s">
        <v>116</v>
      </c>
      <c r="E743" s="341" t="s">
        <v>192</v>
      </c>
      <c r="F743" s="45"/>
      <c r="G743" s="9">
        <f>G744</f>
        <v>0</v>
      </c>
      <c r="H743" s="129"/>
    </row>
    <row r="744" spans="1:8" s="1" customFormat="1" ht="15.75" hidden="1" customHeight="1" x14ac:dyDescent="0.25">
      <c r="A744" s="345" t="s">
        <v>193</v>
      </c>
      <c r="B744" s="341" t="s">
        <v>503</v>
      </c>
      <c r="C744" s="341" t="s">
        <v>251</v>
      </c>
      <c r="D744" s="341" t="s">
        <v>116</v>
      </c>
      <c r="E744" s="341" t="s">
        <v>194</v>
      </c>
      <c r="F744" s="45"/>
      <c r="G744" s="9"/>
      <c r="H744" s="129"/>
    </row>
    <row r="745" spans="1:8" s="1" customFormat="1" ht="31.7" hidden="1" customHeight="1" x14ac:dyDescent="0.25">
      <c r="A745" s="29" t="s">
        <v>248</v>
      </c>
      <c r="B745" s="341" t="s">
        <v>503</v>
      </c>
      <c r="C745" s="341" t="s">
        <v>251</v>
      </c>
      <c r="D745" s="341" t="s">
        <v>116</v>
      </c>
      <c r="E745" s="341" t="s">
        <v>194</v>
      </c>
      <c r="F745" s="2">
        <v>907</v>
      </c>
      <c r="G745" s="9">
        <f>G744</f>
        <v>0</v>
      </c>
      <c r="H745" s="129"/>
    </row>
    <row r="746" spans="1:8" ht="37.5" customHeight="1" x14ac:dyDescent="0.25">
      <c r="A746" s="340" t="s">
        <v>865</v>
      </c>
      <c r="B746" s="6" t="s">
        <v>273</v>
      </c>
      <c r="C746" s="2"/>
      <c r="D746" s="2"/>
      <c r="E746" s="2"/>
      <c r="F746" s="2"/>
      <c r="G746" s="35">
        <f>G747+G754+G794+G805+G812+G819+G826</f>
        <v>23168.870000000003</v>
      </c>
      <c r="H746" s="129">
        <v>4921.6000000000004</v>
      </c>
    </row>
    <row r="747" spans="1:8" s="128" customFormat="1" ht="47.25" hidden="1" x14ac:dyDescent="0.25">
      <c r="A747" s="298" t="s">
        <v>920</v>
      </c>
      <c r="B747" s="6" t="s">
        <v>798</v>
      </c>
      <c r="C747" s="6"/>
      <c r="D747" s="6"/>
      <c r="E747" s="3"/>
      <c r="F747" s="3"/>
      <c r="G747" s="35">
        <f>G748</f>
        <v>0</v>
      </c>
      <c r="H747" s="129"/>
    </row>
    <row r="748" spans="1:8" ht="15.75" hidden="1" x14ac:dyDescent="0.25">
      <c r="A748" s="45" t="s">
        <v>231</v>
      </c>
      <c r="B748" s="341" t="s">
        <v>798</v>
      </c>
      <c r="C748" s="341" t="s">
        <v>168</v>
      </c>
      <c r="D748" s="341"/>
      <c r="E748" s="2"/>
      <c r="F748" s="2"/>
      <c r="G748" s="9">
        <f>G749</f>
        <v>0</v>
      </c>
    </row>
    <row r="749" spans="1:8" ht="15.75" hidden="1" x14ac:dyDescent="0.25">
      <c r="A749" s="45" t="s">
        <v>272</v>
      </c>
      <c r="B749" s="341" t="s">
        <v>798</v>
      </c>
      <c r="C749" s="341" t="s">
        <v>168</v>
      </c>
      <c r="D749" s="341" t="s">
        <v>159</v>
      </c>
      <c r="E749" s="2"/>
      <c r="F749" s="2"/>
      <c r="G749" s="9">
        <f>G750</f>
        <v>0</v>
      </c>
    </row>
    <row r="750" spans="1:8" s="128" customFormat="1" ht="31.5" hidden="1" x14ac:dyDescent="0.25">
      <c r="A750" s="205" t="s">
        <v>921</v>
      </c>
      <c r="B750" s="346" t="s">
        <v>911</v>
      </c>
      <c r="C750" s="341" t="s">
        <v>168</v>
      </c>
      <c r="D750" s="341" t="s">
        <v>159</v>
      </c>
      <c r="E750" s="2"/>
      <c r="F750" s="2"/>
      <c r="G750" s="9">
        <f>G751</f>
        <v>0</v>
      </c>
      <c r="H750" s="129"/>
    </row>
    <row r="751" spans="1:8" s="128" customFormat="1" ht="31.5" hidden="1" x14ac:dyDescent="0.25">
      <c r="A751" s="345" t="s">
        <v>123</v>
      </c>
      <c r="B751" s="346" t="s">
        <v>911</v>
      </c>
      <c r="C751" s="341" t="s">
        <v>168</v>
      </c>
      <c r="D751" s="341" t="s">
        <v>159</v>
      </c>
      <c r="E751" s="2">
        <v>200</v>
      </c>
      <c r="F751" s="2"/>
      <c r="G751" s="9">
        <f>G752</f>
        <v>0</v>
      </c>
      <c r="H751" s="129"/>
    </row>
    <row r="752" spans="1:8" s="128" customFormat="1" ht="31.5" hidden="1" x14ac:dyDescent="0.25">
      <c r="A752" s="345" t="s">
        <v>125</v>
      </c>
      <c r="B752" s="346" t="s">
        <v>911</v>
      </c>
      <c r="C752" s="341" t="s">
        <v>168</v>
      </c>
      <c r="D752" s="341" t="s">
        <v>159</v>
      </c>
      <c r="E752" s="2">
        <v>240</v>
      </c>
      <c r="F752" s="2"/>
      <c r="G752" s="9">
        <f>'Пр.4 ведом.22'!G1206</f>
        <v>0</v>
      </c>
      <c r="H752" s="129"/>
    </row>
    <row r="753" spans="1:8" s="128" customFormat="1" ht="31.5" hidden="1" x14ac:dyDescent="0.25">
      <c r="A753" s="29" t="s">
        <v>302</v>
      </c>
      <c r="B753" s="346" t="s">
        <v>911</v>
      </c>
      <c r="C753" s="341" t="s">
        <v>168</v>
      </c>
      <c r="D753" s="341" t="s">
        <v>159</v>
      </c>
      <c r="E753" s="2">
        <v>240</v>
      </c>
      <c r="F753" s="2">
        <v>908</v>
      </c>
      <c r="G753" s="9">
        <f>G750</f>
        <v>0</v>
      </c>
      <c r="H753" s="129"/>
    </row>
    <row r="754" spans="1:8" s="128" customFormat="1" ht="31.5" x14ac:dyDescent="0.25">
      <c r="A754" s="298" t="s">
        <v>923</v>
      </c>
      <c r="B754" s="6" t="s">
        <v>799</v>
      </c>
      <c r="C754" s="341"/>
      <c r="D754" s="341"/>
      <c r="E754" s="2"/>
      <c r="F754" s="2"/>
      <c r="G754" s="35">
        <f>G755</f>
        <v>6112.9500000000007</v>
      </c>
      <c r="H754" s="129"/>
    </row>
    <row r="755" spans="1:8" s="128" customFormat="1" ht="15.75" x14ac:dyDescent="0.25">
      <c r="A755" s="45" t="s">
        <v>231</v>
      </c>
      <c r="B755" s="341" t="s">
        <v>799</v>
      </c>
      <c r="C755" s="341"/>
      <c r="D755" s="341"/>
      <c r="E755" s="2"/>
      <c r="F755" s="2"/>
      <c r="G755" s="9">
        <f>G756</f>
        <v>6112.9500000000007</v>
      </c>
      <c r="H755" s="129"/>
    </row>
    <row r="756" spans="1:8" s="128" customFormat="1" ht="15.75" x14ac:dyDescent="0.25">
      <c r="A756" s="45" t="s">
        <v>272</v>
      </c>
      <c r="B756" s="341" t="s">
        <v>799</v>
      </c>
      <c r="C756" s="341"/>
      <c r="D756" s="341"/>
      <c r="E756" s="2"/>
      <c r="F756" s="2"/>
      <c r="G756" s="9">
        <f>G757+G761+G771+G775+G779+G786+G790</f>
        <v>6112.9500000000007</v>
      </c>
      <c r="H756" s="129"/>
    </row>
    <row r="757" spans="1:8" ht="15.75" customHeight="1" x14ac:dyDescent="0.25">
      <c r="A757" s="345" t="s">
        <v>274</v>
      </c>
      <c r="B757" s="346" t="s">
        <v>919</v>
      </c>
      <c r="C757" s="341" t="s">
        <v>168</v>
      </c>
      <c r="D757" s="341" t="s">
        <v>159</v>
      </c>
      <c r="E757" s="2"/>
      <c r="F757" s="2"/>
      <c r="G757" s="9">
        <f t="shared" ref="G757:G758" si="48">G758</f>
        <v>3841.3300000000004</v>
      </c>
    </row>
    <row r="758" spans="1:8" ht="41.25" customHeight="1" x14ac:dyDescent="0.25">
      <c r="A758" s="345" t="s">
        <v>123</v>
      </c>
      <c r="B758" s="346" t="s">
        <v>919</v>
      </c>
      <c r="C758" s="341" t="s">
        <v>168</v>
      </c>
      <c r="D758" s="341" t="s">
        <v>159</v>
      </c>
      <c r="E758" s="2">
        <v>200</v>
      </c>
      <c r="F758" s="2"/>
      <c r="G758" s="9">
        <f t="shared" si="48"/>
        <v>3841.3300000000004</v>
      </c>
    </row>
    <row r="759" spans="1:8" ht="31.7" customHeight="1" x14ac:dyDescent="0.25">
      <c r="A759" s="345" t="s">
        <v>125</v>
      </c>
      <c r="B759" s="346" t="s">
        <v>919</v>
      </c>
      <c r="C759" s="341" t="s">
        <v>168</v>
      </c>
      <c r="D759" s="341" t="s">
        <v>159</v>
      </c>
      <c r="E759" s="2">
        <v>240</v>
      </c>
      <c r="F759" s="2"/>
      <c r="G759" s="9">
        <f>'Пр.4 ведом.22'!G1210</f>
        <v>3841.3300000000004</v>
      </c>
    </row>
    <row r="760" spans="1:8" s="128" customFormat="1" ht="31.7" customHeight="1" x14ac:dyDescent="0.25">
      <c r="A760" s="29" t="s">
        <v>302</v>
      </c>
      <c r="B760" s="346" t="s">
        <v>919</v>
      </c>
      <c r="C760" s="341" t="s">
        <v>168</v>
      </c>
      <c r="D760" s="341" t="s">
        <v>159</v>
      </c>
      <c r="E760" s="2">
        <v>240</v>
      </c>
      <c r="F760" s="2">
        <v>908</v>
      </c>
      <c r="G760" s="9">
        <f>G759</f>
        <v>3841.3300000000004</v>
      </c>
      <c r="H760" s="129"/>
    </row>
    <row r="761" spans="1:8" ht="17.45" customHeight="1" x14ac:dyDescent="0.25">
      <c r="A761" s="345" t="s">
        <v>275</v>
      </c>
      <c r="B761" s="346" t="s">
        <v>910</v>
      </c>
      <c r="C761" s="341" t="s">
        <v>168</v>
      </c>
      <c r="D761" s="341" t="s">
        <v>159</v>
      </c>
      <c r="E761" s="2"/>
      <c r="F761" s="2"/>
      <c r="G761" s="9">
        <f>G762+G765+G768</f>
        <v>1775.1200000000001</v>
      </c>
    </row>
    <row r="762" spans="1:8" ht="31.5" x14ac:dyDescent="0.25">
      <c r="A762" s="345" t="s">
        <v>123</v>
      </c>
      <c r="B762" s="346" t="s">
        <v>910</v>
      </c>
      <c r="C762" s="341" t="s">
        <v>168</v>
      </c>
      <c r="D762" s="341" t="s">
        <v>159</v>
      </c>
      <c r="E762" s="2">
        <v>200</v>
      </c>
      <c r="F762" s="2"/>
      <c r="G762" s="9">
        <f t="shared" ref="G762" si="49">G763</f>
        <v>1775.1200000000001</v>
      </c>
    </row>
    <row r="763" spans="1:8" ht="31.5" x14ac:dyDescent="0.25">
      <c r="A763" s="345" t="s">
        <v>125</v>
      </c>
      <c r="B763" s="346" t="s">
        <v>910</v>
      </c>
      <c r="C763" s="341" t="s">
        <v>168</v>
      </c>
      <c r="D763" s="341" t="s">
        <v>159</v>
      </c>
      <c r="E763" s="2">
        <v>240</v>
      </c>
      <c r="F763" s="2"/>
      <c r="G763" s="9">
        <f>'Пр.4 ведом.22'!G1213</f>
        <v>1775.1200000000001</v>
      </c>
    </row>
    <row r="764" spans="1:8" s="128" customFormat="1" ht="37.5" customHeight="1" x14ac:dyDescent="0.25">
      <c r="A764" s="29" t="s">
        <v>302</v>
      </c>
      <c r="B764" s="346" t="s">
        <v>910</v>
      </c>
      <c r="C764" s="341" t="s">
        <v>168</v>
      </c>
      <c r="D764" s="341" t="s">
        <v>159</v>
      </c>
      <c r="E764" s="2">
        <v>240</v>
      </c>
      <c r="F764" s="2">
        <v>908</v>
      </c>
      <c r="G764" s="9">
        <f>G763</f>
        <v>1775.1200000000001</v>
      </c>
      <c r="H764" s="129"/>
    </row>
    <row r="765" spans="1:8" ht="15.75" hidden="1" x14ac:dyDescent="0.25">
      <c r="A765" s="345" t="s">
        <v>127</v>
      </c>
      <c r="B765" s="346" t="s">
        <v>910</v>
      </c>
      <c r="C765" s="341" t="s">
        <v>168</v>
      </c>
      <c r="D765" s="341" t="s">
        <v>159</v>
      </c>
      <c r="E765" s="2">
        <v>800</v>
      </c>
      <c r="F765" s="2"/>
      <c r="G765" s="9">
        <f>G766</f>
        <v>0</v>
      </c>
    </row>
    <row r="766" spans="1:8" s="128" customFormat="1" ht="47.25" hidden="1" x14ac:dyDescent="0.25">
      <c r="A766" s="345" t="s">
        <v>411</v>
      </c>
      <c r="B766" s="346" t="s">
        <v>910</v>
      </c>
      <c r="C766" s="341" t="s">
        <v>168</v>
      </c>
      <c r="D766" s="341" t="s">
        <v>159</v>
      </c>
      <c r="E766" s="2">
        <v>830</v>
      </c>
      <c r="F766" s="2"/>
      <c r="G766" s="9">
        <f>'Пр.3 Рд,пр, ЦС,ВР 22'!F466</f>
        <v>0</v>
      </c>
      <c r="H766" s="129"/>
    </row>
    <row r="767" spans="1:8" s="128" customFormat="1" ht="31.5" hidden="1" x14ac:dyDescent="0.25">
      <c r="A767" s="29" t="s">
        <v>302</v>
      </c>
      <c r="B767" s="346" t="s">
        <v>910</v>
      </c>
      <c r="C767" s="341" t="s">
        <v>168</v>
      </c>
      <c r="D767" s="341" t="s">
        <v>159</v>
      </c>
      <c r="E767" s="2">
        <v>830</v>
      </c>
      <c r="F767" s="2">
        <v>908</v>
      </c>
      <c r="G767" s="9">
        <f>G766</f>
        <v>0</v>
      </c>
      <c r="H767" s="129"/>
    </row>
    <row r="768" spans="1:8" s="128" customFormat="1" ht="15.75" hidden="1" x14ac:dyDescent="0.25">
      <c r="A768" s="345" t="s">
        <v>127</v>
      </c>
      <c r="B768" s="346" t="s">
        <v>910</v>
      </c>
      <c r="C768" s="341" t="s">
        <v>168</v>
      </c>
      <c r="D768" s="341" t="s">
        <v>159</v>
      </c>
      <c r="E768" s="2">
        <v>800</v>
      </c>
      <c r="F768" s="2"/>
      <c r="G768" s="9">
        <f>G769</f>
        <v>0</v>
      </c>
      <c r="H768" s="129"/>
    </row>
    <row r="769" spans="1:8" ht="15.75" hidden="1" x14ac:dyDescent="0.25">
      <c r="A769" s="345" t="s">
        <v>629</v>
      </c>
      <c r="B769" s="346" t="s">
        <v>910</v>
      </c>
      <c r="C769" s="341" t="s">
        <v>168</v>
      </c>
      <c r="D769" s="341" t="s">
        <v>159</v>
      </c>
      <c r="E769" s="2">
        <v>850</v>
      </c>
      <c r="F769" s="2"/>
      <c r="G769" s="9">
        <f>'Пр.3 Рд,пр, ЦС,ВР 22'!F467</f>
        <v>0</v>
      </c>
    </row>
    <row r="770" spans="1:8" s="128" customFormat="1" ht="31.5" hidden="1" x14ac:dyDescent="0.25">
      <c r="A770" s="29" t="s">
        <v>302</v>
      </c>
      <c r="B770" s="346" t="s">
        <v>910</v>
      </c>
      <c r="C770" s="341" t="s">
        <v>168</v>
      </c>
      <c r="D770" s="341" t="s">
        <v>159</v>
      </c>
      <c r="E770" s="2">
        <v>850</v>
      </c>
      <c r="F770" s="2">
        <v>908</v>
      </c>
      <c r="G770" s="9">
        <f>G769</f>
        <v>0</v>
      </c>
      <c r="H770" s="129"/>
    </row>
    <row r="771" spans="1:8" ht="15.75" hidden="1" x14ac:dyDescent="0.25">
      <c r="A771" s="345" t="s">
        <v>276</v>
      </c>
      <c r="B771" s="346" t="s">
        <v>814</v>
      </c>
      <c r="C771" s="341" t="s">
        <v>168</v>
      </c>
      <c r="D771" s="341" t="s">
        <v>159</v>
      </c>
      <c r="E771" s="2"/>
      <c r="F771" s="2"/>
      <c r="G771" s="9">
        <f t="shared" ref="G771" si="50">G772</f>
        <v>0</v>
      </c>
    </row>
    <row r="772" spans="1:8" ht="31.5" hidden="1" x14ac:dyDescent="0.25">
      <c r="A772" s="345" t="s">
        <v>123</v>
      </c>
      <c r="B772" s="346" t="s">
        <v>814</v>
      </c>
      <c r="C772" s="341" t="s">
        <v>168</v>
      </c>
      <c r="D772" s="341" t="s">
        <v>159</v>
      </c>
      <c r="E772" s="2">
        <v>200</v>
      </c>
      <c r="F772" s="2"/>
      <c r="G772" s="9">
        <f>G773</f>
        <v>0</v>
      </c>
    </row>
    <row r="773" spans="1:8" ht="31.5" hidden="1" x14ac:dyDescent="0.25">
      <c r="A773" s="345" t="s">
        <v>125</v>
      </c>
      <c r="B773" s="346" t="s">
        <v>814</v>
      </c>
      <c r="C773" s="341" t="s">
        <v>168</v>
      </c>
      <c r="D773" s="341" t="s">
        <v>159</v>
      </c>
      <c r="E773" s="2">
        <v>240</v>
      </c>
      <c r="F773" s="2"/>
      <c r="G773" s="9">
        <f>'Пр.4 ведом.22'!G1219</f>
        <v>0</v>
      </c>
    </row>
    <row r="774" spans="1:8" ht="37.5" hidden="1" customHeight="1" x14ac:dyDescent="0.25">
      <c r="A774" s="29" t="s">
        <v>302</v>
      </c>
      <c r="B774" s="346" t="s">
        <v>814</v>
      </c>
      <c r="C774" s="341" t="s">
        <v>168</v>
      </c>
      <c r="D774" s="341" t="s">
        <v>159</v>
      </c>
      <c r="E774" s="2">
        <v>240</v>
      </c>
      <c r="F774" s="2">
        <v>908</v>
      </c>
      <c r="G774" s="9">
        <f>G773</f>
        <v>0</v>
      </c>
    </row>
    <row r="775" spans="1:8" ht="15.75" x14ac:dyDescent="0.25">
      <c r="A775" s="345" t="s">
        <v>277</v>
      </c>
      <c r="B775" s="346" t="s">
        <v>800</v>
      </c>
      <c r="C775" s="341" t="s">
        <v>168</v>
      </c>
      <c r="D775" s="341" t="s">
        <v>159</v>
      </c>
      <c r="E775" s="2"/>
      <c r="F775" s="2"/>
      <c r="G775" s="9">
        <f t="shared" ref="G775:G776" si="51">G776</f>
        <v>7.9</v>
      </c>
    </row>
    <row r="776" spans="1:8" ht="31.5" x14ac:dyDescent="0.25">
      <c r="A776" s="345" t="s">
        <v>123</v>
      </c>
      <c r="B776" s="346" t="s">
        <v>800</v>
      </c>
      <c r="C776" s="341" t="s">
        <v>168</v>
      </c>
      <c r="D776" s="341" t="s">
        <v>159</v>
      </c>
      <c r="E776" s="2">
        <v>200</v>
      </c>
      <c r="F776" s="2"/>
      <c r="G776" s="9">
        <f t="shared" si="51"/>
        <v>7.9</v>
      </c>
    </row>
    <row r="777" spans="1:8" ht="31.5" x14ac:dyDescent="0.25">
      <c r="A777" s="345" t="s">
        <v>125</v>
      </c>
      <c r="B777" s="346" t="s">
        <v>800</v>
      </c>
      <c r="C777" s="341" t="s">
        <v>168</v>
      </c>
      <c r="D777" s="341" t="s">
        <v>159</v>
      </c>
      <c r="E777" s="2">
        <v>240</v>
      </c>
      <c r="F777" s="2"/>
      <c r="G777" s="9">
        <f>'Пр.4 ведом.22'!G1222</f>
        <v>7.9</v>
      </c>
    </row>
    <row r="778" spans="1:8" s="128" customFormat="1" ht="39.200000000000003" customHeight="1" x14ac:dyDescent="0.25">
      <c r="A778" s="29" t="s">
        <v>302</v>
      </c>
      <c r="B778" s="346" t="s">
        <v>800</v>
      </c>
      <c r="C778" s="341" t="s">
        <v>168</v>
      </c>
      <c r="D778" s="341" t="s">
        <v>159</v>
      </c>
      <c r="E778" s="2">
        <v>240</v>
      </c>
      <c r="F778" s="2">
        <v>908</v>
      </c>
      <c r="G778" s="9">
        <f>G777</f>
        <v>7.9</v>
      </c>
      <c r="H778" s="129"/>
    </row>
    <row r="779" spans="1:8" ht="31.5" hidden="1" x14ac:dyDescent="0.25">
      <c r="A779" s="204" t="s">
        <v>922</v>
      </c>
      <c r="B779" s="346" t="s">
        <v>801</v>
      </c>
      <c r="C779" s="341" t="s">
        <v>168</v>
      </c>
      <c r="D779" s="341" t="s">
        <v>159</v>
      </c>
      <c r="E779" s="2"/>
      <c r="F779" s="2"/>
      <c r="G779" s="9">
        <f>G780+G783</f>
        <v>3.397282455352979E-14</v>
      </c>
    </row>
    <row r="780" spans="1:8" ht="31.5" hidden="1" x14ac:dyDescent="0.25">
      <c r="A780" s="345" t="s">
        <v>123</v>
      </c>
      <c r="B780" s="346" t="s">
        <v>801</v>
      </c>
      <c r="C780" s="341" t="s">
        <v>168</v>
      </c>
      <c r="D780" s="341" t="s">
        <v>159</v>
      </c>
      <c r="E780" s="2">
        <v>200</v>
      </c>
      <c r="F780" s="2"/>
      <c r="G780" s="9">
        <f t="shared" ref="G780" si="52">G781</f>
        <v>3.397282455352979E-14</v>
      </c>
    </row>
    <row r="781" spans="1:8" ht="31.5" hidden="1" x14ac:dyDescent="0.25">
      <c r="A781" s="345" t="s">
        <v>125</v>
      </c>
      <c r="B781" s="346" t="s">
        <v>801</v>
      </c>
      <c r="C781" s="341" t="s">
        <v>168</v>
      </c>
      <c r="D781" s="341" t="s">
        <v>159</v>
      </c>
      <c r="E781" s="2">
        <v>240</v>
      </c>
      <c r="F781" s="2"/>
      <c r="G781" s="9">
        <f>'Пр.4 ведом.22'!G1225</f>
        <v>3.397282455352979E-14</v>
      </c>
    </row>
    <row r="782" spans="1:8" s="128" customFormat="1" ht="42" hidden="1" customHeight="1" x14ac:dyDescent="0.25">
      <c r="A782" s="29" t="s">
        <v>302</v>
      </c>
      <c r="B782" s="346" t="s">
        <v>801</v>
      </c>
      <c r="C782" s="341" t="s">
        <v>168</v>
      </c>
      <c r="D782" s="341" t="s">
        <v>159</v>
      </c>
      <c r="E782" s="2">
        <v>240</v>
      </c>
      <c r="F782" s="2">
        <v>908</v>
      </c>
      <c r="G782" s="9">
        <f>G781</f>
        <v>3.397282455352979E-14</v>
      </c>
      <c r="H782" s="129"/>
    </row>
    <row r="783" spans="1:8" s="128" customFormat="1" ht="15.75" hidden="1" x14ac:dyDescent="0.25">
      <c r="A783" s="20" t="s">
        <v>127</v>
      </c>
      <c r="B783" s="346" t="s">
        <v>801</v>
      </c>
      <c r="C783" s="341" t="s">
        <v>168</v>
      </c>
      <c r="D783" s="341" t="s">
        <v>159</v>
      </c>
      <c r="E783" s="2">
        <v>800</v>
      </c>
      <c r="F783" s="2"/>
      <c r="G783" s="9">
        <f>G784</f>
        <v>0</v>
      </c>
      <c r="H783" s="129"/>
    </row>
    <row r="784" spans="1:8" s="128" customFormat="1" ht="15.75" hidden="1" x14ac:dyDescent="0.25">
      <c r="A784" s="345" t="s">
        <v>338</v>
      </c>
      <c r="B784" s="346" t="s">
        <v>801</v>
      </c>
      <c r="C784" s="341" t="s">
        <v>168</v>
      </c>
      <c r="D784" s="341" t="s">
        <v>159</v>
      </c>
      <c r="E784" s="2">
        <v>850</v>
      </c>
      <c r="F784" s="2"/>
      <c r="G784" s="9">
        <f>'Пр.4 ведом.22'!G1227</f>
        <v>0</v>
      </c>
      <c r="H784" s="129"/>
    </row>
    <row r="785" spans="1:8" s="128" customFormat="1" ht="31.5" hidden="1" x14ac:dyDescent="0.25">
      <c r="A785" s="29" t="s">
        <v>302</v>
      </c>
      <c r="B785" s="346" t="s">
        <v>801</v>
      </c>
      <c r="C785" s="341" t="s">
        <v>168</v>
      </c>
      <c r="D785" s="341" t="s">
        <v>159</v>
      </c>
      <c r="E785" s="2">
        <v>850</v>
      </c>
      <c r="F785" s="2">
        <v>908</v>
      </c>
      <c r="G785" s="9">
        <f>G784</f>
        <v>0</v>
      </c>
      <c r="H785" s="129"/>
    </row>
    <row r="786" spans="1:8" ht="15.75" hidden="1" customHeight="1" x14ac:dyDescent="0.25">
      <c r="A786" s="29" t="s">
        <v>278</v>
      </c>
      <c r="B786" s="346" t="s">
        <v>802</v>
      </c>
      <c r="C786" s="341" t="s">
        <v>168</v>
      </c>
      <c r="D786" s="341" t="s">
        <v>159</v>
      </c>
      <c r="E786" s="2"/>
      <c r="F786" s="2"/>
      <c r="G786" s="9">
        <f t="shared" ref="G786:G787" si="53">G787</f>
        <v>0</v>
      </c>
    </row>
    <row r="787" spans="1:8" ht="31.7" hidden="1" customHeight="1" x14ac:dyDescent="0.25">
      <c r="A787" s="345" t="s">
        <v>123</v>
      </c>
      <c r="B787" s="346" t="s">
        <v>802</v>
      </c>
      <c r="C787" s="341" t="s">
        <v>168</v>
      </c>
      <c r="D787" s="341" t="s">
        <v>159</v>
      </c>
      <c r="E787" s="2">
        <v>200</v>
      </c>
      <c r="F787" s="2"/>
      <c r="G787" s="9">
        <f t="shared" si="53"/>
        <v>0</v>
      </c>
    </row>
    <row r="788" spans="1:8" ht="31.7" hidden="1" customHeight="1" x14ac:dyDescent="0.25">
      <c r="A788" s="345" t="s">
        <v>125</v>
      </c>
      <c r="B788" s="346" t="s">
        <v>802</v>
      </c>
      <c r="C788" s="341" t="s">
        <v>168</v>
      </c>
      <c r="D788" s="341" t="s">
        <v>159</v>
      </c>
      <c r="E788" s="2">
        <v>240</v>
      </c>
      <c r="F788" s="2"/>
      <c r="G788" s="9">
        <f>'Пр.3 Рд,пр, ЦС,ВР 22'!F481</f>
        <v>0</v>
      </c>
    </row>
    <row r="789" spans="1:8" ht="31.5" hidden="1" x14ac:dyDescent="0.25">
      <c r="A789" s="29" t="s">
        <v>302</v>
      </c>
      <c r="B789" s="346" t="s">
        <v>802</v>
      </c>
      <c r="C789" s="341" t="s">
        <v>168</v>
      </c>
      <c r="D789" s="341" t="s">
        <v>159</v>
      </c>
      <c r="E789" s="2">
        <v>850</v>
      </c>
      <c r="F789" s="2">
        <v>908</v>
      </c>
      <c r="G789" s="9">
        <f>G788</f>
        <v>0</v>
      </c>
    </row>
    <row r="790" spans="1:8" s="128" customFormat="1" ht="31.5" x14ac:dyDescent="0.25">
      <c r="A790" s="148" t="s">
        <v>640</v>
      </c>
      <c r="B790" s="346" t="s">
        <v>803</v>
      </c>
      <c r="C790" s="341" t="s">
        <v>168</v>
      </c>
      <c r="D790" s="341" t="s">
        <v>159</v>
      </c>
      <c r="E790" s="2"/>
      <c r="F790" s="2"/>
      <c r="G790" s="9">
        <f>G791</f>
        <v>488.6</v>
      </c>
      <c r="H790" s="129"/>
    </row>
    <row r="791" spans="1:8" s="128" customFormat="1" ht="31.5" x14ac:dyDescent="0.25">
      <c r="A791" s="345" t="s">
        <v>123</v>
      </c>
      <c r="B791" s="346" t="s">
        <v>803</v>
      </c>
      <c r="C791" s="341" t="s">
        <v>168</v>
      </c>
      <c r="D791" s="341" t="s">
        <v>159</v>
      </c>
      <c r="E791" s="2">
        <v>200</v>
      </c>
      <c r="F791" s="2"/>
      <c r="G791" s="9">
        <f>G792</f>
        <v>488.6</v>
      </c>
      <c r="H791" s="129"/>
    </row>
    <row r="792" spans="1:8" s="128" customFormat="1" ht="31.5" x14ac:dyDescent="0.25">
      <c r="A792" s="345" t="s">
        <v>125</v>
      </c>
      <c r="B792" s="346" t="s">
        <v>803</v>
      </c>
      <c r="C792" s="341" t="s">
        <v>168</v>
      </c>
      <c r="D792" s="341" t="s">
        <v>159</v>
      </c>
      <c r="E792" s="2">
        <v>240</v>
      </c>
      <c r="F792" s="2"/>
      <c r="G792" s="9">
        <f>'Пр.4 ведом.22'!G1233</f>
        <v>488.6</v>
      </c>
      <c r="H792" s="129"/>
    </row>
    <row r="793" spans="1:8" s="128" customFormat="1" ht="36.75" customHeight="1" x14ac:dyDescent="0.25">
      <c r="A793" s="29" t="s">
        <v>302</v>
      </c>
      <c r="B793" s="346" t="s">
        <v>803</v>
      </c>
      <c r="C793" s="341" t="s">
        <v>168</v>
      </c>
      <c r="D793" s="341" t="s">
        <v>159</v>
      </c>
      <c r="E793" s="2">
        <v>240</v>
      </c>
      <c r="F793" s="2">
        <v>908</v>
      </c>
      <c r="G793" s="9">
        <f>G792</f>
        <v>488.6</v>
      </c>
      <c r="H793" s="129"/>
    </row>
    <row r="794" spans="1:8" s="128" customFormat="1" ht="31.5" x14ac:dyDescent="0.25">
      <c r="A794" s="298" t="s">
        <v>462</v>
      </c>
      <c r="B794" s="299" t="s">
        <v>813</v>
      </c>
      <c r="C794" s="6"/>
      <c r="D794" s="6"/>
      <c r="E794" s="3"/>
      <c r="F794" s="3"/>
      <c r="G794" s="35">
        <f>G795</f>
        <v>2258.7000000000003</v>
      </c>
      <c r="H794" s="129"/>
    </row>
    <row r="795" spans="1:8" s="128" customFormat="1" ht="15.75" x14ac:dyDescent="0.25">
      <c r="A795" s="45" t="s">
        <v>231</v>
      </c>
      <c r="B795" s="346" t="s">
        <v>813</v>
      </c>
      <c r="C795" s="341" t="s">
        <v>168</v>
      </c>
      <c r="D795" s="341"/>
      <c r="E795" s="2"/>
      <c r="F795" s="2"/>
      <c r="G795" s="9">
        <f t="shared" ref="G795" si="54">G796</f>
        <v>2258.7000000000003</v>
      </c>
      <c r="H795" s="129"/>
    </row>
    <row r="796" spans="1:8" s="128" customFormat="1" ht="15.75" x14ac:dyDescent="0.25">
      <c r="A796" s="45" t="s">
        <v>272</v>
      </c>
      <c r="B796" s="346" t="s">
        <v>813</v>
      </c>
      <c r="C796" s="341" t="s">
        <v>168</v>
      </c>
      <c r="D796" s="341" t="s">
        <v>159</v>
      </c>
      <c r="E796" s="2"/>
      <c r="F796" s="2"/>
      <c r="G796" s="9">
        <f>G797+G801</f>
        <v>2258.7000000000003</v>
      </c>
      <c r="H796" s="129"/>
    </row>
    <row r="797" spans="1:8" s="128" customFormat="1" ht="31.5" hidden="1" x14ac:dyDescent="0.25">
      <c r="A797" s="345" t="s">
        <v>332</v>
      </c>
      <c r="B797" s="346" t="s">
        <v>835</v>
      </c>
      <c r="C797" s="341" t="s">
        <v>168</v>
      </c>
      <c r="D797" s="341" t="s">
        <v>159</v>
      </c>
      <c r="E797" s="2"/>
      <c r="F797" s="2"/>
      <c r="G797" s="9">
        <f>G798</f>
        <v>0</v>
      </c>
      <c r="H797" s="129"/>
    </row>
    <row r="798" spans="1:8" s="128" customFormat="1" ht="31.5" hidden="1" x14ac:dyDescent="0.25">
      <c r="A798" s="345" t="s">
        <v>123</v>
      </c>
      <c r="B798" s="346" t="s">
        <v>835</v>
      </c>
      <c r="C798" s="341" t="s">
        <v>168</v>
      </c>
      <c r="D798" s="341" t="s">
        <v>159</v>
      </c>
      <c r="E798" s="346" t="s">
        <v>124</v>
      </c>
      <c r="F798" s="2"/>
      <c r="G798" s="9">
        <f>G799</f>
        <v>0</v>
      </c>
      <c r="H798" s="129"/>
    </row>
    <row r="799" spans="1:8" s="128" customFormat="1" ht="31.5" hidden="1" x14ac:dyDescent="0.25">
      <c r="A799" s="345" t="s">
        <v>125</v>
      </c>
      <c r="B799" s="346" t="s">
        <v>835</v>
      </c>
      <c r="C799" s="341" t="s">
        <v>168</v>
      </c>
      <c r="D799" s="341" t="s">
        <v>159</v>
      </c>
      <c r="E799" s="346" t="s">
        <v>126</v>
      </c>
      <c r="F799" s="2"/>
      <c r="G799" s="9">
        <f>'Пр.3 Рд,пр, ЦС,ВР 22'!F488</f>
        <v>0</v>
      </c>
      <c r="H799" s="129"/>
    </row>
    <row r="800" spans="1:8" s="128" customFormat="1" ht="31.5" hidden="1" x14ac:dyDescent="0.25">
      <c r="A800" s="29" t="s">
        <v>302</v>
      </c>
      <c r="B800" s="346" t="s">
        <v>835</v>
      </c>
      <c r="C800" s="341" t="s">
        <v>168</v>
      </c>
      <c r="D800" s="341" t="s">
        <v>159</v>
      </c>
      <c r="E800" s="346" t="s">
        <v>126</v>
      </c>
      <c r="F800" s="2">
        <v>908</v>
      </c>
      <c r="G800" s="9">
        <f>G799</f>
        <v>0</v>
      </c>
      <c r="H800" s="129"/>
    </row>
    <row r="801" spans="1:8" s="128" customFormat="1" ht="63" x14ac:dyDescent="0.25">
      <c r="A801" s="345" t="s">
        <v>625</v>
      </c>
      <c r="B801" s="346" t="s">
        <v>812</v>
      </c>
      <c r="C801" s="341" t="s">
        <v>168</v>
      </c>
      <c r="D801" s="341" t="s">
        <v>159</v>
      </c>
      <c r="E801" s="346"/>
      <c r="F801" s="2"/>
      <c r="G801" s="9">
        <f>G802</f>
        <v>2258.7000000000003</v>
      </c>
      <c r="H801" s="129"/>
    </row>
    <row r="802" spans="1:8" s="128" customFormat="1" ht="31.5" x14ac:dyDescent="0.25">
      <c r="A802" s="345" t="s">
        <v>123</v>
      </c>
      <c r="B802" s="346" t="s">
        <v>812</v>
      </c>
      <c r="C802" s="341" t="s">
        <v>168</v>
      </c>
      <c r="D802" s="341" t="s">
        <v>159</v>
      </c>
      <c r="E802" s="346" t="s">
        <v>124</v>
      </c>
      <c r="F802" s="2"/>
      <c r="G802" s="9">
        <f>G803</f>
        <v>2258.7000000000003</v>
      </c>
      <c r="H802" s="129"/>
    </row>
    <row r="803" spans="1:8" s="128" customFormat="1" ht="31.5" x14ac:dyDescent="0.25">
      <c r="A803" s="345" t="s">
        <v>125</v>
      </c>
      <c r="B803" s="346" t="s">
        <v>812</v>
      </c>
      <c r="C803" s="341" t="s">
        <v>168</v>
      </c>
      <c r="D803" s="341" t="s">
        <v>159</v>
      </c>
      <c r="E803" s="346" t="s">
        <v>126</v>
      </c>
      <c r="F803" s="2"/>
      <c r="G803" s="9">
        <f>'Пр.3 Рд,пр, ЦС,ВР 22'!F491</f>
        <v>2258.7000000000003</v>
      </c>
      <c r="H803" s="129"/>
    </row>
    <row r="804" spans="1:8" s="128" customFormat="1" ht="38.25" customHeight="1" x14ac:dyDescent="0.25">
      <c r="A804" s="29" t="s">
        <v>302</v>
      </c>
      <c r="B804" s="346" t="s">
        <v>812</v>
      </c>
      <c r="C804" s="341" t="s">
        <v>168</v>
      </c>
      <c r="D804" s="341" t="s">
        <v>159</v>
      </c>
      <c r="E804" s="346" t="s">
        <v>126</v>
      </c>
      <c r="F804" s="2">
        <v>908</v>
      </c>
      <c r="G804" s="9">
        <f>G803</f>
        <v>2258.7000000000003</v>
      </c>
      <c r="H804" s="129"/>
    </row>
    <row r="805" spans="1:8" s="293" customFormat="1" ht="31.5" hidden="1" x14ac:dyDescent="0.25">
      <c r="A805" s="24" t="s">
        <v>1054</v>
      </c>
      <c r="B805" s="299" t="s">
        <v>1055</v>
      </c>
      <c r="C805" s="6"/>
      <c r="D805" s="6"/>
      <c r="E805" s="299"/>
      <c r="F805" s="3"/>
      <c r="G805" s="35">
        <f>G806</f>
        <v>0</v>
      </c>
      <c r="H805" s="129"/>
    </row>
    <row r="806" spans="1:8" s="293" customFormat="1" ht="15.75" hidden="1" x14ac:dyDescent="0.25">
      <c r="A806" s="345" t="s">
        <v>1341</v>
      </c>
      <c r="B806" s="346" t="s">
        <v>1055</v>
      </c>
      <c r="C806" s="341" t="s">
        <v>118</v>
      </c>
      <c r="D806" s="341"/>
      <c r="E806" s="346"/>
      <c r="F806" s="2"/>
      <c r="G806" s="9">
        <f>G807</f>
        <v>0</v>
      </c>
      <c r="H806" s="129"/>
    </row>
    <row r="807" spans="1:8" s="293" customFormat="1" ht="15.75" hidden="1" x14ac:dyDescent="0.25">
      <c r="A807" s="345" t="s">
        <v>1342</v>
      </c>
      <c r="B807" s="346" t="s">
        <v>1055</v>
      </c>
      <c r="C807" s="341" t="s">
        <v>118</v>
      </c>
      <c r="D807" s="341" t="s">
        <v>168</v>
      </c>
      <c r="E807" s="346"/>
      <c r="F807" s="2"/>
      <c r="G807" s="9">
        <f>G808</f>
        <v>0</v>
      </c>
      <c r="H807" s="129"/>
    </row>
    <row r="808" spans="1:8" s="293" customFormat="1" ht="31.5" hidden="1" x14ac:dyDescent="0.25">
      <c r="A808" s="22" t="s">
        <v>1315</v>
      </c>
      <c r="B808" s="346" t="s">
        <v>1056</v>
      </c>
      <c r="C808" s="341" t="s">
        <v>118</v>
      </c>
      <c r="D808" s="341" t="s">
        <v>168</v>
      </c>
      <c r="E808" s="346"/>
      <c r="F808" s="2"/>
      <c r="G808" s="9">
        <f>G809</f>
        <v>0</v>
      </c>
      <c r="H808" s="129"/>
    </row>
    <row r="809" spans="1:8" s="293" customFormat="1" ht="31.5" hidden="1" x14ac:dyDescent="0.25">
      <c r="A809" s="345" t="s">
        <v>123</v>
      </c>
      <c r="B809" s="346" t="s">
        <v>1056</v>
      </c>
      <c r="C809" s="341" t="s">
        <v>118</v>
      </c>
      <c r="D809" s="341" t="s">
        <v>168</v>
      </c>
      <c r="E809" s="346" t="s">
        <v>124</v>
      </c>
      <c r="F809" s="2"/>
      <c r="G809" s="9">
        <f>G810</f>
        <v>0</v>
      </c>
      <c r="H809" s="129"/>
    </row>
    <row r="810" spans="1:8" s="293" customFormat="1" ht="31.5" hidden="1" x14ac:dyDescent="0.25">
      <c r="A810" s="345" t="s">
        <v>125</v>
      </c>
      <c r="B810" s="346" t="s">
        <v>1056</v>
      </c>
      <c r="C810" s="341" t="s">
        <v>118</v>
      </c>
      <c r="D810" s="341" t="s">
        <v>168</v>
      </c>
      <c r="E810" s="346" t="s">
        <v>126</v>
      </c>
      <c r="F810" s="2"/>
      <c r="G810" s="9">
        <v>0</v>
      </c>
      <c r="H810" s="129"/>
    </row>
    <row r="811" spans="1:8" s="293" customFormat="1" ht="31.5" hidden="1" x14ac:dyDescent="0.25">
      <c r="A811" s="29" t="s">
        <v>302</v>
      </c>
      <c r="B811" s="346" t="s">
        <v>1056</v>
      </c>
      <c r="C811" s="341" t="s">
        <v>118</v>
      </c>
      <c r="D811" s="341" t="s">
        <v>168</v>
      </c>
      <c r="E811" s="346" t="s">
        <v>126</v>
      </c>
      <c r="F811" s="2">
        <v>908</v>
      </c>
      <c r="G811" s="9">
        <f>G810</f>
        <v>0</v>
      </c>
      <c r="H811" s="129"/>
    </row>
    <row r="812" spans="1:8" s="397" customFormat="1" ht="37.5" customHeight="1" x14ac:dyDescent="0.25">
      <c r="A812" s="24" t="s">
        <v>1080</v>
      </c>
      <c r="B812" s="299" t="s">
        <v>1079</v>
      </c>
      <c r="C812" s="6"/>
      <c r="D812" s="6"/>
      <c r="E812" s="299"/>
      <c r="F812" s="3"/>
      <c r="G812" s="35">
        <f>G813</f>
        <v>4881.0199999999995</v>
      </c>
    </row>
    <row r="813" spans="1:8" s="397" customFormat="1" ht="15.75" x14ac:dyDescent="0.25">
      <c r="A813" s="45" t="s">
        <v>231</v>
      </c>
      <c r="B813" s="346" t="s">
        <v>1079</v>
      </c>
      <c r="C813" s="341" t="s">
        <v>168</v>
      </c>
      <c r="D813" s="341"/>
      <c r="E813" s="346"/>
      <c r="F813" s="2"/>
      <c r="G813" s="9">
        <f>G814</f>
        <v>4881.0199999999995</v>
      </c>
    </row>
    <row r="814" spans="1:8" s="397" customFormat="1" ht="15.75" x14ac:dyDescent="0.25">
      <c r="A814" s="45" t="s">
        <v>272</v>
      </c>
      <c r="B814" s="346" t="s">
        <v>1079</v>
      </c>
      <c r="C814" s="341" t="s">
        <v>168</v>
      </c>
      <c r="D814" s="341" t="s">
        <v>159</v>
      </c>
      <c r="E814" s="346"/>
      <c r="F814" s="2"/>
      <c r="G814" s="9">
        <f>G815</f>
        <v>4881.0199999999995</v>
      </c>
    </row>
    <row r="815" spans="1:8" s="397" customFormat="1" ht="15.75" x14ac:dyDescent="0.25">
      <c r="A815" s="22" t="s">
        <v>1146</v>
      </c>
      <c r="B815" s="346" t="s">
        <v>1088</v>
      </c>
      <c r="C815" s="341" t="s">
        <v>168</v>
      </c>
      <c r="D815" s="341" t="s">
        <v>159</v>
      </c>
      <c r="E815" s="346"/>
      <c r="F815" s="2"/>
      <c r="G815" s="9">
        <f>G816</f>
        <v>4881.0199999999995</v>
      </c>
    </row>
    <row r="816" spans="1:8" s="397" customFormat="1" ht="31.5" x14ac:dyDescent="0.25">
      <c r="A816" s="345" t="s">
        <v>123</v>
      </c>
      <c r="B816" s="346" t="s">
        <v>1088</v>
      </c>
      <c r="C816" s="341" t="s">
        <v>168</v>
      </c>
      <c r="D816" s="341" t="s">
        <v>159</v>
      </c>
      <c r="E816" s="346" t="s">
        <v>124</v>
      </c>
      <c r="F816" s="2"/>
      <c r="G816" s="9">
        <f>G817</f>
        <v>4881.0199999999995</v>
      </c>
    </row>
    <row r="817" spans="1:7" s="397" customFormat="1" ht="31.5" x14ac:dyDescent="0.25">
      <c r="A817" s="345" t="s">
        <v>125</v>
      </c>
      <c r="B817" s="346" t="s">
        <v>1088</v>
      </c>
      <c r="C817" s="341" t="s">
        <v>168</v>
      </c>
      <c r="D817" s="341" t="s">
        <v>159</v>
      </c>
      <c r="E817" s="346" t="s">
        <v>126</v>
      </c>
      <c r="F817" s="2"/>
      <c r="G817" s="9">
        <f>'Пр.4 ведом.22'!G1248</f>
        <v>4881.0199999999995</v>
      </c>
    </row>
    <row r="818" spans="1:7" s="397" customFormat="1" ht="31.5" x14ac:dyDescent="0.25">
      <c r="A818" s="29" t="s">
        <v>302</v>
      </c>
      <c r="B818" s="346" t="s">
        <v>1088</v>
      </c>
      <c r="C818" s="341" t="s">
        <v>168</v>
      </c>
      <c r="D818" s="341" t="s">
        <v>159</v>
      </c>
      <c r="E818" s="346" t="s">
        <v>126</v>
      </c>
      <c r="F818" s="2">
        <v>908</v>
      </c>
      <c r="G818" s="9">
        <v>4637.2</v>
      </c>
    </row>
    <row r="819" spans="1:7" s="397" customFormat="1" ht="31.5" x14ac:dyDescent="0.25">
      <c r="A819" s="298" t="s">
        <v>1279</v>
      </c>
      <c r="B819" s="299" t="s">
        <v>1281</v>
      </c>
      <c r="C819" s="6"/>
      <c r="D819" s="6"/>
      <c r="E819" s="299"/>
      <c r="F819" s="3"/>
      <c r="G819" s="35">
        <f>G820</f>
        <v>7059</v>
      </c>
    </row>
    <row r="820" spans="1:7" s="397" customFormat="1" ht="15.75" x14ac:dyDescent="0.25">
      <c r="A820" s="45" t="s">
        <v>231</v>
      </c>
      <c r="B820" s="346" t="s">
        <v>1281</v>
      </c>
      <c r="C820" s="341" t="s">
        <v>168</v>
      </c>
      <c r="D820" s="341"/>
      <c r="E820" s="346"/>
      <c r="F820" s="2"/>
      <c r="G820" s="9">
        <f>G821</f>
        <v>7059</v>
      </c>
    </row>
    <row r="821" spans="1:7" s="397" customFormat="1" ht="15.75" x14ac:dyDescent="0.25">
      <c r="A821" s="45" t="s">
        <v>272</v>
      </c>
      <c r="B821" s="346" t="s">
        <v>1281</v>
      </c>
      <c r="C821" s="341" t="s">
        <v>168</v>
      </c>
      <c r="D821" s="341" t="s">
        <v>159</v>
      </c>
      <c r="E821" s="346"/>
      <c r="F821" s="2"/>
      <c r="G821" s="9">
        <f>G822</f>
        <v>7059</v>
      </c>
    </row>
    <row r="822" spans="1:7" s="397" customFormat="1" ht="63" x14ac:dyDescent="0.25">
      <c r="A822" s="345" t="s">
        <v>1280</v>
      </c>
      <c r="B822" s="346" t="s">
        <v>1299</v>
      </c>
      <c r="C822" s="341" t="s">
        <v>168</v>
      </c>
      <c r="D822" s="341" t="s">
        <v>159</v>
      </c>
      <c r="E822" s="346"/>
      <c r="F822" s="2"/>
      <c r="G822" s="9">
        <f>G823</f>
        <v>7059</v>
      </c>
    </row>
    <row r="823" spans="1:7" s="397" customFormat="1" ht="31.5" x14ac:dyDescent="0.25">
      <c r="A823" s="345" t="s">
        <v>123</v>
      </c>
      <c r="B823" s="346" t="s">
        <v>1299</v>
      </c>
      <c r="C823" s="341" t="s">
        <v>168</v>
      </c>
      <c r="D823" s="341" t="s">
        <v>159</v>
      </c>
      <c r="E823" s="346" t="s">
        <v>124</v>
      </c>
      <c r="F823" s="2"/>
      <c r="G823" s="9">
        <f>G824</f>
        <v>7059</v>
      </c>
    </row>
    <row r="824" spans="1:7" s="397" customFormat="1" ht="31.5" x14ac:dyDescent="0.25">
      <c r="A824" s="345" t="s">
        <v>125</v>
      </c>
      <c r="B824" s="346" t="s">
        <v>1299</v>
      </c>
      <c r="C824" s="341" t="s">
        <v>168</v>
      </c>
      <c r="D824" s="341" t="s">
        <v>159</v>
      </c>
      <c r="E824" s="346" t="s">
        <v>126</v>
      </c>
      <c r="F824" s="2"/>
      <c r="G824" s="9">
        <f>'Пр.4 ведом.22'!G1252</f>
        <v>7059</v>
      </c>
    </row>
    <row r="825" spans="1:7" s="397" customFormat="1" ht="31.5" x14ac:dyDescent="0.25">
      <c r="A825" s="29" t="s">
        <v>302</v>
      </c>
      <c r="B825" s="346" t="s">
        <v>1299</v>
      </c>
      <c r="C825" s="341" t="s">
        <v>168</v>
      </c>
      <c r="D825" s="341" t="s">
        <v>159</v>
      </c>
      <c r="E825" s="346" t="s">
        <v>126</v>
      </c>
      <c r="F825" s="2">
        <v>908</v>
      </c>
      <c r="G825" s="9">
        <f>G824</f>
        <v>7059</v>
      </c>
    </row>
    <row r="826" spans="1:7" s="397" customFormat="1" ht="31.5" x14ac:dyDescent="0.25">
      <c r="A826" s="298" t="s">
        <v>1300</v>
      </c>
      <c r="B826" s="299" t="s">
        <v>1301</v>
      </c>
      <c r="C826" s="6"/>
      <c r="D826" s="6"/>
      <c r="E826" s="299"/>
      <c r="F826" s="3"/>
      <c r="G826" s="35">
        <f>G827</f>
        <v>2857.2</v>
      </c>
    </row>
    <row r="827" spans="1:7" s="397" customFormat="1" ht="15.75" x14ac:dyDescent="0.25">
      <c r="A827" s="45" t="s">
        <v>231</v>
      </c>
      <c r="B827" s="346" t="s">
        <v>1303</v>
      </c>
      <c r="C827" s="341" t="s">
        <v>168</v>
      </c>
      <c r="D827" s="341"/>
      <c r="E827" s="346"/>
      <c r="F827" s="2"/>
      <c r="G827" s="9">
        <f>G828</f>
        <v>2857.2</v>
      </c>
    </row>
    <row r="828" spans="1:7" s="397" customFormat="1" ht="15.75" x14ac:dyDescent="0.25">
      <c r="A828" s="45" t="s">
        <v>272</v>
      </c>
      <c r="B828" s="346" t="s">
        <v>1303</v>
      </c>
      <c r="C828" s="341" t="s">
        <v>168</v>
      </c>
      <c r="D828" s="341" t="s">
        <v>159</v>
      </c>
      <c r="E828" s="346"/>
      <c r="F828" s="2"/>
      <c r="G828" s="9">
        <f>G829</f>
        <v>2857.2</v>
      </c>
    </row>
    <row r="829" spans="1:7" s="397" customFormat="1" ht="31.5" x14ac:dyDescent="0.25">
      <c r="A829" s="345" t="s">
        <v>1302</v>
      </c>
      <c r="B829" s="346" t="s">
        <v>1303</v>
      </c>
      <c r="C829" s="341" t="s">
        <v>168</v>
      </c>
      <c r="D829" s="341" t="s">
        <v>159</v>
      </c>
      <c r="E829" s="346"/>
      <c r="F829" s="2"/>
      <c r="G829" s="9">
        <f>G830</f>
        <v>2857.2</v>
      </c>
    </row>
    <row r="830" spans="1:7" s="397" customFormat="1" ht="31.5" x14ac:dyDescent="0.25">
      <c r="A830" s="345" t="s">
        <v>123</v>
      </c>
      <c r="B830" s="346" t="s">
        <v>1303</v>
      </c>
      <c r="C830" s="341" t="s">
        <v>168</v>
      </c>
      <c r="D830" s="341" t="s">
        <v>159</v>
      </c>
      <c r="E830" s="346" t="s">
        <v>124</v>
      </c>
      <c r="F830" s="2"/>
      <c r="G830" s="9">
        <f>G831</f>
        <v>2857.2</v>
      </c>
    </row>
    <row r="831" spans="1:7" s="397" customFormat="1" ht="31.5" x14ac:dyDescent="0.25">
      <c r="A831" s="345" t="s">
        <v>125</v>
      </c>
      <c r="B831" s="346" t="s">
        <v>1303</v>
      </c>
      <c r="C831" s="341" t="s">
        <v>168</v>
      </c>
      <c r="D831" s="341" t="s">
        <v>159</v>
      </c>
      <c r="E831" s="346" t="s">
        <v>126</v>
      </c>
      <c r="F831" s="2"/>
      <c r="G831" s="9">
        <f>'Пр.4 ведом.22'!G1256</f>
        <v>2857.2</v>
      </c>
    </row>
    <row r="832" spans="1:7" s="397" customFormat="1" ht="31.5" x14ac:dyDescent="0.25">
      <c r="A832" s="29" t="s">
        <v>302</v>
      </c>
      <c r="B832" s="346" t="s">
        <v>1303</v>
      </c>
      <c r="C832" s="341" t="s">
        <v>168</v>
      </c>
      <c r="D832" s="341" t="s">
        <v>159</v>
      </c>
      <c r="E832" s="346" t="s">
        <v>126</v>
      </c>
      <c r="F832" s="2">
        <v>908</v>
      </c>
      <c r="G832" s="9">
        <f>G831</f>
        <v>2857.2</v>
      </c>
    </row>
    <row r="833" spans="1:8" s="397" customFormat="1" ht="31.5" hidden="1" x14ac:dyDescent="0.25">
      <c r="A833" s="24" t="s">
        <v>848</v>
      </c>
      <c r="B833" s="346"/>
      <c r="C833" s="341"/>
      <c r="D833" s="341"/>
      <c r="E833" s="346"/>
      <c r="F833" s="2"/>
      <c r="G833" s="9"/>
    </row>
    <row r="834" spans="1:8" ht="39.75" customHeight="1" x14ac:dyDescent="0.25">
      <c r="A834" s="24" t="s">
        <v>848</v>
      </c>
      <c r="B834" s="119" t="s">
        <v>147</v>
      </c>
      <c r="C834" s="6"/>
      <c r="D834" s="6"/>
      <c r="E834" s="6"/>
      <c r="F834" s="3"/>
      <c r="G834" s="35">
        <f>G835+G842</f>
        <v>19.199999999999989</v>
      </c>
      <c r="H834" s="129">
        <v>355</v>
      </c>
    </row>
    <row r="835" spans="1:8" s="128" customFormat="1" ht="31.5" x14ac:dyDescent="0.25">
      <c r="A835" s="24" t="s">
        <v>567</v>
      </c>
      <c r="B835" s="119" t="s">
        <v>451</v>
      </c>
      <c r="C835" s="6"/>
      <c r="D835" s="6"/>
      <c r="E835" s="6"/>
      <c r="F835" s="3"/>
      <c r="G835" s="35">
        <f>G836</f>
        <v>19.199999999999989</v>
      </c>
      <c r="H835" s="129"/>
    </row>
    <row r="836" spans="1:8" ht="15.75" x14ac:dyDescent="0.25">
      <c r="A836" s="20" t="s">
        <v>166</v>
      </c>
      <c r="B836" s="4" t="s">
        <v>451</v>
      </c>
      <c r="C836" s="341" t="s">
        <v>139</v>
      </c>
      <c r="D836" s="341"/>
      <c r="E836" s="341"/>
      <c r="F836" s="2"/>
      <c r="G836" s="9">
        <f t="shared" ref="G836:G839" si="55">G837</f>
        <v>19.199999999999989</v>
      </c>
    </row>
    <row r="837" spans="1:8" ht="15.75" x14ac:dyDescent="0.25">
      <c r="A837" s="20" t="s">
        <v>167</v>
      </c>
      <c r="B837" s="21" t="s">
        <v>451</v>
      </c>
      <c r="C837" s="341" t="s">
        <v>139</v>
      </c>
      <c r="D837" s="341" t="s">
        <v>168</v>
      </c>
      <c r="E837" s="341"/>
      <c r="F837" s="2"/>
      <c r="G837" s="9">
        <f>G838</f>
        <v>19.199999999999989</v>
      </c>
    </row>
    <row r="838" spans="1:8" ht="31.5" x14ac:dyDescent="0.25">
      <c r="A838" s="345" t="s">
        <v>169</v>
      </c>
      <c r="B838" s="346" t="s">
        <v>467</v>
      </c>
      <c r="C838" s="341" t="s">
        <v>139</v>
      </c>
      <c r="D838" s="341" t="s">
        <v>168</v>
      </c>
      <c r="E838" s="341"/>
      <c r="F838" s="2"/>
      <c r="G838" s="9">
        <f t="shared" si="55"/>
        <v>19.199999999999989</v>
      </c>
    </row>
    <row r="839" spans="1:8" ht="15.75" x14ac:dyDescent="0.25">
      <c r="A839" s="20" t="s">
        <v>127</v>
      </c>
      <c r="B839" s="346" t="s">
        <v>467</v>
      </c>
      <c r="C839" s="341" t="s">
        <v>139</v>
      </c>
      <c r="D839" s="341" t="s">
        <v>168</v>
      </c>
      <c r="E839" s="341" t="s">
        <v>134</v>
      </c>
      <c r="F839" s="2"/>
      <c r="G839" s="9">
        <f t="shared" si="55"/>
        <v>19.199999999999989</v>
      </c>
    </row>
    <row r="840" spans="1:8" ht="47.25" x14ac:dyDescent="0.25">
      <c r="A840" s="20" t="s">
        <v>148</v>
      </c>
      <c r="B840" s="346" t="s">
        <v>467</v>
      </c>
      <c r="C840" s="341" t="s">
        <v>139</v>
      </c>
      <c r="D840" s="341" t="s">
        <v>168</v>
      </c>
      <c r="E840" s="341" t="s">
        <v>142</v>
      </c>
      <c r="F840" s="2"/>
      <c r="G840" s="9">
        <f>'Пр.4 ведом.22'!G228</f>
        <v>19.199999999999989</v>
      </c>
    </row>
    <row r="841" spans="1:8" ht="23.25" customHeight="1" x14ac:dyDescent="0.25">
      <c r="A841" s="20" t="s">
        <v>137</v>
      </c>
      <c r="B841" s="346" t="s">
        <v>467</v>
      </c>
      <c r="C841" s="341" t="s">
        <v>139</v>
      </c>
      <c r="D841" s="341" t="s">
        <v>168</v>
      </c>
      <c r="E841" s="341" t="s">
        <v>142</v>
      </c>
      <c r="F841" s="2">
        <v>902</v>
      </c>
      <c r="G841" s="9">
        <f>G840</f>
        <v>19.199999999999989</v>
      </c>
    </row>
    <row r="842" spans="1:8" s="128" customFormat="1" ht="47.25" hidden="1" x14ac:dyDescent="0.25">
      <c r="A842" s="135" t="s">
        <v>568</v>
      </c>
      <c r="B842" s="299" t="s">
        <v>453</v>
      </c>
      <c r="C842" s="341"/>
      <c r="D842" s="341"/>
      <c r="E842" s="341"/>
      <c r="F842" s="2"/>
      <c r="G842" s="9">
        <f>G843</f>
        <v>0</v>
      </c>
      <c r="H842" s="129"/>
    </row>
    <row r="843" spans="1:8" s="128" customFormat="1" ht="15.75" hidden="1" x14ac:dyDescent="0.25">
      <c r="A843" s="20" t="s">
        <v>166</v>
      </c>
      <c r="B843" s="346" t="s">
        <v>453</v>
      </c>
      <c r="C843" s="341" t="s">
        <v>139</v>
      </c>
      <c r="D843" s="341"/>
      <c r="E843" s="341"/>
      <c r="F843" s="2"/>
      <c r="G843" s="9">
        <f>G844</f>
        <v>0</v>
      </c>
      <c r="H843" s="129"/>
    </row>
    <row r="844" spans="1:8" s="128" customFormat="1" ht="15.75" hidden="1" x14ac:dyDescent="0.25">
      <c r="A844" s="20" t="s">
        <v>167</v>
      </c>
      <c r="B844" s="346" t="s">
        <v>453</v>
      </c>
      <c r="C844" s="341" t="s">
        <v>139</v>
      </c>
      <c r="D844" s="341" t="s">
        <v>168</v>
      </c>
      <c r="E844" s="341"/>
      <c r="F844" s="2"/>
      <c r="G844" s="9">
        <f>G845</f>
        <v>0</v>
      </c>
      <c r="H844" s="129"/>
    </row>
    <row r="845" spans="1:8" s="128" customFormat="1" ht="15.75" hidden="1" x14ac:dyDescent="0.25">
      <c r="A845" s="345" t="s">
        <v>452</v>
      </c>
      <c r="B845" s="4" t="s">
        <v>468</v>
      </c>
      <c r="C845" s="341" t="s">
        <v>139</v>
      </c>
      <c r="D845" s="341" t="s">
        <v>168</v>
      </c>
      <c r="E845" s="341"/>
      <c r="F845" s="2"/>
      <c r="G845" s="9">
        <f>G846</f>
        <v>0</v>
      </c>
      <c r="H845" s="129"/>
    </row>
    <row r="846" spans="1:8" s="128" customFormat="1" ht="15.75" hidden="1" x14ac:dyDescent="0.25">
      <c r="A846" s="20" t="s">
        <v>127</v>
      </c>
      <c r="B846" s="4" t="s">
        <v>468</v>
      </c>
      <c r="C846" s="341" t="s">
        <v>139</v>
      </c>
      <c r="D846" s="341" t="s">
        <v>168</v>
      </c>
      <c r="E846" s="341" t="s">
        <v>134</v>
      </c>
      <c r="F846" s="2"/>
      <c r="G846" s="9">
        <f>G847</f>
        <v>0</v>
      </c>
      <c r="H846" s="129"/>
    </row>
    <row r="847" spans="1:8" s="128" customFormat="1" ht="47.25" hidden="1" x14ac:dyDescent="0.25">
      <c r="A847" s="20" t="s">
        <v>148</v>
      </c>
      <c r="B847" s="4" t="s">
        <v>468</v>
      </c>
      <c r="C847" s="341" t="s">
        <v>139</v>
      </c>
      <c r="D847" s="341" t="s">
        <v>168</v>
      </c>
      <c r="E847" s="341" t="s">
        <v>142</v>
      </c>
      <c r="F847" s="2"/>
      <c r="G847" s="9">
        <f>'Пр.3 Рд,пр, ЦС,ВР 22'!F305</f>
        <v>0</v>
      </c>
      <c r="H847" s="129"/>
    </row>
    <row r="848" spans="1:8" s="128" customFormat="1" ht="19.5" hidden="1" customHeight="1" x14ac:dyDescent="0.25">
      <c r="A848" s="20" t="s">
        <v>137</v>
      </c>
      <c r="B848" s="4" t="s">
        <v>468</v>
      </c>
      <c r="C848" s="341" t="s">
        <v>139</v>
      </c>
      <c r="D848" s="341" t="s">
        <v>168</v>
      </c>
      <c r="E848" s="341" t="s">
        <v>142</v>
      </c>
      <c r="F848" s="2">
        <v>902</v>
      </c>
      <c r="G848" s="9">
        <f>G847</f>
        <v>0</v>
      </c>
      <c r="H848" s="129"/>
    </row>
    <row r="849" spans="1:8" ht="52.5" customHeight="1" x14ac:dyDescent="0.25">
      <c r="A849" s="340" t="s">
        <v>982</v>
      </c>
      <c r="B849" s="6" t="s">
        <v>263</v>
      </c>
      <c r="C849" s="6"/>
      <c r="D849" s="6"/>
      <c r="E849" s="44"/>
      <c r="F849" s="3"/>
      <c r="G849" s="35">
        <f>G850+G857+G866+G873+G880+G887+G894+G901</f>
        <v>23837.760009999998</v>
      </c>
      <c r="H849" s="129">
        <v>8940</v>
      </c>
    </row>
    <row r="850" spans="1:8" s="128" customFormat="1" ht="31.7" customHeight="1" x14ac:dyDescent="0.25">
      <c r="A850" s="298" t="s">
        <v>526</v>
      </c>
      <c r="B850" s="299" t="s">
        <v>528</v>
      </c>
      <c r="C850" s="341"/>
      <c r="D850" s="341"/>
      <c r="E850" s="341"/>
      <c r="F850" s="2"/>
      <c r="G850" s="35">
        <f>G851</f>
        <v>507.4</v>
      </c>
      <c r="H850" s="129"/>
    </row>
    <row r="851" spans="1:8" s="128" customFormat="1" ht="18" customHeight="1" x14ac:dyDescent="0.25">
      <c r="A851" s="20" t="s">
        <v>231</v>
      </c>
      <c r="B851" s="341" t="s">
        <v>528</v>
      </c>
      <c r="C851" s="341" t="s">
        <v>168</v>
      </c>
      <c r="D851" s="341"/>
      <c r="E851" s="45"/>
      <c r="F851" s="2"/>
      <c r="G851" s="9">
        <f t="shared" ref="G851" si="56">G852</f>
        <v>507.4</v>
      </c>
      <c r="H851" s="129"/>
    </row>
    <row r="852" spans="1:8" s="128" customFormat="1" ht="19.5" customHeight="1" x14ac:dyDescent="0.25">
      <c r="A852" s="20" t="s">
        <v>262</v>
      </c>
      <c r="B852" s="341" t="s">
        <v>528</v>
      </c>
      <c r="C852" s="341" t="s">
        <v>168</v>
      </c>
      <c r="D852" s="341" t="s">
        <v>158</v>
      </c>
      <c r="E852" s="45"/>
      <c r="F852" s="2"/>
      <c r="G852" s="9">
        <f>G853</f>
        <v>507.4</v>
      </c>
      <c r="H852" s="129"/>
    </row>
    <row r="853" spans="1:8" ht="15.75" x14ac:dyDescent="0.25">
      <c r="A853" s="29" t="s">
        <v>264</v>
      </c>
      <c r="B853" s="346" t="s">
        <v>529</v>
      </c>
      <c r="C853" s="341" t="s">
        <v>168</v>
      </c>
      <c r="D853" s="341" t="s">
        <v>158</v>
      </c>
      <c r="E853" s="341"/>
      <c r="F853" s="2"/>
      <c r="G853" s="9">
        <f t="shared" ref="G853:G854" si="57">G854</f>
        <v>507.4</v>
      </c>
    </row>
    <row r="854" spans="1:8" ht="31.5" x14ac:dyDescent="0.25">
      <c r="A854" s="22" t="s">
        <v>123</v>
      </c>
      <c r="B854" s="346" t="s">
        <v>529</v>
      </c>
      <c r="C854" s="341" t="s">
        <v>168</v>
      </c>
      <c r="D854" s="341" t="s">
        <v>158</v>
      </c>
      <c r="E854" s="341" t="s">
        <v>124</v>
      </c>
      <c r="F854" s="2"/>
      <c r="G854" s="9">
        <f t="shared" si="57"/>
        <v>507.4</v>
      </c>
    </row>
    <row r="855" spans="1:8" ht="31.5" x14ac:dyDescent="0.25">
      <c r="A855" s="22" t="s">
        <v>125</v>
      </c>
      <c r="B855" s="346" t="s">
        <v>529</v>
      </c>
      <c r="C855" s="341" t="s">
        <v>168</v>
      </c>
      <c r="D855" s="341" t="s">
        <v>158</v>
      </c>
      <c r="E855" s="341" t="s">
        <v>126</v>
      </c>
      <c r="F855" s="2"/>
      <c r="G855" s="9">
        <f>'Пр.3 Рд,пр, ЦС,ВР 22'!F411</f>
        <v>507.4</v>
      </c>
    </row>
    <row r="856" spans="1:8" s="128" customFormat="1" ht="36.75" customHeight="1" x14ac:dyDescent="0.25">
      <c r="A856" s="29" t="s">
        <v>302</v>
      </c>
      <c r="B856" s="346" t="s">
        <v>529</v>
      </c>
      <c r="C856" s="341" t="s">
        <v>168</v>
      </c>
      <c r="D856" s="341" t="s">
        <v>158</v>
      </c>
      <c r="E856" s="341" t="s">
        <v>126</v>
      </c>
      <c r="F856" s="2">
        <v>908</v>
      </c>
      <c r="G856" s="295">
        <f>G855</f>
        <v>507.4</v>
      </c>
      <c r="H856" s="129"/>
    </row>
    <row r="857" spans="1:8" s="128" customFormat="1" ht="31.5" x14ac:dyDescent="0.25">
      <c r="A857" s="24" t="s">
        <v>530</v>
      </c>
      <c r="B857" s="299" t="s">
        <v>531</v>
      </c>
      <c r="C857" s="341"/>
      <c r="D857" s="341"/>
      <c r="E857" s="341"/>
      <c r="F857" s="2"/>
      <c r="G857" s="35">
        <f>G858</f>
        <v>48.4</v>
      </c>
      <c r="H857" s="129"/>
    </row>
    <row r="858" spans="1:8" s="128" customFormat="1" ht="15.75" x14ac:dyDescent="0.25">
      <c r="A858" s="20" t="s">
        <v>231</v>
      </c>
      <c r="B858" s="341" t="s">
        <v>531</v>
      </c>
      <c r="C858" s="341" t="s">
        <v>168</v>
      </c>
      <c r="D858" s="341"/>
      <c r="E858" s="45"/>
      <c r="F858" s="2"/>
      <c r="G858" s="9">
        <f t="shared" ref="G858" si="58">G859</f>
        <v>48.4</v>
      </c>
      <c r="H858" s="129"/>
    </row>
    <row r="859" spans="1:8" s="128" customFormat="1" ht="15.75" x14ac:dyDescent="0.25">
      <c r="A859" s="20" t="s">
        <v>262</v>
      </c>
      <c r="B859" s="341" t="s">
        <v>531</v>
      </c>
      <c r="C859" s="341" t="s">
        <v>168</v>
      </c>
      <c r="D859" s="341" t="s">
        <v>158</v>
      </c>
      <c r="E859" s="45"/>
      <c r="F859" s="2"/>
      <c r="G859" s="9">
        <f>G860</f>
        <v>48.4</v>
      </c>
      <c r="H859" s="129"/>
    </row>
    <row r="860" spans="1:8" ht="15.75" customHeight="1" x14ac:dyDescent="0.25">
      <c r="A860" s="29" t="s">
        <v>265</v>
      </c>
      <c r="B860" s="346" t="s">
        <v>534</v>
      </c>
      <c r="C860" s="341" t="s">
        <v>168</v>
      </c>
      <c r="D860" s="341" t="s">
        <v>158</v>
      </c>
      <c r="E860" s="341"/>
      <c r="F860" s="2"/>
      <c r="G860" s="9">
        <f>G861+G863</f>
        <v>48.4</v>
      </c>
    </row>
    <row r="861" spans="1:8" ht="31.7" customHeight="1" x14ac:dyDescent="0.25">
      <c r="A861" s="22" t="s">
        <v>123</v>
      </c>
      <c r="B861" s="346" t="s">
        <v>534</v>
      </c>
      <c r="C861" s="341" t="s">
        <v>168</v>
      </c>
      <c r="D861" s="341" t="s">
        <v>158</v>
      </c>
      <c r="E861" s="341" t="s">
        <v>124</v>
      </c>
      <c r="F861" s="2"/>
      <c r="G861" s="9">
        <f t="shared" ref="G861" si="59">G862</f>
        <v>30</v>
      </c>
    </row>
    <row r="862" spans="1:8" ht="31.7" customHeight="1" x14ac:dyDescent="0.25">
      <c r="A862" s="22" t="s">
        <v>125</v>
      </c>
      <c r="B862" s="346" t="s">
        <v>534</v>
      </c>
      <c r="C862" s="341" t="s">
        <v>168</v>
      </c>
      <c r="D862" s="341" t="s">
        <v>158</v>
      </c>
      <c r="E862" s="341" t="s">
        <v>126</v>
      </c>
      <c r="F862" s="2"/>
      <c r="G862" s="9">
        <f>'Пр.3 Рд,пр, ЦС,ВР 22'!F415</f>
        <v>30</v>
      </c>
    </row>
    <row r="863" spans="1:8" s="343" customFormat="1" ht="15.75" x14ac:dyDescent="0.25">
      <c r="A863" s="345" t="s">
        <v>127</v>
      </c>
      <c r="B863" s="346" t="s">
        <v>534</v>
      </c>
      <c r="C863" s="341" t="s">
        <v>168</v>
      </c>
      <c r="D863" s="341" t="s">
        <v>158</v>
      </c>
      <c r="E863" s="341" t="s">
        <v>134</v>
      </c>
      <c r="F863" s="2"/>
      <c r="G863" s="9">
        <f>G864</f>
        <v>18.399999999999999</v>
      </c>
      <c r="H863" s="344"/>
    </row>
    <row r="864" spans="1:8" s="343" customFormat="1" ht="15.75" x14ac:dyDescent="0.25">
      <c r="A864" s="345" t="s">
        <v>1321</v>
      </c>
      <c r="B864" s="346" t="s">
        <v>534</v>
      </c>
      <c r="C864" s="341" t="s">
        <v>168</v>
      </c>
      <c r="D864" s="341" t="s">
        <v>158</v>
      </c>
      <c r="E864" s="341" t="s">
        <v>136</v>
      </c>
      <c r="F864" s="2"/>
      <c r="G864" s="9">
        <f>'Пр.4 ведом.22'!G1166</f>
        <v>18.399999999999999</v>
      </c>
      <c r="H864" s="344"/>
    </row>
    <row r="865" spans="1:8" s="128" customFormat="1" ht="31.7" customHeight="1" x14ac:dyDescent="0.25">
      <c r="A865" s="29" t="s">
        <v>302</v>
      </c>
      <c r="B865" s="346" t="s">
        <v>534</v>
      </c>
      <c r="C865" s="341" t="s">
        <v>168</v>
      </c>
      <c r="D865" s="341" t="s">
        <v>158</v>
      </c>
      <c r="E865" s="341"/>
      <c r="F865" s="2">
        <v>908</v>
      </c>
      <c r="G865" s="295">
        <f>G862+G863</f>
        <v>48.4</v>
      </c>
      <c r="H865" s="129"/>
    </row>
    <row r="866" spans="1:8" s="128" customFormat="1" ht="35.450000000000003" customHeight="1" x14ac:dyDescent="0.25">
      <c r="A866" s="34" t="s">
        <v>532</v>
      </c>
      <c r="B866" s="299" t="s">
        <v>533</v>
      </c>
      <c r="C866" s="341"/>
      <c r="D866" s="341"/>
      <c r="E866" s="341"/>
      <c r="F866" s="2"/>
      <c r="G866" s="35">
        <f>G867</f>
        <v>500</v>
      </c>
      <c r="H866" s="129"/>
    </row>
    <row r="867" spans="1:8" s="128" customFormat="1" ht="15.75" customHeight="1" x14ac:dyDescent="0.25">
      <c r="A867" s="20" t="s">
        <v>231</v>
      </c>
      <c r="B867" s="341" t="s">
        <v>533</v>
      </c>
      <c r="C867" s="341" t="s">
        <v>168</v>
      </c>
      <c r="D867" s="341"/>
      <c r="E867" s="45"/>
      <c r="F867" s="2"/>
      <c r="G867" s="9">
        <f t="shared" ref="G867" si="60">G868</f>
        <v>500</v>
      </c>
      <c r="H867" s="129"/>
    </row>
    <row r="868" spans="1:8" s="128" customFormat="1" ht="15.75" customHeight="1" x14ac:dyDescent="0.25">
      <c r="A868" s="20" t="s">
        <v>262</v>
      </c>
      <c r="B868" s="341" t="s">
        <v>533</v>
      </c>
      <c r="C868" s="341" t="s">
        <v>168</v>
      </c>
      <c r="D868" s="341" t="s">
        <v>158</v>
      </c>
      <c r="E868" s="45"/>
      <c r="F868" s="2"/>
      <c r="G868" s="9">
        <f>G869</f>
        <v>500</v>
      </c>
      <c r="H868" s="129"/>
    </row>
    <row r="869" spans="1:8" ht="15.75" customHeight="1" x14ac:dyDescent="0.25">
      <c r="A869" s="29" t="s">
        <v>266</v>
      </c>
      <c r="B869" s="346" t="s">
        <v>535</v>
      </c>
      <c r="C869" s="341" t="s">
        <v>168</v>
      </c>
      <c r="D869" s="341" t="s">
        <v>158</v>
      </c>
      <c r="E869" s="341"/>
      <c r="F869" s="2"/>
      <c r="G869" s="9">
        <f>G870</f>
        <v>500</v>
      </c>
    </row>
    <row r="870" spans="1:8" ht="31.7" customHeight="1" x14ac:dyDescent="0.25">
      <c r="A870" s="22" t="s">
        <v>123</v>
      </c>
      <c r="B870" s="346" t="s">
        <v>535</v>
      </c>
      <c r="C870" s="341" t="s">
        <v>168</v>
      </c>
      <c r="D870" s="341" t="s">
        <v>158</v>
      </c>
      <c r="E870" s="341" t="s">
        <v>124</v>
      </c>
      <c r="F870" s="2"/>
      <c r="G870" s="9">
        <f t="shared" ref="G870" si="61">G871</f>
        <v>500</v>
      </c>
    </row>
    <row r="871" spans="1:8" ht="31.7" customHeight="1" x14ac:dyDescent="0.25">
      <c r="A871" s="22" t="s">
        <v>125</v>
      </c>
      <c r="B871" s="346" t="s">
        <v>535</v>
      </c>
      <c r="C871" s="341" t="s">
        <v>168</v>
      </c>
      <c r="D871" s="341" t="s">
        <v>158</v>
      </c>
      <c r="E871" s="341" t="s">
        <v>126</v>
      </c>
      <c r="F871" s="2"/>
      <c r="G871" s="9">
        <f>'Пр.3 Рд,пр, ЦС,ВР 22'!F421</f>
        <v>500</v>
      </c>
    </row>
    <row r="872" spans="1:8" s="128" customFormat="1" ht="31.7" customHeight="1" x14ac:dyDescent="0.25">
      <c r="A872" s="29" t="s">
        <v>302</v>
      </c>
      <c r="B872" s="346" t="s">
        <v>535</v>
      </c>
      <c r="C872" s="341" t="s">
        <v>168</v>
      </c>
      <c r="D872" s="341" t="s">
        <v>158</v>
      </c>
      <c r="E872" s="341" t="s">
        <v>126</v>
      </c>
      <c r="F872" s="2">
        <v>908</v>
      </c>
      <c r="G872" s="295">
        <f>G871</f>
        <v>500</v>
      </c>
      <c r="H872" s="129"/>
    </row>
    <row r="873" spans="1:8" s="128" customFormat="1" ht="35.450000000000003" hidden="1" customHeight="1" x14ac:dyDescent="0.25">
      <c r="A873" s="34" t="s">
        <v>536</v>
      </c>
      <c r="B873" s="299" t="s">
        <v>537</v>
      </c>
      <c r="C873" s="341"/>
      <c r="D873" s="341"/>
      <c r="E873" s="341"/>
      <c r="F873" s="2"/>
      <c r="G873" s="35">
        <f>G874</f>
        <v>0</v>
      </c>
      <c r="H873" s="129"/>
    </row>
    <row r="874" spans="1:8" s="128" customFormat="1" ht="15.75" hidden="1" customHeight="1" x14ac:dyDescent="0.25">
      <c r="A874" s="20" t="s">
        <v>231</v>
      </c>
      <c r="B874" s="341" t="s">
        <v>537</v>
      </c>
      <c r="C874" s="341" t="s">
        <v>168</v>
      </c>
      <c r="D874" s="341"/>
      <c r="E874" s="45"/>
      <c r="F874" s="2"/>
      <c r="G874" s="9">
        <f>G875</f>
        <v>0</v>
      </c>
      <c r="H874" s="129"/>
    </row>
    <row r="875" spans="1:8" s="128" customFormat="1" ht="15.75" hidden="1" customHeight="1" x14ac:dyDescent="0.25">
      <c r="A875" s="20" t="s">
        <v>262</v>
      </c>
      <c r="B875" s="341" t="s">
        <v>537</v>
      </c>
      <c r="C875" s="341" t="s">
        <v>168</v>
      </c>
      <c r="D875" s="341" t="s">
        <v>158</v>
      </c>
      <c r="E875" s="45"/>
      <c r="F875" s="2"/>
      <c r="G875" s="9">
        <f>G876</f>
        <v>0</v>
      </c>
      <c r="H875" s="129"/>
    </row>
    <row r="876" spans="1:8" ht="15.75" hidden="1" x14ac:dyDescent="0.25">
      <c r="A876" s="29" t="s">
        <v>267</v>
      </c>
      <c r="B876" s="346" t="s">
        <v>538</v>
      </c>
      <c r="C876" s="341" t="s">
        <v>168</v>
      </c>
      <c r="D876" s="341" t="s">
        <v>158</v>
      </c>
      <c r="E876" s="341"/>
      <c r="F876" s="2"/>
      <c r="G876" s="9">
        <f t="shared" ref="G876:G877" si="62">G877</f>
        <v>0</v>
      </c>
    </row>
    <row r="877" spans="1:8" ht="31.5" hidden="1" x14ac:dyDescent="0.25">
      <c r="A877" s="22" t="s">
        <v>123</v>
      </c>
      <c r="B877" s="346" t="s">
        <v>538</v>
      </c>
      <c r="C877" s="341" t="s">
        <v>168</v>
      </c>
      <c r="D877" s="341" t="s">
        <v>158</v>
      </c>
      <c r="E877" s="341" t="s">
        <v>124</v>
      </c>
      <c r="F877" s="2"/>
      <c r="G877" s="9">
        <f t="shared" si="62"/>
        <v>0</v>
      </c>
    </row>
    <row r="878" spans="1:8" ht="31.5" hidden="1" x14ac:dyDescent="0.25">
      <c r="A878" s="22" t="s">
        <v>125</v>
      </c>
      <c r="B878" s="346" t="s">
        <v>538</v>
      </c>
      <c r="C878" s="341" t="s">
        <v>168</v>
      </c>
      <c r="D878" s="341" t="s">
        <v>158</v>
      </c>
      <c r="E878" s="341" t="s">
        <v>126</v>
      </c>
      <c r="F878" s="2"/>
      <c r="G878" s="9">
        <f>'Пр.3 Рд,пр, ЦС,ВР 22'!F425</f>
        <v>0</v>
      </c>
    </row>
    <row r="879" spans="1:8" s="128" customFormat="1" ht="39.200000000000003" hidden="1" customHeight="1" x14ac:dyDescent="0.25">
      <c r="A879" s="29" t="s">
        <v>302</v>
      </c>
      <c r="B879" s="346" t="s">
        <v>538</v>
      </c>
      <c r="C879" s="341" t="s">
        <v>168</v>
      </c>
      <c r="D879" s="341" t="s">
        <v>158</v>
      </c>
      <c r="E879" s="341" t="s">
        <v>126</v>
      </c>
      <c r="F879" s="2">
        <v>908</v>
      </c>
      <c r="G879" s="295">
        <f>G878</f>
        <v>0</v>
      </c>
      <c r="H879" s="129"/>
    </row>
    <row r="880" spans="1:8" s="128" customFormat="1" ht="31.5" x14ac:dyDescent="0.25">
      <c r="A880" s="24" t="s">
        <v>575</v>
      </c>
      <c r="B880" s="299" t="s">
        <v>576</v>
      </c>
      <c r="C880" s="341"/>
      <c r="D880" s="341"/>
      <c r="E880" s="341"/>
      <c r="F880" s="2"/>
      <c r="G880" s="35">
        <f>G881</f>
        <v>85.960000000000036</v>
      </c>
      <c r="H880" s="129"/>
    </row>
    <row r="881" spans="1:8" s="128" customFormat="1" ht="15.75" x14ac:dyDescent="0.25">
      <c r="A881" s="20" t="s">
        <v>231</v>
      </c>
      <c r="B881" s="341" t="s">
        <v>263</v>
      </c>
      <c r="C881" s="341" t="s">
        <v>168</v>
      </c>
      <c r="D881" s="341"/>
      <c r="E881" s="45"/>
      <c r="F881" s="2"/>
      <c r="G881" s="9">
        <f t="shared" ref="G881" si="63">G882</f>
        <v>85.960000000000036</v>
      </c>
      <c r="H881" s="129"/>
    </row>
    <row r="882" spans="1:8" s="128" customFormat="1" ht="15.75" x14ac:dyDescent="0.25">
      <c r="A882" s="20" t="s">
        <v>262</v>
      </c>
      <c r="B882" s="341" t="s">
        <v>263</v>
      </c>
      <c r="C882" s="341" t="s">
        <v>168</v>
      </c>
      <c r="D882" s="341" t="s">
        <v>158</v>
      </c>
      <c r="E882" s="45"/>
      <c r="F882" s="2"/>
      <c r="G882" s="9">
        <f>G883</f>
        <v>85.960000000000036</v>
      </c>
      <c r="H882" s="129"/>
    </row>
    <row r="883" spans="1:8" ht="15.75" customHeight="1" x14ac:dyDescent="0.25">
      <c r="A883" s="29" t="s">
        <v>268</v>
      </c>
      <c r="B883" s="346" t="s">
        <v>579</v>
      </c>
      <c r="C883" s="341" t="s">
        <v>168</v>
      </c>
      <c r="D883" s="341" t="s">
        <v>158</v>
      </c>
      <c r="E883" s="341"/>
      <c r="F883" s="2"/>
      <c r="G883" s="9">
        <f t="shared" ref="G883:G884" si="64">G884</f>
        <v>85.960000000000036</v>
      </c>
    </row>
    <row r="884" spans="1:8" ht="31.7" customHeight="1" x14ac:dyDescent="0.25">
      <c r="A884" s="22" t="s">
        <v>123</v>
      </c>
      <c r="B884" s="346" t="s">
        <v>579</v>
      </c>
      <c r="C884" s="341" t="s">
        <v>168</v>
      </c>
      <c r="D884" s="341" t="s">
        <v>158</v>
      </c>
      <c r="E884" s="341" t="s">
        <v>124</v>
      </c>
      <c r="F884" s="2"/>
      <c r="G884" s="9">
        <f t="shared" si="64"/>
        <v>85.960000000000036</v>
      </c>
    </row>
    <row r="885" spans="1:8" ht="31.7" customHeight="1" x14ac:dyDescent="0.25">
      <c r="A885" s="22" t="s">
        <v>125</v>
      </c>
      <c r="B885" s="346" t="s">
        <v>579</v>
      </c>
      <c r="C885" s="341" t="s">
        <v>168</v>
      </c>
      <c r="D885" s="341" t="s">
        <v>158</v>
      </c>
      <c r="E885" s="341" t="s">
        <v>126</v>
      </c>
      <c r="F885" s="2"/>
      <c r="G885" s="9">
        <f>'Пр.3 Рд,пр, ЦС,ВР 22'!F429</f>
        <v>85.960000000000036</v>
      </c>
    </row>
    <row r="886" spans="1:8" s="128" customFormat="1" ht="31.7" customHeight="1" x14ac:dyDescent="0.25">
      <c r="A886" s="29" t="s">
        <v>302</v>
      </c>
      <c r="B886" s="346" t="s">
        <v>579</v>
      </c>
      <c r="C886" s="341" t="s">
        <v>168</v>
      </c>
      <c r="D886" s="341" t="s">
        <v>158</v>
      </c>
      <c r="E886" s="341" t="s">
        <v>126</v>
      </c>
      <c r="F886" s="2">
        <v>908</v>
      </c>
      <c r="G886" s="295">
        <f>G885</f>
        <v>85.960000000000036</v>
      </c>
      <c r="H886" s="129"/>
    </row>
    <row r="887" spans="1:8" s="128" customFormat="1" ht="31.7" hidden="1" customHeight="1" x14ac:dyDescent="0.25">
      <c r="A887" s="141" t="s">
        <v>577</v>
      </c>
      <c r="B887" s="299" t="s">
        <v>578</v>
      </c>
      <c r="C887" s="341"/>
      <c r="D887" s="341"/>
      <c r="E887" s="341"/>
      <c r="F887" s="2"/>
      <c r="G887" s="35">
        <f>G888</f>
        <v>0</v>
      </c>
      <c r="H887" s="129"/>
    </row>
    <row r="888" spans="1:8" s="128" customFormat="1" ht="16.5" hidden="1" customHeight="1" x14ac:dyDescent="0.25">
      <c r="A888" s="20" t="s">
        <v>231</v>
      </c>
      <c r="B888" s="341" t="s">
        <v>263</v>
      </c>
      <c r="C888" s="341" t="s">
        <v>168</v>
      </c>
      <c r="D888" s="341"/>
      <c r="E888" s="45"/>
      <c r="F888" s="2"/>
      <c r="G888" s="9">
        <f t="shared" ref="G888" si="65">G889</f>
        <v>0</v>
      </c>
      <c r="H888" s="129"/>
    </row>
    <row r="889" spans="1:8" s="128" customFormat="1" ht="19.5" hidden="1" customHeight="1" x14ac:dyDescent="0.25">
      <c r="A889" s="20" t="s">
        <v>262</v>
      </c>
      <c r="B889" s="341" t="s">
        <v>263</v>
      </c>
      <c r="C889" s="341" t="s">
        <v>168</v>
      </c>
      <c r="D889" s="341" t="s">
        <v>158</v>
      </c>
      <c r="E889" s="45"/>
      <c r="F889" s="2"/>
      <c r="G889" s="9">
        <f>G890</f>
        <v>0</v>
      </c>
      <c r="H889" s="129"/>
    </row>
    <row r="890" spans="1:8" ht="31.7" hidden="1" customHeight="1" x14ac:dyDescent="0.25">
      <c r="A890" s="100" t="s">
        <v>269</v>
      </c>
      <c r="B890" s="346" t="s">
        <v>580</v>
      </c>
      <c r="C890" s="341" t="s">
        <v>168</v>
      </c>
      <c r="D890" s="341" t="s">
        <v>158</v>
      </c>
      <c r="E890" s="341"/>
      <c r="F890" s="2"/>
      <c r="G890" s="9">
        <f t="shared" ref="G890:G891" si="66">G891</f>
        <v>0</v>
      </c>
    </row>
    <row r="891" spans="1:8" ht="31.7" hidden="1" customHeight="1" x14ac:dyDescent="0.25">
      <c r="A891" s="22" t="s">
        <v>123</v>
      </c>
      <c r="B891" s="346" t="s">
        <v>580</v>
      </c>
      <c r="C891" s="341" t="s">
        <v>168</v>
      </c>
      <c r="D891" s="341" t="s">
        <v>158</v>
      </c>
      <c r="E891" s="341" t="s">
        <v>124</v>
      </c>
      <c r="F891" s="2"/>
      <c r="G891" s="9">
        <f t="shared" si="66"/>
        <v>0</v>
      </c>
    </row>
    <row r="892" spans="1:8" ht="31.7" hidden="1" customHeight="1" x14ac:dyDescent="0.25">
      <c r="A892" s="22" t="s">
        <v>125</v>
      </c>
      <c r="B892" s="346" t="s">
        <v>580</v>
      </c>
      <c r="C892" s="341" t="s">
        <v>168</v>
      </c>
      <c r="D892" s="341" t="s">
        <v>158</v>
      </c>
      <c r="E892" s="341" t="s">
        <v>126</v>
      </c>
      <c r="F892" s="2"/>
      <c r="G892" s="9">
        <f>'Пр.3 Рд,пр, ЦС,ВР 22'!F433</f>
        <v>0</v>
      </c>
    </row>
    <row r="893" spans="1:8" s="128" customFormat="1" ht="31.7" hidden="1" customHeight="1" x14ac:dyDescent="0.25">
      <c r="A893" s="29" t="s">
        <v>302</v>
      </c>
      <c r="B893" s="346" t="s">
        <v>580</v>
      </c>
      <c r="C893" s="341" t="s">
        <v>168</v>
      </c>
      <c r="D893" s="341" t="s">
        <v>158</v>
      </c>
      <c r="E893" s="341" t="s">
        <v>126</v>
      </c>
      <c r="F893" s="2">
        <v>908</v>
      </c>
      <c r="G893" s="295">
        <f>G892</f>
        <v>0</v>
      </c>
      <c r="H893" s="129"/>
    </row>
    <row r="894" spans="1:8" s="128" customFormat="1" ht="31.7" hidden="1" customHeight="1" x14ac:dyDescent="0.25">
      <c r="A894" s="141" t="s">
        <v>540</v>
      </c>
      <c r="B894" s="299" t="s">
        <v>541</v>
      </c>
      <c r="C894" s="341"/>
      <c r="D894" s="341"/>
      <c r="E894" s="341"/>
      <c r="F894" s="2"/>
      <c r="G894" s="35">
        <f>G895</f>
        <v>0</v>
      </c>
      <c r="H894" s="129"/>
    </row>
    <row r="895" spans="1:8" s="128" customFormat="1" ht="17.45" hidden="1" customHeight="1" x14ac:dyDescent="0.25">
      <c r="A895" s="20" t="s">
        <v>231</v>
      </c>
      <c r="B895" s="341" t="s">
        <v>263</v>
      </c>
      <c r="C895" s="341" t="s">
        <v>168</v>
      </c>
      <c r="D895" s="341"/>
      <c r="E895" s="45"/>
      <c r="F895" s="2"/>
      <c r="G895" s="9">
        <f>G896</f>
        <v>0</v>
      </c>
      <c r="H895" s="129"/>
    </row>
    <row r="896" spans="1:8" s="128" customFormat="1" ht="20.25" hidden="1" customHeight="1" x14ac:dyDescent="0.25">
      <c r="A896" s="20" t="s">
        <v>262</v>
      </c>
      <c r="B896" s="341" t="s">
        <v>263</v>
      </c>
      <c r="C896" s="341" t="s">
        <v>168</v>
      </c>
      <c r="D896" s="341" t="s">
        <v>158</v>
      </c>
      <c r="E896" s="45"/>
      <c r="F896" s="2"/>
      <c r="G896" s="9">
        <f>G897</f>
        <v>0</v>
      </c>
      <c r="H896" s="129"/>
    </row>
    <row r="897" spans="1:8" ht="15.75" hidden="1" x14ac:dyDescent="0.25">
      <c r="A897" s="100" t="s">
        <v>270</v>
      </c>
      <c r="B897" s="346" t="s">
        <v>539</v>
      </c>
      <c r="C897" s="341" t="s">
        <v>168</v>
      </c>
      <c r="D897" s="341" t="s">
        <v>158</v>
      </c>
      <c r="E897" s="341"/>
      <c r="F897" s="2"/>
      <c r="G897" s="9">
        <f t="shared" ref="G897:G898" si="67">G898</f>
        <v>0</v>
      </c>
    </row>
    <row r="898" spans="1:8" ht="31.5" hidden="1" x14ac:dyDescent="0.3">
      <c r="A898" s="345" t="s">
        <v>123</v>
      </c>
      <c r="B898" s="346" t="s">
        <v>539</v>
      </c>
      <c r="C898" s="341" t="s">
        <v>168</v>
      </c>
      <c r="D898" s="341" t="s">
        <v>158</v>
      </c>
      <c r="E898" s="2">
        <v>200</v>
      </c>
      <c r="F898" s="47"/>
      <c r="G898" s="295">
        <f t="shared" si="67"/>
        <v>0</v>
      </c>
    </row>
    <row r="899" spans="1:8" ht="31.5" hidden="1" x14ac:dyDescent="0.3">
      <c r="A899" s="345" t="s">
        <v>125</v>
      </c>
      <c r="B899" s="346" t="s">
        <v>539</v>
      </c>
      <c r="C899" s="341" t="s">
        <v>168</v>
      </c>
      <c r="D899" s="341" t="s">
        <v>158</v>
      </c>
      <c r="E899" s="2">
        <v>240</v>
      </c>
      <c r="F899" s="47"/>
      <c r="G899" s="295">
        <f>'Пр.3 Рд,пр, ЦС,ВР 22'!F437</f>
        <v>0</v>
      </c>
    </row>
    <row r="900" spans="1:8" ht="38.25" hidden="1" customHeight="1" x14ac:dyDescent="0.25">
      <c r="A900" s="29" t="s">
        <v>302</v>
      </c>
      <c r="B900" s="346" t="s">
        <v>539</v>
      </c>
      <c r="C900" s="341" t="s">
        <v>168</v>
      </c>
      <c r="D900" s="341" t="s">
        <v>158</v>
      </c>
      <c r="E900" s="2">
        <v>240</v>
      </c>
      <c r="F900" s="2">
        <v>908</v>
      </c>
      <c r="G900" s="295">
        <f>G899</f>
        <v>0</v>
      </c>
    </row>
    <row r="901" spans="1:8" s="343" customFormat="1" ht="31.5" x14ac:dyDescent="0.25">
      <c r="A901" s="298" t="s">
        <v>1311</v>
      </c>
      <c r="B901" s="299" t="s">
        <v>1313</v>
      </c>
      <c r="C901" s="6"/>
      <c r="D901" s="6"/>
      <c r="E901" s="3"/>
      <c r="F901" s="3"/>
      <c r="G901" s="294">
        <f>G902</f>
        <v>22696.00001</v>
      </c>
      <c r="H901" s="344"/>
    </row>
    <row r="902" spans="1:8" s="343" customFormat="1" ht="15.75" x14ac:dyDescent="0.25">
      <c r="A902" s="20" t="s">
        <v>231</v>
      </c>
      <c r="B902" s="346" t="s">
        <v>263</v>
      </c>
      <c r="C902" s="341" t="s">
        <v>168</v>
      </c>
      <c r="D902" s="341"/>
      <c r="E902" s="2"/>
      <c r="F902" s="2"/>
      <c r="G902" s="295">
        <f>G903</f>
        <v>22696.00001</v>
      </c>
      <c r="H902" s="344"/>
    </row>
    <row r="903" spans="1:8" s="343" customFormat="1" ht="15.75" x14ac:dyDescent="0.25">
      <c r="A903" s="20" t="s">
        <v>262</v>
      </c>
      <c r="B903" s="346" t="s">
        <v>263</v>
      </c>
      <c r="C903" s="341" t="s">
        <v>168</v>
      </c>
      <c r="D903" s="341" t="s">
        <v>158</v>
      </c>
      <c r="E903" s="2"/>
      <c r="F903" s="2"/>
      <c r="G903" s="295">
        <f>G904</f>
        <v>22696.00001</v>
      </c>
      <c r="H903" s="344"/>
    </row>
    <row r="904" spans="1:8" s="343" customFormat="1" ht="31.5" x14ac:dyDescent="0.25">
      <c r="A904" s="345" t="s">
        <v>1314</v>
      </c>
      <c r="B904" s="346" t="s">
        <v>1312</v>
      </c>
      <c r="C904" s="341" t="s">
        <v>168</v>
      </c>
      <c r="D904" s="341" t="s">
        <v>158</v>
      </c>
      <c r="E904" s="2"/>
      <c r="F904" s="2"/>
      <c r="G904" s="295">
        <f>G905</f>
        <v>22696.00001</v>
      </c>
      <c r="H904" s="344"/>
    </row>
    <row r="905" spans="1:8" s="343" customFormat="1" ht="31.5" x14ac:dyDescent="0.25">
      <c r="A905" s="22" t="s">
        <v>123</v>
      </c>
      <c r="B905" s="346" t="s">
        <v>1312</v>
      </c>
      <c r="C905" s="341" t="s">
        <v>168</v>
      </c>
      <c r="D905" s="341" t="s">
        <v>158</v>
      </c>
      <c r="E905" s="2">
        <v>200</v>
      </c>
      <c r="F905" s="2"/>
      <c r="G905" s="295">
        <f>G906</f>
        <v>22696.00001</v>
      </c>
      <c r="H905" s="344"/>
    </row>
    <row r="906" spans="1:8" s="343" customFormat="1" ht="31.5" x14ac:dyDescent="0.25">
      <c r="A906" s="22" t="s">
        <v>125</v>
      </c>
      <c r="B906" s="346" t="s">
        <v>1312</v>
      </c>
      <c r="C906" s="341" t="s">
        <v>168</v>
      </c>
      <c r="D906" s="341" t="s">
        <v>158</v>
      </c>
      <c r="E906" s="2">
        <v>240</v>
      </c>
      <c r="F906" s="2"/>
      <c r="G906" s="295">
        <f>'Пр.4 ведом.22'!G1190</f>
        <v>22696.00001</v>
      </c>
      <c r="H906" s="344"/>
    </row>
    <row r="907" spans="1:8" s="343" customFormat="1" ht="31.5" x14ac:dyDescent="0.25">
      <c r="A907" s="29" t="s">
        <v>302</v>
      </c>
      <c r="B907" s="346" t="s">
        <v>1312</v>
      </c>
      <c r="C907" s="341" t="s">
        <v>168</v>
      </c>
      <c r="D907" s="341" t="s">
        <v>158</v>
      </c>
      <c r="E907" s="2">
        <v>240</v>
      </c>
      <c r="F907" s="2">
        <v>908</v>
      </c>
      <c r="G907" s="295">
        <f>G906</f>
        <v>22696.00001</v>
      </c>
      <c r="H907" s="344"/>
    </row>
    <row r="908" spans="1:8" ht="39.4" customHeight="1" x14ac:dyDescent="0.25">
      <c r="A908" s="298" t="s">
        <v>853</v>
      </c>
      <c r="B908" s="299" t="s">
        <v>209</v>
      </c>
      <c r="C908" s="6"/>
      <c r="D908" s="6"/>
      <c r="E908" s="3"/>
      <c r="F908" s="3"/>
      <c r="G908" s="294">
        <f>G909</f>
        <v>120</v>
      </c>
      <c r="H908" s="129">
        <v>275</v>
      </c>
    </row>
    <row r="909" spans="1:8" s="128" customFormat="1" ht="31.5" x14ac:dyDescent="0.25">
      <c r="A909" s="298" t="s">
        <v>608</v>
      </c>
      <c r="B909" s="299" t="s">
        <v>609</v>
      </c>
      <c r="C909" s="6"/>
      <c r="D909" s="6"/>
      <c r="E909" s="3"/>
      <c r="F909" s="3"/>
      <c r="G909" s="294">
        <f>G910</f>
        <v>120</v>
      </c>
      <c r="H909" s="129"/>
    </row>
    <row r="910" spans="1:8" ht="15.75" x14ac:dyDescent="0.25">
      <c r="A910" s="20" t="s">
        <v>115</v>
      </c>
      <c r="B910" s="346" t="s">
        <v>609</v>
      </c>
      <c r="C910" s="341" t="s">
        <v>116</v>
      </c>
      <c r="D910" s="341"/>
      <c r="E910" s="2"/>
      <c r="F910" s="2"/>
      <c r="G910" s="295">
        <f>G911</f>
        <v>120</v>
      </c>
    </row>
    <row r="911" spans="1:8" ht="15.75" x14ac:dyDescent="0.25">
      <c r="A911" s="20" t="s">
        <v>131</v>
      </c>
      <c r="B911" s="346" t="s">
        <v>609</v>
      </c>
      <c r="C911" s="341" t="s">
        <v>116</v>
      </c>
      <c r="D911" s="341" t="s">
        <v>132</v>
      </c>
      <c r="E911" s="2"/>
      <c r="F911" s="2"/>
      <c r="G911" s="295">
        <f>G912+G919+G923+G927+G931</f>
        <v>120</v>
      </c>
    </row>
    <row r="912" spans="1:8" ht="31.5" x14ac:dyDescent="0.25">
      <c r="A912" s="345" t="s">
        <v>210</v>
      </c>
      <c r="B912" s="346" t="s">
        <v>610</v>
      </c>
      <c r="C912" s="341" t="s">
        <v>116</v>
      </c>
      <c r="D912" s="341" t="s">
        <v>132</v>
      </c>
      <c r="E912" s="2"/>
      <c r="F912" s="2"/>
      <c r="G912" s="295">
        <f>G913+G916</f>
        <v>100</v>
      </c>
    </row>
    <row r="913" spans="1:8" ht="31.5" hidden="1" x14ac:dyDescent="0.25">
      <c r="A913" s="345" t="s">
        <v>123</v>
      </c>
      <c r="B913" s="346" t="s">
        <v>610</v>
      </c>
      <c r="C913" s="341" t="s">
        <v>116</v>
      </c>
      <c r="D913" s="341" t="s">
        <v>132</v>
      </c>
      <c r="E913" s="2">
        <v>200</v>
      </c>
      <c r="F913" s="2"/>
      <c r="G913" s="295">
        <f t="shared" ref="G913" si="68">G914</f>
        <v>0</v>
      </c>
    </row>
    <row r="914" spans="1:8" ht="31.5" hidden="1" x14ac:dyDescent="0.25">
      <c r="A914" s="345" t="s">
        <v>125</v>
      </c>
      <c r="B914" s="346" t="s">
        <v>610</v>
      </c>
      <c r="C914" s="341" t="s">
        <v>116</v>
      </c>
      <c r="D914" s="341" t="s">
        <v>132</v>
      </c>
      <c r="E914" s="2">
        <v>240</v>
      </c>
      <c r="F914" s="2"/>
      <c r="G914" s="295">
        <f>'Пр.4 ведом.22'!G681</f>
        <v>0</v>
      </c>
    </row>
    <row r="915" spans="1:8" s="128" customFormat="1" ht="31.5" hidden="1" x14ac:dyDescent="0.25">
      <c r="A915" s="20" t="s">
        <v>235</v>
      </c>
      <c r="B915" s="346" t="s">
        <v>610</v>
      </c>
      <c r="C915" s="341" t="s">
        <v>116</v>
      </c>
      <c r="D915" s="341" t="s">
        <v>132</v>
      </c>
      <c r="E915" s="2">
        <v>240</v>
      </c>
      <c r="F915" s="2">
        <v>906</v>
      </c>
      <c r="G915" s="295">
        <f>G914</f>
        <v>0</v>
      </c>
      <c r="H915" s="129"/>
    </row>
    <row r="916" spans="1:8" s="128" customFormat="1" ht="31.5" x14ac:dyDescent="0.25">
      <c r="A916" s="345" t="s">
        <v>123</v>
      </c>
      <c r="B916" s="346" t="s">
        <v>610</v>
      </c>
      <c r="C916" s="341" t="s">
        <v>116</v>
      </c>
      <c r="D916" s="341" t="s">
        <v>132</v>
      </c>
      <c r="E916" s="2">
        <v>200</v>
      </c>
      <c r="F916" s="2"/>
      <c r="G916" s="295">
        <f t="shared" ref="G916" si="69">G917</f>
        <v>100</v>
      </c>
      <c r="H916" s="129"/>
    </row>
    <row r="917" spans="1:8" s="128" customFormat="1" ht="31.5" x14ac:dyDescent="0.25">
      <c r="A917" s="345" t="s">
        <v>125</v>
      </c>
      <c r="B917" s="346" t="s">
        <v>610</v>
      </c>
      <c r="C917" s="341" t="s">
        <v>116</v>
      </c>
      <c r="D917" s="341" t="s">
        <v>132</v>
      </c>
      <c r="E917" s="2">
        <v>240</v>
      </c>
      <c r="F917" s="2"/>
      <c r="G917" s="295">
        <f>'Пр.4 ведом.22'!G944</f>
        <v>100</v>
      </c>
      <c r="H917" s="129"/>
    </row>
    <row r="918" spans="1:8" s="128" customFormat="1" ht="31.5" x14ac:dyDescent="0.25">
      <c r="A918" s="29" t="s">
        <v>248</v>
      </c>
      <c r="B918" s="346" t="s">
        <v>610</v>
      </c>
      <c r="C918" s="341" t="s">
        <v>116</v>
      </c>
      <c r="D918" s="341" t="s">
        <v>132</v>
      </c>
      <c r="E918" s="2">
        <v>240</v>
      </c>
      <c r="F918" s="2">
        <v>907</v>
      </c>
      <c r="G918" s="295">
        <f>G917</f>
        <v>100</v>
      </c>
      <c r="H918" s="129"/>
    </row>
    <row r="919" spans="1:8" ht="23.25" customHeight="1" x14ac:dyDescent="0.25">
      <c r="A919" s="345" t="s">
        <v>211</v>
      </c>
      <c r="B919" s="346" t="s">
        <v>611</v>
      </c>
      <c r="C919" s="341" t="s">
        <v>116</v>
      </c>
      <c r="D919" s="341" t="s">
        <v>132</v>
      </c>
      <c r="E919" s="2"/>
      <c r="F919" s="2"/>
      <c r="G919" s="295">
        <f t="shared" ref="G919:G920" si="70">G920</f>
        <v>20</v>
      </c>
    </row>
    <row r="920" spans="1:8" ht="31.5" x14ac:dyDescent="0.25">
      <c r="A920" s="345" t="s">
        <v>123</v>
      </c>
      <c r="B920" s="346" t="s">
        <v>611</v>
      </c>
      <c r="C920" s="341" t="s">
        <v>116</v>
      </c>
      <c r="D920" s="341" t="s">
        <v>132</v>
      </c>
      <c r="E920" s="2">
        <v>200</v>
      </c>
      <c r="F920" s="2"/>
      <c r="G920" s="295">
        <f t="shared" si="70"/>
        <v>20</v>
      </c>
    </row>
    <row r="921" spans="1:8" ht="31.5" x14ac:dyDescent="0.25">
      <c r="A921" s="345" t="s">
        <v>125</v>
      </c>
      <c r="B921" s="346" t="s">
        <v>611</v>
      </c>
      <c r="C921" s="341" t="s">
        <v>116</v>
      </c>
      <c r="D921" s="341" t="s">
        <v>132</v>
      </c>
      <c r="E921" s="2">
        <v>240</v>
      </c>
      <c r="F921" s="2"/>
      <c r="G921" s="295">
        <f>'Пр.4 ведом.22'!G297</f>
        <v>20</v>
      </c>
    </row>
    <row r="922" spans="1:8" s="128" customFormat="1" ht="47.25" x14ac:dyDescent="0.25">
      <c r="A922" s="29" t="s">
        <v>185</v>
      </c>
      <c r="B922" s="346" t="s">
        <v>611</v>
      </c>
      <c r="C922" s="341" t="s">
        <v>116</v>
      </c>
      <c r="D922" s="341" t="s">
        <v>132</v>
      </c>
      <c r="E922" s="2">
        <v>240</v>
      </c>
      <c r="F922" s="2">
        <v>903</v>
      </c>
      <c r="G922" s="295">
        <f>G921</f>
        <v>20</v>
      </c>
      <c r="H922" s="129"/>
    </row>
    <row r="923" spans="1:8" ht="47.25" hidden="1" x14ac:dyDescent="0.25">
      <c r="A923" s="22" t="s">
        <v>349</v>
      </c>
      <c r="B923" s="346" t="s">
        <v>612</v>
      </c>
      <c r="C923" s="341" t="s">
        <v>116</v>
      </c>
      <c r="D923" s="341" t="s">
        <v>132</v>
      </c>
      <c r="E923" s="2"/>
      <c r="F923" s="2"/>
      <c r="G923" s="295">
        <f t="shared" ref="G923:G924" si="71">G924</f>
        <v>0</v>
      </c>
    </row>
    <row r="924" spans="1:8" ht="31.5" hidden="1" x14ac:dyDescent="0.25">
      <c r="A924" s="345" t="s">
        <v>123</v>
      </c>
      <c r="B924" s="346" t="s">
        <v>612</v>
      </c>
      <c r="C924" s="346" t="s">
        <v>116</v>
      </c>
      <c r="D924" s="346" t="s">
        <v>132</v>
      </c>
      <c r="E924" s="346" t="s">
        <v>124</v>
      </c>
      <c r="F924" s="103"/>
      <c r="G924" s="295">
        <f t="shared" si="71"/>
        <v>0</v>
      </c>
    </row>
    <row r="925" spans="1:8" ht="31.5" hidden="1" x14ac:dyDescent="0.25">
      <c r="A925" s="345" t="s">
        <v>125</v>
      </c>
      <c r="B925" s="346" t="s">
        <v>612</v>
      </c>
      <c r="C925" s="346" t="s">
        <v>116</v>
      </c>
      <c r="D925" s="346" t="s">
        <v>132</v>
      </c>
      <c r="E925" s="346" t="s">
        <v>126</v>
      </c>
      <c r="F925" s="103"/>
      <c r="G925" s="295">
        <f>'Пр.4 ведом.22'!G300</f>
        <v>0</v>
      </c>
    </row>
    <row r="926" spans="1:8" s="128" customFormat="1" ht="47.25" hidden="1" x14ac:dyDescent="0.25">
      <c r="A926" s="29" t="s">
        <v>185</v>
      </c>
      <c r="B926" s="346" t="s">
        <v>612</v>
      </c>
      <c r="C926" s="341" t="s">
        <v>116</v>
      </c>
      <c r="D926" s="341" t="s">
        <v>132</v>
      </c>
      <c r="E926" s="2">
        <v>240</v>
      </c>
      <c r="F926" s="2">
        <v>903</v>
      </c>
      <c r="G926" s="295">
        <f>G925</f>
        <v>0</v>
      </c>
      <c r="H926" s="129"/>
    </row>
    <row r="927" spans="1:8" ht="31.5" hidden="1" x14ac:dyDescent="0.25">
      <c r="A927" s="345" t="s">
        <v>331</v>
      </c>
      <c r="B927" s="346" t="s">
        <v>613</v>
      </c>
      <c r="C927" s="341" t="s">
        <v>116</v>
      </c>
      <c r="D927" s="341" t="s">
        <v>132</v>
      </c>
      <c r="E927" s="2"/>
      <c r="F927" s="103"/>
      <c r="G927" s="295">
        <f t="shared" ref="G927:G928" si="72">G928</f>
        <v>0</v>
      </c>
    </row>
    <row r="928" spans="1:8" ht="31.5" hidden="1" x14ac:dyDescent="0.25">
      <c r="A928" s="345" t="s">
        <v>123</v>
      </c>
      <c r="B928" s="346" t="s">
        <v>613</v>
      </c>
      <c r="C928" s="341" t="s">
        <v>116</v>
      </c>
      <c r="D928" s="341" t="s">
        <v>132</v>
      </c>
      <c r="E928" s="2">
        <v>200</v>
      </c>
      <c r="F928" s="103"/>
      <c r="G928" s="295">
        <f t="shared" si="72"/>
        <v>0</v>
      </c>
    </row>
    <row r="929" spans="1:9" ht="31.5" hidden="1" x14ac:dyDescent="0.25">
      <c r="A929" s="345" t="s">
        <v>125</v>
      </c>
      <c r="B929" s="346" t="s">
        <v>613</v>
      </c>
      <c r="C929" s="341" t="s">
        <v>116</v>
      </c>
      <c r="D929" s="341" t="s">
        <v>132</v>
      </c>
      <c r="E929" s="2">
        <v>240</v>
      </c>
      <c r="F929" s="103"/>
      <c r="G929" s="295">
        <f>'Пр.4 ведом.22'!G303</f>
        <v>0</v>
      </c>
    </row>
    <row r="930" spans="1:9" s="128" customFormat="1" ht="47.25" hidden="1" x14ac:dyDescent="0.25">
      <c r="A930" s="29" t="s">
        <v>185</v>
      </c>
      <c r="B930" s="346" t="s">
        <v>613</v>
      </c>
      <c r="C930" s="341" t="s">
        <v>116</v>
      </c>
      <c r="D930" s="341" t="s">
        <v>132</v>
      </c>
      <c r="E930" s="2">
        <v>240</v>
      </c>
      <c r="F930" s="2">
        <v>903</v>
      </c>
      <c r="G930" s="295">
        <f>G929</f>
        <v>0</v>
      </c>
      <c r="H930" s="129"/>
    </row>
    <row r="931" spans="1:9" ht="31.7" hidden="1" customHeight="1" x14ac:dyDescent="0.25">
      <c r="A931" s="22" t="s">
        <v>350</v>
      </c>
      <c r="B931" s="346" t="s">
        <v>614</v>
      </c>
      <c r="C931" s="346" t="s">
        <v>116</v>
      </c>
      <c r="D931" s="346" t="s">
        <v>132</v>
      </c>
      <c r="E931" s="346"/>
      <c r="F931" s="103"/>
      <c r="G931" s="295">
        <f t="shared" ref="G931:G932" si="73">G932</f>
        <v>0</v>
      </c>
    </row>
    <row r="932" spans="1:9" ht="31.7" hidden="1" customHeight="1" x14ac:dyDescent="0.25">
      <c r="A932" s="345" t="s">
        <v>123</v>
      </c>
      <c r="B932" s="346" t="s">
        <v>614</v>
      </c>
      <c r="C932" s="346" t="s">
        <v>116</v>
      </c>
      <c r="D932" s="346" t="s">
        <v>132</v>
      </c>
      <c r="E932" s="346" t="s">
        <v>124</v>
      </c>
      <c r="F932" s="103"/>
      <c r="G932" s="295">
        <f t="shared" si="73"/>
        <v>0</v>
      </c>
    </row>
    <row r="933" spans="1:9" ht="31.7" hidden="1" customHeight="1" x14ac:dyDescent="0.25">
      <c r="A933" s="345" t="s">
        <v>125</v>
      </c>
      <c r="B933" s="346" t="s">
        <v>614</v>
      </c>
      <c r="C933" s="346" t="s">
        <v>116</v>
      </c>
      <c r="D933" s="346" t="s">
        <v>132</v>
      </c>
      <c r="E933" s="346" t="s">
        <v>126</v>
      </c>
      <c r="F933" s="103"/>
      <c r="G933" s="295">
        <f>'Пр.4 ведом.22'!G306</f>
        <v>0</v>
      </c>
    </row>
    <row r="934" spans="1:9" ht="47.25" hidden="1" x14ac:dyDescent="0.25">
      <c r="A934" s="29" t="s">
        <v>185</v>
      </c>
      <c r="B934" s="346" t="s">
        <v>614</v>
      </c>
      <c r="C934" s="346" t="s">
        <v>116</v>
      </c>
      <c r="D934" s="346" t="s">
        <v>132</v>
      </c>
      <c r="E934" s="346" t="s">
        <v>126</v>
      </c>
      <c r="F934" s="2">
        <v>903</v>
      </c>
      <c r="G934" s="295">
        <f>G933</f>
        <v>0</v>
      </c>
    </row>
    <row r="935" spans="1:9" ht="48.75" customHeight="1" x14ac:dyDescent="0.25">
      <c r="A935" s="340" t="s">
        <v>856</v>
      </c>
      <c r="B935" s="299" t="s">
        <v>339</v>
      </c>
      <c r="C935" s="6"/>
      <c r="D935" s="6"/>
      <c r="E935" s="3"/>
      <c r="F935" s="3"/>
      <c r="G935" s="294">
        <f>G936+G947+G990+G997</f>
        <v>4600.5159999999996</v>
      </c>
      <c r="H935" s="129">
        <v>3292.6</v>
      </c>
      <c r="I935" s="15">
        <f>H935-G935</f>
        <v>-1307.9159999999997</v>
      </c>
    </row>
    <row r="936" spans="1:9" s="128" customFormat="1" ht="48.75" customHeight="1" x14ac:dyDescent="0.25">
      <c r="A936" s="339" t="s">
        <v>420</v>
      </c>
      <c r="B936" s="299" t="s">
        <v>426</v>
      </c>
      <c r="C936" s="6"/>
      <c r="D936" s="6"/>
      <c r="E936" s="3"/>
      <c r="F936" s="3"/>
      <c r="G936" s="294">
        <f>G937</f>
        <v>32</v>
      </c>
      <c r="H936" s="129"/>
      <c r="I936" s="15"/>
    </row>
    <row r="937" spans="1:9" s="74" customFormat="1" ht="15.75" x14ac:dyDescent="0.25">
      <c r="A937" s="20" t="s">
        <v>115</v>
      </c>
      <c r="B937" s="346" t="s">
        <v>426</v>
      </c>
      <c r="C937" s="341" t="s">
        <v>116</v>
      </c>
      <c r="D937" s="341"/>
      <c r="E937" s="2"/>
      <c r="F937" s="2"/>
      <c r="G937" s="295">
        <f t="shared" ref="G937" si="74">G938</f>
        <v>32</v>
      </c>
      <c r="H937" s="131"/>
    </row>
    <row r="938" spans="1:9" s="74" customFormat="1" ht="15.75" x14ac:dyDescent="0.25">
      <c r="A938" s="20" t="s">
        <v>131</v>
      </c>
      <c r="B938" s="346" t="s">
        <v>426</v>
      </c>
      <c r="C938" s="341" t="s">
        <v>116</v>
      </c>
      <c r="D938" s="341" t="s">
        <v>132</v>
      </c>
      <c r="E938" s="2"/>
      <c r="F938" s="2"/>
      <c r="G938" s="295">
        <f>G939+G943</f>
        <v>32</v>
      </c>
      <c r="H938" s="131"/>
    </row>
    <row r="939" spans="1:9" ht="31.5" x14ac:dyDescent="0.25">
      <c r="A939" s="67" t="s">
        <v>353</v>
      </c>
      <c r="B939" s="346" t="s">
        <v>421</v>
      </c>
      <c r="C939" s="341" t="s">
        <v>116</v>
      </c>
      <c r="D939" s="341" t="s">
        <v>132</v>
      </c>
      <c r="E939" s="2"/>
      <c r="F939" s="2"/>
      <c r="G939" s="295">
        <f t="shared" ref="G939:G940" si="75">G940</f>
        <v>26</v>
      </c>
    </row>
    <row r="940" spans="1:9" ht="31.5" x14ac:dyDescent="0.25">
      <c r="A940" s="345" t="s">
        <v>123</v>
      </c>
      <c r="B940" s="346" t="s">
        <v>421</v>
      </c>
      <c r="C940" s="341" t="s">
        <v>116</v>
      </c>
      <c r="D940" s="341" t="s">
        <v>132</v>
      </c>
      <c r="E940" s="2">
        <v>200</v>
      </c>
      <c r="F940" s="2"/>
      <c r="G940" s="295">
        <f t="shared" si="75"/>
        <v>26</v>
      </c>
    </row>
    <row r="941" spans="1:9" ht="31.5" x14ac:dyDescent="0.25">
      <c r="A941" s="345" t="s">
        <v>125</v>
      </c>
      <c r="B941" s="346" t="s">
        <v>421</v>
      </c>
      <c r="C941" s="341" t="s">
        <v>116</v>
      </c>
      <c r="D941" s="341" t="s">
        <v>132</v>
      </c>
      <c r="E941" s="2">
        <v>240</v>
      </c>
      <c r="F941" s="2"/>
      <c r="G941" s="295">
        <f>'Пр.4 ведом.22'!G152</f>
        <v>26</v>
      </c>
    </row>
    <row r="942" spans="1:9" s="128" customFormat="1" ht="19.5" customHeight="1" x14ac:dyDescent="0.25">
      <c r="A942" s="20" t="s">
        <v>137</v>
      </c>
      <c r="B942" s="346" t="s">
        <v>421</v>
      </c>
      <c r="C942" s="341" t="s">
        <v>116</v>
      </c>
      <c r="D942" s="341" t="s">
        <v>132</v>
      </c>
      <c r="E942" s="2">
        <v>240</v>
      </c>
      <c r="F942" s="2">
        <v>902</v>
      </c>
      <c r="G942" s="295">
        <f>G941</f>
        <v>26</v>
      </c>
      <c r="H942" s="129"/>
    </row>
    <row r="943" spans="1:9" s="128" customFormat="1" ht="31.5" x14ac:dyDescent="0.25">
      <c r="A943" s="67" t="s">
        <v>353</v>
      </c>
      <c r="B943" s="346" t="s">
        <v>421</v>
      </c>
      <c r="C943" s="341" t="s">
        <v>116</v>
      </c>
      <c r="D943" s="341" t="s">
        <v>132</v>
      </c>
      <c r="E943" s="2"/>
      <c r="F943" s="2"/>
      <c r="G943" s="295">
        <f>G944</f>
        <v>6</v>
      </c>
      <c r="H943" s="129"/>
    </row>
    <row r="944" spans="1:9" s="128" customFormat="1" ht="31.5" x14ac:dyDescent="0.25">
      <c r="A944" s="345" t="s">
        <v>123</v>
      </c>
      <c r="B944" s="346" t="s">
        <v>421</v>
      </c>
      <c r="C944" s="341" t="s">
        <v>116</v>
      </c>
      <c r="D944" s="341" t="s">
        <v>132</v>
      </c>
      <c r="E944" s="2">
        <v>200</v>
      </c>
      <c r="F944" s="2"/>
      <c r="G944" s="295">
        <f>G945</f>
        <v>6</v>
      </c>
      <c r="H944" s="129"/>
    </row>
    <row r="945" spans="1:14" s="128" customFormat="1" ht="31.5" x14ac:dyDescent="0.25">
      <c r="A945" s="345" t="s">
        <v>125</v>
      </c>
      <c r="B945" s="346" t="s">
        <v>421</v>
      </c>
      <c r="C945" s="341" t="s">
        <v>116</v>
      </c>
      <c r="D945" s="341" t="s">
        <v>132</v>
      </c>
      <c r="E945" s="2">
        <v>240</v>
      </c>
      <c r="F945" s="2"/>
      <c r="G945" s="295">
        <f>'Пр.4 ведом.22'!G311</f>
        <v>6</v>
      </c>
      <c r="H945" s="129"/>
    </row>
    <row r="946" spans="1:14" s="128" customFormat="1" ht="47.25" x14ac:dyDescent="0.25">
      <c r="A946" s="29" t="s">
        <v>185</v>
      </c>
      <c r="B946" s="346" t="s">
        <v>421</v>
      </c>
      <c r="C946" s="341" t="s">
        <v>116</v>
      </c>
      <c r="D946" s="341" t="s">
        <v>132</v>
      </c>
      <c r="E946" s="2">
        <v>240</v>
      </c>
      <c r="F946" s="2">
        <v>903</v>
      </c>
      <c r="G946" s="295">
        <f>G945</f>
        <v>6</v>
      </c>
      <c r="H946" s="129"/>
    </row>
    <row r="947" spans="1:14" s="128" customFormat="1" ht="47.25" x14ac:dyDescent="0.25">
      <c r="A947" s="340" t="s">
        <v>461</v>
      </c>
      <c r="B947" s="299" t="s">
        <v>459</v>
      </c>
      <c r="C947" s="341"/>
      <c r="D947" s="341"/>
      <c r="E947" s="2"/>
      <c r="F947" s="2"/>
      <c r="G947" s="294">
        <f>G948+G968+G978+G984</f>
        <v>4097.616</v>
      </c>
      <c r="H947" s="129"/>
      <c r="K947" s="15"/>
      <c r="N947" s="151"/>
    </row>
    <row r="948" spans="1:14" s="128" customFormat="1" ht="15.75" x14ac:dyDescent="0.25">
      <c r="A948" s="20" t="s">
        <v>186</v>
      </c>
      <c r="B948" s="346" t="s">
        <v>459</v>
      </c>
      <c r="C948" s="341" t="s">
        <v>187</v>
      </c>
      <c r="D948" s="341"/>
      <c r="E948" s="2"/>
      <c r="F948" s="2"/>
      <c r="G948" s="295">
        <f>G949+G955+G959</f>
        <v>2169.116</v>
      </c>
      <c r="H948" s="129"/>
    </row>
    <row r="949" spans="1:14" s="128" customFormat="1" ht="15.75" x14ac:dyDescent="0.25">
      <c r="A949" s="20" t="s">
        <v>236</v>
      </c>
      <c r="B949" s="346" t="s">
        <v>459</v>
      </c>
      <c r="C949" s="341" t="s">
        <v>187</v>
      </c>
      <c r="D949" s="341" t="s">
        <v>116</v>
      </c>
      <c r="E949" s="2"/>
      <c r="F949" s="2"/>
      <c r="G949" s="295">
        <f>G950</f>
        <v>621</v>
      </c>
      <c r="H949" s="129"/>
    </row>
    <row r="950" spans="1:14" s="128" customFormat="1" ht="47.25" x14ac:dyDescent="0.25">
      <c r="A950" s="29" t="s">
        <v>357</v>
      </c>
      <c r="B950" s="346" t="s">
        <v>504</v>
      </c>
      <c r="C950" s="341" t="s">
        <v>187</v>
      </c>
      <c r="D950" s="341" t="s">
        <v>116</v>
      </c>
      <c r="E950" s="2"/>
      <c r="F950" s="2"/>
      <c r="G950" s="295">
        <f>G951</f>
        <v>621</v>
      </c>
      <c r="H950" s="129"/>
      <c r="N950" s="151"/>
    </row>
    <row r="951" spans="1:14" s="128" customFormat="1" ht="31.5" x14ac:dyDescent="0.25">
      <c r="A951" s="20" t="s">
        <v>191</v>
      </c>
      <c r="B951" s="346" t="s">
        <v>504</v>
      </c>
      <c r="C951" s="341" t="s">
        <v>187</v>
      </c>
      <c r="D951" s="341" t="s">
        <v>116</v>
      </c>
      <c r="E951" s="2">
        <v>600</v>
      </c>
      <c r="F951" s="2"/>
      <c r="G951" s="295">
        <f>G952</f>
        <v>621</v>
      </c>
      <c r="H951" s="129"/>
    </row>
    <row r="952" spans="1:14" s="128" customFormat="1" ht="15.75" x14ac:dyDescent="0.25">
      <c r="A952" s="108" t="s">
        <v>193</v>
      </c>
      <c r="B952" s="346" t="s">
        <v>504</v>
      </c>
      <c r="C952" s="341" t="s">
        <v>187</v>
      </c>
      <c r="D952" s="341" t="s">
        <v>116</v>
      </c>
      <c r="E952" s="2">
        <v>610</v>
      </c>
      <c r="F952" s="2"/>
      <c r="G952" s="295">
        <f>'Пр.4 ведом.22'!G752</f>
        <v>621</v>
      </c>
      <c r="H952" s="129"/>
    </row>
    <row r="953" spans="1:14" s="128" customFormat="1" ht="31.5" x14ac:dyDescent="0.25">
      <c r="A953" s="20" t="s">
        <v>235</v>
      </c>
      <c r="B953" s="346" t="s">
        <v>504</v>
      </c>
      <c r="C953" s="341" t="s">
        <v>187</v>
      </c>
      <c r="D953" s="341" t="s">
        <v>116</v>
      </c>
      <c r="E953" s="2">
        <v>610</v>
      </c>
      <c r="F953" s="2">
        <v>906</v>
      </c>
      <c r="G953" s="295">
        <f>G952</f>
        <v>621</v>
      </c>
      <c r="H953" s="129"/>
    </row>
    <row r="954" spans="1:14" s="128" customFormat="1" ht="15.75" x14ac:dyDescent="0.25">
      <c r="A954" s="29" t="s">
        <v>239</v>
      </c>
      <c r="B954" s="346" t="s">
        <v>459</v>
      </c>
      <c r="C954" s="341" t="s">
        <v>187</v>
      </c>
      <c r="D954" s="341" t="s">
        <v>158</v>
      </c>
      <c r="E954" s="2"/>
      <c r="F954" s="2"/>
      <c r="G954" s="295">
        <f>G955</f>
        <v>929.91600000000005</v>
      </c>
      <c r="H954" s="129"/>
    </row>
    <row r="955" spans="1:14" s="128" customFormat="1" ht="47.25" x14ac:dyDescent="0.25">
      <c r="A955" s="29" t="s">
        <v>357</v>
      </c>
      <c r="B955" s="346" t="s">
        <v>504</v>
      </c>
      <c r="C955" s="341" t="s">
        <v>187</v>
      </c>
      <c r="D955" s="341" t="s">
        <v>158</v>
      </c>
      <c r="E955" s="2"/>
      <c r="F955" s="2"/>
      <c r="G955" s="295">
        <f>G956</f>
        <v>929.91600000000005</v>
      </c>
      <c r="H955" s="129"/>
    </row>
    <row r="956" spans="1:14" s="128" customFormat="1" ht="31.5" x14ac:dyDescent="0.25">
      <c r="A956" s="20" t="s">
        <v>191</v>
      </c>
      <c r="B956" s="346" t="s">
        <v>504</v>
      </c>
      <c r="C956" s="341" t="s">
        <v>187</v>
      </c>
      <c r="D956" s="341" t="s">
        <v>158</v>
      </c>
      <c r="E956" s="2">
        <v>600</v>
      </c>
      <c r="F956" s="2"/>
      <c r="G956" s="295">
        <f>G957</f>
        <v>929.91600000000005</v>
      </c>
      <c r="H956" s="129"/>
    </row>
    <row r="957" spans="1:14" s="128" customFormat="1" ht="15.75" x14ac:dyDescent="0.25">
      <c r="A957" s="108" t="s">
        <v>193</v>
      </c>
      <c r="B957" s="346" t="s">
        <v>504</v>
      </c>
      <c r="C957" s="341" t="s">
        <v>187</v>
      </c>
      <c r="D957" s="341" t="s">
        <v>158</v>
      </c>
      <c r="E957" s="2">
        <v>610</v>
      </c>
      <c r="F957" s="2"/>
      <c r="G957" s="295">
        <f>'Пр.4 ведом.22'!G844</f>
        <v>929.91600000000005</v>
      </c>
      <c r="H957" s="129"/>
    </row>
    <row r="958" spans="1:14" s="128" customFormat="1" ht="31.5" x14ac:dyDescent="0.25">
      <c r="A958" s="20" t="s">
        <v>235</v>
      </c>
      <c r="B958" s="346" t="s">
        <v>504</v>
      </c>
      <c r="C958" s="341" t="s">
        <v>187</v>
      </c>
      <c r="D958" s="341" t="s">
        <v>158</v>
      </c>
      <c r="E958" s="2">
        <v>610</v>
      </c>
      <c r="F958" s="2">
        <v>906</v>
      </c>
      <c r="G958" s="295">
        <f>G957</f>
        <v>929.91600000000005</v>
      </c>
      <c r="H958" s="129"/>
    </row>
    <row r="959" spans="1:14" s="128" customFormat="1" ht="15.75" x14ac:dyDescent="0.25">
      <c r="A959" s="29" t="s">
        <v>188</v>
      </c>
      <c r="B959" s="346" t="s">
        <v>459</v>
      </c>
      <c r="C959" s="341" t="s">
        <v>187</v>
      </c>
      <c r="D959" s="341" t="s">
        <v>159</v>
      </c>
      <c r="E959" s="2"/>
      <c r="F959" s="2"/>
      <c r="G959" s="295">
        <f>G964+G960</f>
        <v>618.19999999999993</v>
      </c>
      <c r="H959" s="129"/>
    </row>
    <row r="960" spans="1:14" s="128" customFormat="1" ht="31.5" x14ac:dyDescent="0.25">
      <c r="A960" s="67" t="s">
        <v>565</v>
      </c>
      <c r="B960" s="346" t="s">
        <v>460</v>
      </c>
      <c r="C960" s="341" t="s">
        <v>187</v>
      </c>
      <c r="D960" s="341" t="s">
        <v>159</v>
      </c>
      <c r="E960" s="2"/>
      <c r="F960" s="2"/>
      <c r="G960" s="295">
        <f>G961</f>
        <v>315.79999999999995</v>
      </c>
      <c r="H960" s="129"/>
    </row>
    <row r="961" spans="1:8" s="128" customFormat="1" ht="31.5" x14ac:dyDescent="0.25">
      <c r="A961" s="345" t="s">
        <v>123</v>
      </c>
      <c r="B961" s="346" t="s">
        <v>460</v>
      </c>
      <c r="C961" s="341" t="s">
        <v>187</v>
      </c>
      <c r="D961" s="341" t="s">
        <v>159</v>
      </c>
      <c r="E961" s="2">
        <v>200</v>
      </c>
      <c r="F961" s="2"/>
      <c r="G961" s="295">
        <f>G962</f>
        <v>315.79999999999995</v>
      </c>
      <c r="H961" s="129"/>
    </row>
    <row r="962" spans="1:8" s="128" customFormat="1" ht="31.5" x14ac:dyDescent="0.25">
      <c r="A962" s="345" t="s">
        <v>125</v>
      </c>
      <c r="B962" s="346" t="s">
        <v>460</v>
      </c>
      <c r="C962" s="341" t="s">
        <v>187</v>
      </c>
      <c r="D962" s="341" t="s">
        <v>159</v>
      </c>
      <c r="E962" s="2">
        <v>240</v>
      </c>
      <c r="F962" s="2"/>
      <c r="G962" s="295">
        <f>'Пр.4 ведом.22'!G375</f>
        <v>315.79999999999995</v>
      </c>
      <c r="H962" s="129"/>
    </row>
    <row r="963" spans="1:8" s="128" customFormat="1" ht="47.25" x14ac:dyDescent="0.25">
      <c r="A963" s="29" t="s">
        <v>185</v>
      </c>
      <c r="B963" s="346" t="s">
        <v>460</v>
      </c>
      <c r="C963" s="341" t="s">
        <v>187</v>
      </c>
      <c r="D963" s="341" t="s">
        <v>159</v>
      </c>
      <c r="E963" s="2">
        <v>240</v>
      </c>
      <c r="F963" s="2">
        <v>903</v>
      </c>
      <c r="G963" s="295">
        <f>G962</f>
        <v>315.79999999999995</v>
      </c>
      <c r="H963" s="129"/>
    </row>
    <row r="964" spans="1:8" s="128" customFormat="1" ht="47.25" x14ac:dyDescent="0.25">
      <c r="A964" s="29" t="s">
        <v>357</v>
      </c>
      <c r="B964" s="346" t="s">
        <v>504</v>
      </c>
      <c r="C964" s="341" t="s">
        <v>187</v>
      </c>
      <c r="D964" s="341" t="s">
        <v>159</v>
      </c>
      <c r="E964" s="2"/>
      <c r="F964" s="2"/>
      <c r="G964" s="295">
        <f>G965</f>
        <v>302.39999999999998</v>
      </c>
      <c r="H964" s="129"/>
    </row>
    <row r="965" spans="1:8" s="128" customFormat="1" ht="31.5" x14ac:dyDescent="0.25">
      <c r="A965" s="20" t="s">
        <v>191</v>
      </c>
      <c r="B965" s="346" t="s">
        <v>504</v>
      </c>
      <c r="C965" s="341" t="s">
        <v>187</v>
      </c>
      <c r="D965" s="341" t="s">
        <v>159</v>
      </c>
      <c r="E965" s="2">
        <v>600</v>
      </c>
      <c r="F965" s="2"/>
      <c r="G965" s="295">
        <f>G966</f>
        <v>302.39999999999998</v>
      </c>
      <c r="H965" s="129"/>
    </row>
    <row r="966" spans="1:8" s="128" customFormat="1" ht="15.75" x14ac:dyDescent="0.25">
      <c r="A966" s="108" t="s">
        <v>193</v>
      </c>
      <c r="B966" s="346" t="s">
        <v>504</v>
      </c>
      <c r="C966" s="341" t="s">
        <v>187</v>
      </c>
      <c r="D966" s="341" t="s">
        <v>159</v>
      </c>
      <c r="E966" s="2">
        <v>610</v>
      </c>
      <c r="F966" s="2"/>
      <c r="G966" s="295">
        <f>'Пр.4 ведом.22'!G877</f>
        <v>302.39999999999998</v>
      </c>
      <c r="H966" s="129"/>
    </row>
    <row r="967" spans="1:8" s="128" customFormat="1" ht="31.5" x14ac:dyDescent="0.25">
      <c r="A967" s="20" t="s">
        <v>235</v>
      </c>
      <c r="B967" s="346" t="s">
        <v>504</v>
      </c>
      <c r="C967" s="341" t="s">
        <v>187</v>
      </c>
      <c r="D967" s="341" t="s">
        <v>159</v>
      </c>
      <c r="E967" s="2">
        <v>610</v>
      </c>
      <c r="F967" s="2">
        <v>906</v>
      </c>
      <c r="G967" s="295">
        <f>G966</f>
        <v>302.39999999999998</v>
      </c>
      <c r="H967" s="129"/>
    </row>
    <row r="968" spans="1:8" s="128" customFormat="1" ht="15.75" x14ac:dyDescent="0.25">
      <c r="A968" s="345" t="s">
        <v>202</v>
      </c>
      <c r="B968" s="346" t="s">
        <v>459</v>
      </c>
      <c r="C968" s="341" t="s">
        <v>203</v>
      </c>
      <c r="D968" s="341"/>
      <c r="E968" s="2"/>
      <c r="F968" s="2"/>
      <c r="G968" s="295">
        <f>G969</f>
        <v>1271.4000000000001</v>
      </c>
      <c r="H968" s="129"/>
    </row>
    <row r="969" spans="1:8" s="128" customFormat="1" ht="15.75" x14ac:dyDescent="0.25">
      <c r="A969" s="345" t="s">
        <v>204</v>
      </c>
      <c r="B969" s="346" t="s">
        <v>459</v>
      </c>
      <c r="C969" s="341" t="s">
        <v>203</v>
      </c>
      <c r="D969" s="341" t="s">
        <v>116</v>
      </c>
      <c r="E969" s="2"/>
      <c r="F969" s="2"/>
      <c r="G969" s="295">
        <f>G970+G974</f>
        <v>1271.4000000000001</v>
      </c>
      <c r="H969" s="129"/>
    </row>
    <row r="970" spans="1:8" s="128" customFormat="1" ht="31.5" x14ac:dyDescent="0.25">
      <c r="A970" s="29" t="s">
        <v>355</v>
      </c>
      <c r="B970" s="346" t="s">
        <v>460</v>
      </c>
      <c r="C970" s="341" t="s">
        <v>203</v>
      </c>
      <c r="D970" s="341" t="s">
        <v>116</v>
      </c>
      <c r="E970" s="2"/>
      <c r="F970" s="2"/>
      <c r="G970" s="295">
        <f>G971</f>
        <v>869.50000000000011</v>
      </c>
      <c r="H970" s="129"/>
    </row>
    <row r="971" spans="1:8" s="128" customFormat="1" ht="31.5" x14ac:dyDescent="0.25">
      <c r="A971" s="345" t="s">
        <v>123</v>
      </c>
      <c r="B971" s="346" t="s">
        <v>460</v>
      </c>
      <c r="C971" s="341" t="s">
        <v>203</v>
      </c>
      <c r="D971" s="341" t="s">
        <v>116</v>
      </c>
      <c r="E971" s="2">
        <v>200</v>
      </c>
      <c r="F971" s="2"/>
      <c r="G971" s="295">
        <f>G972</f>
        <v>869.50000000000011</v>
      </c>
      <c r="H971" s="129"/>
    </row>
    <row r="972" spans="1:8" s="128" customFormat="1" ht="31.5" x14ac:dyDescent="0.25">
      <c r="A972" s="345" t="s">
        <v>125</v>
      </c>
      <c r="B972" s="346" t="s">
        <v>460</v>
      </c>
      <c r="C972" s="341" t="s">
        <v>203</v>
      </c>
      <c r="D972" s="341" t="s">
        <v>116</v>
      </c>
      <c r="E972" s="2">
        <v>240</v>
      </c>
      <c r="F972" s="2"/>
      <c r="G972" s="295">
        <f>'Пр.4 ведом.22'!G503</f>
        <v>869.50000000000011</v>
      </c>
      <c r="H972" s="129"/>
    </row>
    <row r="973" spans="1:8" s="128" customFormat="1" ht="47.25" x14ac:dyDescent="0.25">
      <c r="A973" s="29" t="s">
        <v>185</v>
      </c>
      <c r="B973" s="346" t="s">
        <v>460</v>
      </c>
      <c r="C973" s="341" t="s">
        <v>203</v>
      </c>
      <c r="D973" s="341" t="s">
        <v>116</v>
      </c>
      <c r="E973" s="2">
        <v>240</v>
      </c>
      <c r="F973" s="2">
        <v>903</v>
      </c>
      <c r="G973" s="295">
        <f>G972</f>
        <v>869.50000000000011</v>
      </c>
      <c r="H973" s="129"/>
    </row>
    <row r="974" spans="1:8" s="343" customFormat="1" ht="47.25" x14ac:dyDescent="0.25">
      <c r="A974" s="345" t="s">
        <v>357</v>
      </c>
      <c r="B974" s="346" t="s">
        <v>504</v>
      </c>
      <c r="C974" s="341" t="s">
        <v>203</v>
      </c>
      <c r="D974" s="341" t="s">
        <v>116</v>
      </c>
      <c r="E974" s="2"/>
      <c r="F974" s="2"/>
      <c r="G974" s="295">
        <f>G975</f>
        <v>401.9</v>
      </c>
      <c r="H974" s="344"/>
    </row>
    <row r="975" spans="1:8" s="343" customFormat="1" ht="31.5" x14ac:dyDescent="0.25">
      <c r="A975" s="345" t="s">
        <v>191</v>
      </c>
      <c r="B975" s="346" t="s">
        <v>504</v>
      </c>
      <c r="C975" s="341" t="s">
        <v>203</v>
      </c>
      <c r="D975" s="341" t="s">
        <v>116</v>
      </c>
      <c r="E975" s="2">
        <v>600</v>
      </c>
      <c r="F975" s="2"/>
      <c r="G975" s="295">
        <f>G976</f>
        <v>401.9</v>
      </c>
      <c r="H975" s="344"/>
    </row>
    <row r="976" spans="1:8" s="343" customFormat="1" ht="15.75" x14ac:dyDescent="0.25">
      <c r="A976" s="345" t="s">
        <v>193</v>
      </c>
      <c r="B976" s="346" t="s">
        <v>504</v>
      </c>
      <c r="C976" s="341" t="s">
        <v>203</v>
      </c>
      <c r="D976" s="341" t="s">
        <v>116</v>
      </c>
      <c r="E976" s="2">
        <v>610</v>
      </c>
      <c r="F976" s="2"/>
      <c r="G976" s="295">
        <f>'Пр.4 ведом.22'!G506</f>
        <v>401.9</v>
      </c>
      <c r="H976" s="344"/>
    </row>
    <row r="977" spans="1:8" s="343" customFormat="1" ht="47.25" x14ac:dyDescent="0.25">
      <c r="A977" s="29" t="s">
        <v>185</v>
      </c>
      <c r="B977" s="346" t="s">
        <v>504</v>
      </c>
      <c r="C977" s="341" t="s">
        <v>203</v>
      </c>
      <c r="D977" s="341" t="s">
        <v>116</v>
      </c>
      <c r="E977" s="2">
        <v>610</v>
      </c>
      <c r="F977" s="2">
        <v>903</v>
      </c>
      <c r="G977" s="295">
        <f>G976</f>
        <v>401.9</v>
      </c>
      <c r="H977" s="344"/>
    </row>
    <row r="978" spans="1:8" s="128" customFormat="1" ht="15.75" x14ac:dyDescent="0.25">
      <c r="A978" s="345" t="s">
        <v>250</v>
      </c>
      <c r="B978" s="346" t="s">
        <v>459</v>
      </c>
      <c r="C978" s="341" t="s">
        <v>251</v>
      </c>
      <c r="D978" s="341"/>
      <c r="E978" s="2"/>
      <c r="F978" s="2"/>
      <c r="G978" s="295">
        <f>G979</f>
        <v>579.1</v>
      </c>
      <c r="H978" s="129"/>
    </row>
    <row r="979" spans="1:8" s="128" customFormat="1" ht="15.75" x14ac:dyDescent="0.25">
      <c r="A979" s="345" t="s">
        <v>630</v>
      </c>
      <c r="B979" s="346" t="s">
        <v>459</v>
      </c>
      <c r="C979" s="341" t="s">
        <v>251</v>
      </c>
      <c r="D979" s="341" t="s">
        <v>116</v>
      </c>
      <c r="E979" s="2"/>
      <c r="F979" s="2"/>
      <c r="G979" s="295">
        <f>G980</f>
        <v>579.1</v>
      </c>
      <c r="H979" s="129"/>
    </row>
    <row r="980" spans="1:8" s="128" customFormat="1" ht="47.25" x14ac:dyDescent="0.25">
      <c r="A980" s="29" t="s">
        <v>357</v>
      </c>
      <c r="B980" s="346" t="s">
        <v>504</v>
      </c>
      <c r="C980" s="341" t="s">
        <v>251</v>
      </c>
      <c r="D980" s="341" t="s">
        <v>116</v>
      </c>
      <c r="E980" s="2"/>
      <c r="F980" s="2"/>
      <c r="G980" s="295">
        <f>G981</f>
        <v>579.1</v>
      </c>
      <c r="H980" s="129"/>
    </row>
    <row r="981" spans="1:8" s="128" customFormat="1" ht="31.5" x14ac:dyDescent="0.25">
      <c r="A981" s="20" t="s">
        <v>191</v>
      </c>
      <c r="B981" s="346" t="s">
        <v>504</v>
      </c>
      <c r="C981" s="341" t="s">
        <v>251</v>
      </c>
      <c r="D981" s="341" t="s">
        <v>116</v>
      </c>
      <c r="E981" s="2">
        <v>600</v>
      </c>
      <c r="F981" s="2"/>
      <c r="G981" s="295">
        <f>G982</f>
        <v>579.1</v>
      </c>
      <c r="H981" s="129"/>
    </row>
    <row r="982" spans="1:8" s="128" customFormat="1" ht="15.75" x14ac:dyDescent="0.25">
      <c r="A982" s="108" t="s">
        <v>193</v>
      </c>
      <c r="B982" s="346" t="s">
        <v>504</v>
      </c>
      <c r="C982" s="341" t="s">
        <v>251</v>
      </c>
      <c r="D982" s="341" t="s">
        <v>116</v>
      </c>
      <c r="E982" s="2">
        <v>610</v>
      </c>
      <c r="F982" s="2"/>
      <c r="G982" s="295">
        <f>'Пр.4 ведом.22'!G996</f>
        <v>579.1</v>
      </c>
      <c r="H982" s="129"/>
    </row>
    <row r="983" spans="1:8" s="128" customFormat="1" ht="31.5" x14ac:dyDescent="0.25">
      <c r="A983" s="29" t="s">
        <v>248</v>
      </c>
      <c r="B983" s="346" t="s">
        <v>504</v>
      </c>
      <c r="C983" s="341" t="s">
        <v>251</v>
      </c>
      <c r="D983" s="341" t="s">
        <v>116</v>
      </c>
      <c r="E983" s="2">
        <v>610</v>
      </c>
      <c r="F983" s="2">
        <v>907</v>
      </c>
      <c r="G983" s="295">
        <f>G982</f>
        <v>579.1</v>
      </c>
      <c r="H983" s="129"/>
    </row>
    <row r="984" spans="1:8" s="128" customFormat="1" ht="15.75" x14ac:dyDescent="0.25">
      <c r="A984" s="20" t="s">
        <v>288</v>
      </c>
      <c r="B984" s="346" t="s">
        <v>459</v>
      </c>
      <c r="C984" s="341" t="s">
        <v>171</v>
      </c>
      <c r="D984" s="341"/>
      <c r="E984" s="2"/>
      <c r="F984" s="2"/>
      <c r="G984" s="295">
        <f>G985</f>
        <v>78</v>
      </c>
      <c r="H984" s="129"/>
    </row>
    <row r="985" spans="1:8" s="128" customFormat="1" ht="15.75" x14ac:dyDescent="0.25">
      <c r="A985" s="20" t="s">
        <v>289</v>
      </c>
      <c r="B985" s="346" t="s">
        <v>459</v>
      </c>
      <c r="C985" s="341" t="s">
        <v>171</v>
      </c>
      <c r="D985" s="341" t="s">
        <v>158</v>
      </c>
      <c r="E985" s="2"/>
      <c r="F985" s="2"/>
      <c r="G985" s="295">
        <f>G986</f>
        <v>78</v>
      </c>
      <c r="H985" s="129"/>
    </row>
    <row r="986" spans="1:8" s="128" customFormat="1" ht="31.5" x14ac:dyDescent="0.25">
      <c r="A986" s="29" t="s">
        <v>355</v>
      </c>
      <c r="B986" s="346" t="s">
        <v>460</v>
      </c>
      <c r="C986" s="341" t="s">
        <v>171</v>
      </c>
      <c r="D986" s="341" t="s">
        <v>158</v>
      </c>
      <c r="E986" s="2"/>
      <c r="F986" s="2"/>
      <c r="G986" s="295">
        <f>G987</f>
        <v>78</v>
      </c>
      <c r="H986" s="129"/>
    </row>
    <row r="987" spans="1:8" s="128" customFormat="1" ht="31.5" x14ac:dyDescent="0.25">
      <c r="A987" s="345" t="s">
        <v>123</v>
      </c>
      <c r="B987" s="346" t="s">
        <v>460</v>
      </c>
      <c r="C987" s="341" t="s">
        <v>171</v>
      </c>
      <c r="D987" s="341" t="s">
        <v>158</v>
      </c>
      <c r="E987" s="2">
        <v>200</v>
      </c>
      <c r="F987" s="2"/>
      <c r="G987" s="295">
        <f>G988</f>
        <v>78</v>
      </c>
      <c r="H987" s="129"/>
    </row>
    <row r="988" spans="1:8" s="128" customFormat="1" ht="31.5" x14ac:dyDescent="0.25">
      <c r="A988" s="345" t="s">
        <v>125</v>
      </c>
      <c r="B988" s="346" t="s">
        <v>460</v>
      </c>
      <c r="C988" s="341" t="s">
        <v>171</v>
      </c>
      <c r="D988" s="341" t="s">
        <v>158</v>
      </c>
      <c r="E988" s="2">
        <v>240</v>
      </c>
      <c r="F988" s="2"/>
      <c r="G988" s="295">
        <f>'Пр.4 ведом.22'!G596</f>
        <v>78</v>
      </c>
      <c r="H988" s="129"/>
    </row>
    <row r="989" spans="1:8" s="128" customFormat="1" ht="47.25" x14ac:dyDescent="0.25">
      <c r="A989" s="29" t="s">
        <v>185</v>
      </c>
      <c r="B989" s="346" t="s">
        <v>460</v>
      </c>
      <c r="C989" s="341" t="s">
        <v>171</v>
      </c>
      <c r="D989" s="341" t="s">
        <v>158</v>
      </c>
      <c r="E989" s="2">
        <v>240</v>
      </c>
      <c r="F989" s="2">
        <v>903</v>
      </c>
      <c r="G989" s="295">
        <f>G986</f>
        <v>78</v>
      </c>
      <c r="H989" s="129"/>
    </row>
    <row r="990" spans="1:8" s="128" customFormat="1" ht="31.5" x14ac:dyDescent="0.25">
      <c r="A990" s="303" t="s">
        <v>584</v>
      </c>
      <c r="B990" s="299" t="s">
        <v>427</v>
      </c>
      <c r="C990" s="6"/>
      <c r="D990" s="6"/>
      <c r="E990" s="3"/>
      <c r="F990" s="3"/>
      <c r="G990" s="294">
        <f>G991</f>
        <v>15</v>
      </c>
      <c r="H990" s="129"/>
    </row>
    <row r="991" spans="1:8" s="128" customFormat="1" ht="15.75" x14ac:dyDescent="0.25">
      <c r="A991" s="144" t="s">
        <v>115</v>
      </c>
      <c r="B991" s="346" t="s">
        <v>427</v>
      </c>
      <c r="C991" s="341" t="s">
        <v>116</v>
      </c>
      <c r="D991" s="341"/>
      <c r="E991" s="2"/>
      <c r="F991" s="2"/>
      <c r="G991" s="295">
        <f>G992</f>
        <v>15</v>
      </c>
      <c r="H991" s="129"/>
    </row>
    <row r="992" spans="1:8" s="128" customFormat="1" ht="15.75" x14ac:dyDescent="0.25">
      <c r="A992" s="144" t="s">
        <v>131</v>
      </c>
      <c r="B992" s="346" t="s">
        <v>427</v>
      </c>
      <c r="C992" s="341" t="s">
        <v>116</v>
      </c>
      <c r="D992" s="341" t="s">
        <v>132</v>
      </c>
      <c r="E992" s="2"/>
      <c r="F992" s="2"/>
      <c r="G992" s="295">
        <f>G993</f>
        <v>15</v>
      </c>
      <c r="H992" s="129"/>
    </row>
    <row r="993" spans="1:8" ht="47.25" x14ac:dyDescent="0.25">
      <c r="A993" s="168" t="s">
        <v>566</v>
      </c>
      <c r="B993" s="346" t="s">
        <v>422</v>
      </c>
      <c r="C993" s="341" t="s">
        <v>116</v>
      </c>
      <c r="D993" s="341" t="s">
        <v>132</v>
      </c>
      <c r="E993" s="2"/>
      <c r="F993" s="2"/>
      <c r="G993" s="295">
        <f t="shared" ref="G993:G994" si="76">G994</f>
        <v>15</v>
      </c>
    </row>
    <row r="994" spans="1:8" ht="31.5" x14ac:dyDescent="0.25">
      <c r="A994" s="345" t="s">
        <v>123</v>
      </c>
      <c r="B994" s="346" t="s">
        <v>422</v>
      </c>
      <c r="C994" s="341" t="s">
        <v>116</v>
      </c>
      <c r="D994" s="341" t="s">
        <v>132</v>
      </c>
      <c r="E994" s="2">
        <v>200</v>
      </c>
      <c r="F994" s="2"/>
      <c r="G994" s="295">
        <f t="shared" si="76"/>
        <v>15</v>
      </c>
    </row>
    <row r="995" spans="1:8" ht="31.5" x14ac:dyDescent="0.25">
      <c r="A995" s="345" t="s">
        <v>125</v>
      </c>
      <c r="B995" s="346" t="s">
        <v>422</v>
      </c>
      <c r="C995" s="341" t="s">
        <v>116</v>
      </c>
      <c r="D995" s="341" t="s">
        <v>132</v>
      </c>
      <c r="E995" s="2">
        <v>240</v>
      </c>
      <c r="F995" s="2"/>
      <c r="G995" s="295">
        <f>'Пр.4 ведом.22'!G156</f>
        <v>15</v>
      </c>
    </row>
    <row r="996" spans="1:8" ht="20.25" customHeight="1" x14ac:dyDescent="0.25">
      <c r="A996" s="20" t="s">
        <v>137</v>
      </c>
      <c r="B996" s="346" t="s">
        <v>422</v>
      </c>
      <c r="C996" s="341" t="s">
        <v>116</v>
      </c>
      <c r="D996" s="341" t="s">
        <v>132</v>
      </c>
      <c r="E996" s="2">
        <v>240</v>
      </c>
      <c r="F996" s="2">
        <v>902</v>
      </c>
      <c r="G996" s="295">
        <f>G995</f>
        <v>15</v>
      </c>
    </row>
    <row r="997" spans="1:8" s="280" customFormat="1" ht="33" customHeight="1" x14ac:dyDescent="0.25">
      <c r="A997" s="298" t="s">
        <v>1027</v>
      </c>
      <c r="B997" s="299" t="s">
        <v>1028</v>
      </c>
      <c r="C997" s="6"/>
      <c r="D997" s="6"/>
      <c r="E997" s="3"/>
      <c r="F997" s="3"/>
      <c r="G997" s="294">
        <f>G998</f>
        <v>455.90000000000003</v>
      </c>
      <c r="H997" s="129"/>
    </row>
    <row r="998" spans="1:8" s="280" customFormat="1" ht="15.75" x14ac:dyDescent="0.25">
      <c r="A998" s="345" t="s">
        <v>173</v>
      </c>
      <c r="B998" s="346" t="s">
        <v>1028</v>
      </c>
      <c r="C998" s="341" t="s">
        <v>174</v>
      </c>
      <c r="D998" s="341"/>
      <c r="E998" s="2"/>
      <c r="F998" s="2"/>
      <c r="G998" s="295">
        <f>G999</f>
        <v>455.90000000000003</v>
      </c>
      <c r="H998" s="129"/>
    </row>
    <row r="999" spans="1:8" s="280" customFormat="1" ht="15.75" x14ac:dyDescent="0.25">
      <c r="A999" s="345" t="s">
        <v>183</v>
      </c>
      <c r="B999" s="346" t="s">
        <v>1028</v>
      </c>
      <c r="C999" s="341" t="s">
        <v>174</v>
      </c>
      <c r="D999" s="341" t="s">
        <v>118</v>
      </c>
      <c r="E999" s="2"/>
      <c r="F999" s="2"/>
      <c r="G999" s="295">
        <f>G1000+G1004</f>
        <v>455.90000000000003</v>
      </c>
      <c r="H999" s="129"/>
    </row>
    <row r="1000" spans="1:8" s="280" customFormat="1" ht="20.25" hidden="1" customHeight="1" x14ac:dyDescent="0.25">
      <c r="A1000" s="345" t="s">
        <v>165</v>
      </c>
      <c r="B1000" s="346" t="s">
        <v>1029</v>
      </c>
      <c r="C1000" s="341" t="s">
        <v>159</v>
      </c>
      <c r="D1000" s="341" t="s">
        <v>174</v>
      </c>
      <c r="E1000" s="2"/>
      <c r="F1000" s="2"/>
      <c r="G1000" s="295">
        <f>G1001</f>
        <v>0</v>
      </c>
      <c r="H1000" s="129"/>
    </row>
    <row r="1001" spans="1:8" s="280" customFormat="1" ht="31.5" hidden="1" x14ac:dyDescent="0.25">
      <c r="A1001" s="345" t="s">
        <v>123</v>
      </c>
      <c r="B1001" s="346" t="s">
        <v>1029</v>
      </c>
      <c r="C1001" s="341" t="s">
        <v>159</v>
      </c>
      <c r="D1001" s="341" t="s">
        <v>174</v>
      </c>
      <c r="E1001" s="2">
        <v>200</v>
      </c>
      <c r="F1001" s="2"/>
      <c r="G1001" s="295">
        <f>G1002</f>
        <v>0</v>
      </c>
      <c r="H1001" s="129"/>
    </row>
    <row r="1002" spans="1:8" s="280" customFormat="1" ht="31.5" hidden="1" x14ac:dyDescent="0.25">
      <c r="A1002" s="345" t="s">
        <v>125</v>
      </c>
      <c r="B1002" s="346" t="s">
        <v>1029</v>
      </c>
      <c r="C1002" s="341" t="s">
        <v>159</v>
      </c>
      <c r="D1002" s="341" t="s">
        <v>174</v>
      </c>
      <c r="E1002" s="2">
        <v>240</v>
      </c>
      <c r="F1002" s="2"/>
      <c r="G1002" s="295">
        <f>'Пр.4 ведом.22'!G215</f>
        <v>0</v>
      </c>
      <c r="H1002" s="129"/>
    </row>
    <row r="1003" spans="1:8" s="280" customFormat="1" ht="15.75" hidden="1" x14ac:dyDescent="0.25">
      <c r="A1003" s="20" t="s">
        <v>137</v>
      </c>
      <c r="B1003" s="346" t="s">
        <v>1029</v>
      </c>
      <c r="C1003" s="341" t="s">
        <v>159</v>
      </c>
      <c r="D1003" s="341" t="s">
        <v>174</v>
      </c>
      <c r="E1003" s="2">
        <v>240</v>
      </c>
      <c r="F1003" s="2">
        <v>902</v>
      </c>
      <c r="G1003" s="295">
        <f>G1002</f>
        <v>0</v>
      </c>
      <c r="H1003" s="129"/>
    </row>
    <row r="1004" spans="1:8" s="293" customFormat="1" ht="47.25" x14ac:dyDescent="0.25">
      <c r="A1004" s="345" t="s">
        <v>1338</v>
      </c>
      <c r="B1004" s="346" t="s">
        <v>1063</v>
      </c>
      <c r="C1004" s="341" t="s">
        <v>174</v>
      </c>
      <c r="D1004" s="341" t="s">
        <v>118</v>
      </c>
      <c r="E1004" s="2"/>
      <c r="F1004" s="2"/>
      <c r="G1004" s="295">
        <f>G1008+G1005</f>
        <v>455.90000000000003</v>
      </c>
      <c r="H1004" s="129"/>
    </row>
    <row r="1005" spans="1:8" s="343" customFormat="1" ht="15.75" x14ac:dyDescent="0.25">
      <c r="A1005" s="345" t="s">
        <v>177</v>
      </c>
      <c r="B1005" s="346" t="s">
        <v>1063</v>
      </c>
      <c r="C1005" s="341" t="s">
        <v>174</v>
      </c>
      <c r="D1005" s="341" t="s">
        <v>118</v>
      </c>
      <c r="E1005" s="2">
        <v>300</v>
      </c>
      <c r="F1005" s="2"/>
      <c r="G1005" s="295">
        <f>G1006</f>
        <v>455.90000000000003</v>
      </c>
      <c r="H1005" s="344"/>
    </row>
    <row r="1006" spans="1:8" s="343" customFormat="1" ht="31.5" x14ac:dyDescent="0.25">
      <c r="A1006" s="345" t="s">
        <v>179</v>
      </c>
      <c r="B1006" s="346" t="s">
        <v>1063</v>
      </c>
      <c r="C1006" s="341" t="s">
        <v>174</v>
      </c>
      <c r="D1006" s="341" t="s">
        <v>118</v>
      </c>
      <c r="E1006" s="2">
        <v>320</v>
      </c>
      <c r="F1006" s="2"/>
      <c r="G1006" s="295">
        <f>'Пр.4 ведом.22'!G274</f>
        <v>455.90000000000003</v>
      </c>
      <c r="H1006" s="344"/>
    </row>
    <row r="1007" spans="1:8" s="343" customFormat="1" ht="15.75" x14ac:dyDescent="0.25">
      <c r="A1007" s="20" t="s">
        <v>137</v>
      </c>
      <c r="B1007" s="346" t="s">
        <v>1063</v>
      </c>
      <c r="C1007" s="341" t="s">
        <v>174</v>
      </c>
      <c r="D1007" s="341" t="s">
        <v>118</v>
      </c>
      <c r="E1007" s="2">
        <v>320</v>
      </c>
      <c r="F1007" s="2">
        <v>902</v>
      </c>
      <c r="G1007" s="295">
        <f>G1006</f>
        <v>455.90000000000003</v>
      </c>
      <c r="H1007" s="344"/>
    </row>
    <row r="1008" spans="1:8" s="293" customFormat="1" ht="15.75" hidden="1" x14ac:dyDescent="0.25">
      <c r="A1008" s="345" t="s">
        <v>177</v>
      </c>
      <c r="B1008" s="346" t="s">
        <v>1063</v>
      </c>
      <c r="C1008" s="341" t="s">
        <v>159</v>
      </c>
      <c r="D1008" s="341" t="s">
        <v>174</v>
      </c>
      <c r="E1008" s="2" t="s">
        <v>178</v>
      </c>
      <c r="F1008" s="2"/>
      <c r="G1008" s="295">
        <f>G1009</f>
        <v>0</v>
      </c>
      <c r="H1008" s="129"/>
    </row>
    <row r="1009" spans="1:8" s="293" customFormat="1" ht="31.5" hidden="1" x14ac:dyDescent="0.25">
      <c r="A1009" s="345" t="s">
        <v>179</v>
      </c>
      <c r="B1009" s="346" t="s">
        <v>1063</v>
      </c>
      <c r="C1009" s="341" t="s">
        <v>159</v>
      </c>
      <c r="D1009" s="341" t="s">
        <v>174</v>
      </c>
      <c r="E1009" s="2" t="s">
        <v>180</v>
      </c>
      <c r="F1009" s="2"/>
      <c r="G1009" s="295">
        <f>'Пр.4 ведом.22'!G221</f>
        <v>0</v>
      </c>
      <c r="H1009" s="129"/>
    </row>
    <row r="1010" spans="1:8" s="293" customFormat="1" ht="15.75" hidden="1" x14ac:dyDescent="0.25">
      <c r="A1010" s="20" t="s">
        <v>137</v>
      </c>
      <c r="B1010" s="346" t="s">
        <v>1063</v>
      </c>
      <c r="C1010" s="341" t="s">
        <v>159</v>
      </c>
      <c r="D1010" s="341" t="s">
        <v>174</v>
      </c>
      <c r="E1010" s="2">
        <v>320</v>
      </c>
      <c r="F1010" s="2">
        <v>902</v>
      </c>
      <c r="G1010" s="295">
        <f>G1009</f>
        <v>0</v>
      </c>
      <c r="H1010" s="129"/>
    </row>
    <row r="1011" spans="1:8" ht="65.25" customHeight="1" x14ac:dyDescent="0.25">
      <c r="A1011" s="298" t="s">
        <v>987</v>
      </c>
      <c r="B1011" s="299" t="s">
        <v>341</v>
      </c>
      <c r="C1011" s="6"/>
      <c r="D1011" s="6"/>
      <c r="E1011" s="3"/>
      <c r="F1011" s="3"/>
      <c r="G1011" s="294">
        <f>G1012+G1019</f>
        <v>27440.58596</v>
      </c>
    </row>
    <row r="1012" spans="1:8" s="128" customFormat="1" ht="31.5" x14ac:dyDescent="0.25">
      <c r="A1012" s="298" t="s">
        <v>621</v>
      </c>
      <c r="B1012" s="299" t="s">
        <v>639</v>
      </c>
      <c r="C1012" s="6"/>
      <c r="D1012" s="6"/>
      <c r="E1012" s="3"/>
      <c r="F1012" s="3"/>
      <c r="G1012" s="294">
        <f>G1013</f>
        <v>26088.123599999999</v>
      </c>
      <c r="H1012" s="129"/>
    </row>
    <row r="1013" spans="1:8" ht="15.75" x14ac:dyDescent="0.25">
      <c r="A1013" s="345" t="s">
        <v>231</v>
      </c>
      <c r="B1013" s="346" t="s">
        <v>410</v>
      </c>
      <c r="C1013" s="341" t="s">
        <v>168</v>
      </c>
      <c r="D1013" s="341"/>
      <c r="E1013" s="2"/>
      <c r="F1013" s="2"/>
      <c r="G1013" s="295">
        <f t="shared" ref="G1013:G1016" si="77">G1014</f>
        <v>26088.123599999999</v>
      </c>
    </row>
    <row r="1014" spans="1:8" ht="15.75" x14ac:dyDescent="0.25">
      <c r="A1014" s="345" t="s">
        <v>272</v>
      </c>
      <c r="B1014" s="346" t="s">
        <v>410</v>
      </c>
      <c r="C1014" s="341" t="s">
        <v>168</v>
      </c>
      <c r="D1014" s="341" t="s">
        <v>159</v>
      </c>
      <c r="E1014" s="2"/>
      <c r="F1014" s="2"/>
      <c r="G1014" s="295">
        <f t="shared" si="77"/>
        <v>26088.123599999999</v>
      </c>
    </row>
    <row r="1015" spans="1:8" ht="47.25" x14ac:dyDescent="0.25">
      <c r="A1015" s="49" t="s">
        <v>333</v>
      </c>
      <c r="B1015" s="346" t="s">
        <v>410</v>
      </c>
      <c r="C1015" s="341" t="s">
        <v>168</v>
      </c>
      <c r="D1015" s="341" t="s">
        <v>159</v>
      </c>
      <c r="E1015" s="2"/>
      <c r="F1015" s="2"/>
      <c r="G1015" s="295">
        <f t="shared" si="77"/>
        <v>26088.123599999999</v>
      </c>
    </row>
    <row r="1016" spans="1:8" ht="31.5" x14ac:dyDescent="0.25">
      <c r="A1016" s="345" t="s">
        <v>123</v>
      </c>
      <c r="B1016" s="346" t="s">
        <v>410</v>
      </c>
      <c r="C1016" s="341" t="s">
        <v>168</v>
      </c>
      <c r="D1016" s="341" t="s">
        <v>159</v>
      </c>
      <c r="E1016" s="2">
        <v>200</v>
      </c>
      <c r="F1016" s="2"/>
      <c r="G1016" s="295">
        <f t="shared" si="77"/>
        <v>26088.123599999999</v>
      </c>
    </row>
    <row r="1017" spans="1:8" ht="31.5" x14ac:dyDescent="0.25">
      <c r="A1017" s="345" t="s">
        <v>125</v>
      </c>
      <c r="B1017" s="346" t="s">
        <v>410</v>
      </c>
      <c r="C1017" s="341" t="s">
        <v>168</v>
      </c>
      <c r="D1017" s="341" t="s">
        <v>159</v>
      </c>
      <c r="E1017" s="2">
        <v>240</v>
      </c>
      <c r="F1017" s="2"/>
      <c r="G1017" s="295">
        <f>'Пр.4 ведом.22'!G1261</f>
        <v>26088.123599999999</v>
      </c>
    </row>
    <row r="1018" spans="1:8" ht="34.5" customHeight="1" x14ac:dyDescent="0.25">
      <c r="A1018" s="29" t="s">
        <v>302</v>
      </c>
      <c r="B1018" s="346" t="s">
        <v>410</v>
      </c>
      <c r="C1018" s="341" t="s">
        <v>168</v>
      </c>
      <c r="D1018" s="341" t="s">
        <v>159</v>
      </c>
      <c r="E1018" s="2">
        <v>240</v>
      </c>
      <c r="F1018" s="2">
        <v>908</v>
      </c>
      <c r="G1018" s="295">
        <f t="shared" ref="G1018" si="78">G1011</f>
        <v>27440.58596</v>
      </c>
    </row>
    <row r="1019" spans="1:8" s="397" customFormat="1" ht="110.25" x14ac:dyDescent="0.25">
      <c r="A1019" s="298" t="s">
        <v>1083</v>
      </c>
      <c r="B1019" s="299" t="s">
        <v>1084</v>
      </c>
      <c r="C1019" s="6"/>
      <c r="D1019" s="6"/>
      <c r="E1019" s="3"/>
      <c r="F1019" s="3"/>
      <c r="G1019" s="294">
        <f>G1020+G1026</f>
        <v>1352.46236</v>
      </c>
    </row>
    <row r="1020" spans="1:8" s="397" customFormat="1" ht="15.75" hidden="1" x14ac:dyDescent="0.25">
      <c r="A1020" s="345" t="s">
        <v>231</v>
      </c>
      <c r="B1020" s="346" t="s">
        <v>1085</v>
      </c>
      <c r="C1020" s="341" t="s">
        <v>168</v>
      </c>
      <c r="D1020" s="341"/>
      <c r="E1020" s="2"/>
      <c r="F1020" s="2"/>
      <c r="G1020" s="295">
        <f t="shared" ref="G1020:G1023" si="79">G1021</f>
        <v>0</v>
      </c>
    </row>
    <row r="1021" spans="1:8" s="397" customFormat="1" ht="15.75" hidden="1" x14ac:dyDescent="0.25">
      <c r="A1021" s="345" t="s">
        <v>272</v>
      </c>
      <c r="B1021" s="346" t="s">
        <v>1085</v>
      </c>
      <c r="C1021" s="341" t="s">
        <v>168</v>
      </c>
      <c r="D1021" s="341" t="s">
        <v>159</v>
      </c>
      <c r="E1021" s="2"/>
      <c r="F1021" s="2"/>
      <c r="G1021" s="295">
        <f t="shared" si="79"/>
        <v>0</v>
      </c>
    </row>
    <row r="1022" spans="1:8" s="397" customFormat="1" ht="94.5" hidden="1" x14ac:dyDescent="0.25">
      <c r="A1022" s="49" t="s">
        <v>1106</v>
      </c>
      <c r="B1022" s="346" t="s">
        <v>1085</v>
      </c>
      <c r="C1022" s="341" t="s">
        <v>168</v>
      </c>
      <c r="D1022" s="341" t="s">
        <v>159</v>
      </c>
      <c r="E1022" s="2"/>
      <c r="F1022" s="2"/>
      <c r="G1022" s="295">
        <f t="shared" si="79"/>
        <v>0</v>
      </c>
    </row>
    <row r="1023" spans="1:8" s="397" customFormat="1" ht="31.5" hidden="1" x14ac:dyDescent="0.25">
      <c r="A1023" s="345" t="s">
        <v>123</v>
      </c>
      <c r="B1023" s="346" t="s">
        <v>1085</v>
      </c>
      <c r="C1023" s="341" t="s">
        <v>168</v>
      </c>
      <c r="D1023" s="341" t="s">
        <v>159</v>
      </c>
      <c r="E1023" s="2">
        <v>200</v>
      </c>
      <c r="F1023" s="2"/>
      <c r="G1023" s="295">
        <f t="shared" si="79"/>
        <v>0</v>
      </c>
    </row>
    <row r="1024" spans="1:8" s="397" customFormat="1" ht="31.5" hidden="1" x14ac:dyDescent="0.25">
      <c r="A1024" s="345" t="s">
        <v>125</v>
      </c>
      <c r="B1024" s="346" t="s">
        <v>1085</v>
      </c>
      <c r="C1024" s="341" t="s">
        <v>168</v>
      </c>
      <c r="D1024" s="341" t="s">
        <v>159</v>
      </c>
      <c r="E1024" s="2">
        <v>240</v>
      </c>
      <c r="F1024" s="2"/>
      <c r="G1024" s="295">
        <f>'Пр.4 ведом.22'!G1265</f>
        <v>0</v>
      </c>
    </row>
    <row r="1025" spans="1:8" s="397" customFormat="1" ht="34.5" hidden="1" customHeight="1" x14ac:dyDescent="0.25">
      <c r="A1025" s="29" t="s">
        <v>302</v>
      </c>
      <c r="B1025" s="346" t="s">
        <v>1085</v>
      </c>
      <c r="C1025" s="341" t="s">
        <v>168</v>
      </c>
      <c r="D1025" s="341" t="s">
        <v>159</v>
      </c>
      <c r="E1025" s="2">
        <v>240</v>
      </c>
      <c r="F1025" s="2">
        <v>908</v>
      </c>
      <c r="G1025" s="295">
        <f>'Пр.4 ведом.22'!G1265</f>
        <v>0</v>
      </c>
    </row>
    <row r="1026" spans="1:8" s="397" customFormat="1" ht="15.75" x14ac:dyDescent="0.25">
      <c r="A1026" s="345" t="s">
        <v>231</v>
      </c>
      <c r="B1026" s="346" t="s">
        <v>1084</v>
      </c>
      <c r="C1026" s="341" t="s">
        <v>168</v>
      </c>
      <c r="D1026" s="341"/>
      <c r="E1026" s="2"/>
      <c r="F1026" s="2"/>
      <c r="G1026" s="295">
        <f>G1027</f>
        <v>1352.46236</v>
      </c>
    </row>
    <row r="1027" spans="1:8" s="397" customFormat="1" ht="15.75" x14ac:dyDescent="0.25">
      <c r="A1027" s="345" t="s">
        <v>272</v>
      </c>
      <c r="B1027" s="346" t="s">
        <v>1084</v>
      </c>
      <c r="C1027" s="341" t="s">
        <v>168</v>
      </c>
      <c r="D1027" s="341" t="s">
        <v>159</v>
      </c>
      <c r="E1027" s="2"/>
      <c r="F1027" s="2"/>
      <c r="G1027" s="295">
        <f>G1028</f>
        <v>1352.46236</v>
      </c>
    </row>
    <row r="1028" spans="1:8" s="397" customFormat="1" ht="15.75" x14ac:dyDescent="0.25">
      <c r="A1028" s="345" t="s">
        <v>1309</v>
      </c>
      <c r="B1028" s="346" t="s">
        <v>1310</v>
      </c>
      <c r="C1028" s="341" t="s">
        <v>168</v>
      </c>
      <c r="D1028" s="341" t="s">
        <v>159</v>
      </c>
      <c r="E1028" s="2"/>
      <c r="F1028" s="2"/>
      <c r="G1028" s="295">
        <f>G1029</f>
        <v>1352.46236</v>
      </c>
    </row>
    <row r="1029" spans="1:8" s="397" customFormat="1" ht="31.5" x14ac:dyDescent="0.25">
      <c r="A1029" s="345" t="s">
        <v>123</v>
      </c>
      <c r="B1029" s="346" t="s">
        <v>1310</v>
      </c>
      <c r="C1029" s="341" t="s">
        <v>168</v>
      </c>
      <c r="D1029" s="341" t="s">
        <v>159</v>
      </c>
      <c r="E1029" s="2">
        <v>200</v>
      </c>
      <c r="F1029" s="2"/>
      <c r="G1029" s="295">
        <f>G1030</f>
        <v>1352.46236</v>
      </c>
    </row>
    <row r="1030" spans="1:8" s="397" customFormat="1" ht="31.5" x14ac:dyDescent="0.25">
      <c r="A1030" s="345" t="s">
        <v>125</v>
      </c>
      <c r="B1030" s="346" t="s">
        <v>1310</v>
      </c>
      <c r="C1030" s="341" t="s">
        <v>168</v>
      </c>
      <c r="D1030" s="341" t="s">
        <v>159</v>
      </c>
      <c r="E1030" s="2">
        <v>240</v>
      </c>
      <c r="F1030" s="2"/>
      <c r="G1030" s="295">
        <f>'Пр.4 ведом.22'!G1268</f>
        <v>1352.46236</v>
      </c>
    </row>
    <row r="1031" spans="1:8" s="397" customFormat="1" ht="34.5" customHeight="1" x14ac:dyDescent="0.25">
      <c r="A1031" s="29" t="s">
        <v>302</v>
      </c>
      <c r="B1031" s="346" t="s">
        <v>1310</v>
      </c>
      <c r="C1031" s="341" t="s">
        <v>168</v>
      </c>
      <c r="D1031" s="341" t="s">
        <v>159</v>
      </c>
      <c r="E1031" s="2">
        <v>240</v>
      </c>
      <c r="F1031" s="2">
        <v>908</v>
      </c>
      <c r="G1031" s="295">
        <f>G1030</f>
        <v>1352.46236</v>
      </c>
    </row>
    <row r="1032" spans="1:8" s="111" customFormat="1" ht="63" x14ac:dyDescent="0.25">
      <c r="A1032" s="34" t="s">
        <v>985</v>
      </c>
      <c r="B1032" s="299" t="s">
        <v>358</v>
      </c>
      <c r="C1032" s="6"/>
      <c r="D1032" s="6"/>
      <c r="E1032" s="3"/>
      <c r="F1032" s="3"/>
      <c r="G1032" s="294">
        <f>G1034</f>
        <v>625.21350999999993</v>
      </c>
      <c r="H1032" s="132"/>
    </row>
    <row r="1033" spans="1:8" s="111" customFormat="1" ht="31.5" x14ac:dyDescent="0.25">
      <c r="A1033" s="298" t="s">
        <v>499</v>
      </c>
      <c r="B1033" s="299" t="s">
        <v>581</v>
      </c>
      <c r="C1033" s="6"/>
      <c r="D1033" s="6"/>
      <c r="E1033" s="3"/>
      <c r="F1033" s="3"/>
      <c r="G1033" s="294">
        <f>G1034</f>
        <v>625.21350999999993</v>
      </c>
      <c r="H1033" s="132"/>
    </row>
    <row r="1034" spans="1:8" ht="15.75" x14ac:dyDescent="0.25">
      <c r="A1034" s="29" t="s">
        <v>115</v>
      </c>
      <c r="B1034" s="346" t="s">
        <v>581</v>
      </c>
      <c r="C1034" s="341" t="s">
        <v>116</v>
      </c>
      <c r="D1034" s="341"/>
      <c r="E1034" s="2"/>
      <c r="F1034" s="2"/>
      <c r="G1034" s="295">
        <f>G1035</f>
        <v>625.21350999999993</v>
      </c>
    </row>
    <row r="1035" spans="1:8" ht="15.75" x14ac:dyDescent="0.25">
      <c r="A1035" s="29" t="s">
        <v>131</v>
      </c>
      <c r="B1035" s="346" t="s">
        <v>581</v>
      </c>
      <c r="C1035" s="341" t="s">
        <v>116</v>
      </c>
      <c r="D1035" s="341" t="s">
        <v>132</v>
      </c>
      <c r="E1035" s="2"/>
      <c r="F1035" s="2"/>
      <c r="G1035" s="295">
        <f>G1036</f>
        <v>625.21350999999993</v>
      </c>
    </row>
    <row r="1036" spans="1:8" ht="31.5" x14ac:dyDescent="0.25">
      <c r="A1036" s="29" t="s">
        <v>366</v>
      </c>
      <c r="B1036" s="346" t="s">
        <v>582</v>
      </c>
      <c r="C1036" s="341" t="s">
        <v>116</v>
      </c>
      <c r="D1036" s="341" t="s">
        <v>132</v>
      </c>
      <c r="E1036" s="2"/>
      <c r="F1036" s="2"/>
      <c r="G1036" s="295">
        <f>G1037</f>
        <v>625.21350999999993</v>
      </c>
    </row>
    <row r="1037" spans="1:8" ht="31.5" x14ac:dyDescent="0.25">
      <c r="A1037" s="29" t="s">
        <v>123</v>
      </c>
      <c r="B1037" s="346" t="s">
        <v>582</v>
      </c>
      <c r="C1037" s="341" t="s">
        <v>116</v>
      </c>
      <c r="D1037" s="341" t="s">
        <v>132</v>
      </c>
      <c r="E1037" s="2">
        <v>200</v>
      </c>
      <c r="F1037" s="2"/>
      <c r="G1037" s="295">
        <f>G1038</f>
        <v>625.21350999999993</v>
      </c>
    </row>
    <row r="1038" spans="1:8" ht="31.5" x14ac:dyDescent="0.25">
      <c r="A1038" s="29" t="s">
        <v>125</v>
      </c>
      <c r="B1038" s="346" t="s">
        <v>582</v>
      </c>
      <c r="C1038" s="341" t="s">
        <v>116</v>
      </c>
      <c r="D1038" s="341" t="s">
        <v>132</v>
      </c>
      <c r="E1038" s="2">
        <v>240</v>
      </c>
      <c r="F1038" s="2"/>
      <c r="G1038" s="295">
        <f>'Пр.4 ведом.22'!G657</f>
        <v>625.21350999999993</v>
      </c>
    </row>
    <row r="1039" spans="1:8" ht="36.75" customHeight="1" x14ac:dyDescent="0.25">
      <c r="A1039" s="29" t="s">
        <v>880</v>
      </c>
      <c r="B1039" s="346" t="s">
        <v>582</v>
      </c>
      <c r="C1039" s="341" t="s">
        <v>116</v>
      </c>
      <c r="D1039" s="341" t="s">
        <v>132</v>
      </c>
      <c r="E1039" s="2">
        <v>240</v>
      </c>
      <c r="F1039" s="2">
        <v>905</v>
      </c>
      <c r="G1039" s="295">
        <f>G1032</f>
        <v>625.21350999999993</v>
      </c>
    </row>
    <row r="1040" spans="1:8" ht="68.25" customHeight="1" x14ac:dyDescent="0.25">
      <c r="A1040" s="340" t="s">
        <v>868</v>
      </c>
      <c r="B1040" s="299" t="s">
        <v>393</v>
      </c>
      <c r="C1040" s="6"/>
      <c r="D1040" s="6"/>
      <c r="E1040" s="3"/>
      <c r="F1040" s="3"/>
      <c r="G1040" s="294">
        <f>G1042</f>
        <v>45</v>
      </c>
    </row>
    <row r="1041" spans="1:8" s="128" customFormat="1" ht="47.25" x14ac:dyDescent="0.25">
      <c r="A1041" s="134" t="s">
        <v>428</v>
      </c>
      <c r="B1041" s="299" t="s">
        <v>628</v>
      </c>
      <c r="C1041" s="6"/>
      <c r="D1041" s="6"/>
      <c r="E1041" s="3"/>
      <c r="F1041" s="3"/>
      <c r="G1041" s="294">
        <f>G1042</f>
        <v>45</v>
      </c>
      <c r="H1041" s="129"/>
    </row>
    <row r="1042" spans="1:8" ht="15.75" x14ac:dyDescent="0.25">
      <c r="A1042" s="29" t="s">
        <v>115</v>
      </c>
      <c r="B1042" s="346" t="s">
        <v>628</v>
      </c>
      <c r="C1042" s="341" t="s">
        <v>116</v>
      </c>
      <c r="D1042" s="341"/>
      <c r="E1042" s="2"/>
      <c r="F1042" s="2"/>
      <c r="G1042" s="295">
        <f>G1043+G1049</f>
        <v>45</v>
      </c>
    </row>
    <row r="1043" spans="1:8" ht="15.75" x14ac:dyDescent="0.25">
      <c r="A1043" s="29" t="s">
        <v>131</v>
      </c>
      <c r="B1043" s="346" t="s">
        <v>628</v>
      </c>
      <c r="C1043" s="341" t="s">
        <v>116</v>
      </c>
      <c r="D1043" s="341" t="s">
        <v>132</v>
      </c>
      <c r="E1043" s="2"/>
      <c r="F1043" s="2"/>
      <c r="G1043" s="295">
        <f>G1044</f>
        <v>20.2</v>
      </c>
    </row>
    <row r="1044" spans="1:8" ht="31.5" x14ac:dyDescent="0.25">
      <c r="A1044" s="66" t="s">
        <v>145</v>
      </c>
      <c r="B1044" s="346" t="s">
        <v>429</v>
      </c>
      <c r="C1044" s="341" t="s">
        <v>116</v>
      </c>
      <c r="D1044" s="341" t="s">
        <v>132</v>
      </c>
      <c r="E1044" s="2"/>
      <c r="F1044" s="2"/>
      <c r="G1044" s="295">
        <f>G1045</f>
        <v>20.2</v>
      </c>
    </row>
    <row r="1045" spans="1:8" ht="31.5" x14ac:dyDescent="0.25">
      <c r="A1045" s="29" t="s">
        <v>123</v>
      </c>
      <c r="B1045" s="346" t="s">
        <v>429</v>
      </c>
      <c r="C1045" s="341" t="s">
        <v>116</v>
      </c>
      <c r="D1045" s="341" t="s">
        <v>132</v>
      </c>
      <c r="E1045" s="2">
        <v>200</v>
      </c>
      <c r="F1045" s="2"/>
      <c r="G1045" s="295">
        <f>G1046</f>
        <v>20.2</v>
      </c>
    </row>
    <row r="1046" spans="1:8" ht="31.5" x14ac:dyDescent="0.25">
      <c r="A1046" s="29" t="s">
        <v>125</v>
      </c>
      <c r="B1046" s="346" t="s">
        <v>429</v>
      </c>
      <c r="C1046" s="341" t="s">
        <v>116</v>
      </c>
      <c r="D1046" s="341" t="s">
        <v>132</v>
      </c>
      <c r="E1046" s="2">
        <v>240</v>
      </c>
      <c r="F1046" s="2"/>
      <c r="G1046" s="295">
        <f>'Пр.4 ведом.22'!G161</f>
        <v>20.2</v>
      </c>
    </row>
    <row r="1047" spans="1:8" ht="23.25" customHeight="1" x14ac:dyDescent="0.25">
      <c r="A1047" s="20" t="s">
        <v>137</v>
      </c>
      <c r="B1047" s="346" t="s">
        <v>429</v>
      </c>
      <c r="C1047" s="341" t="s">
        <v>116</v>
      </c>
      <c r="D1047" s="341" t="s">
        <v>132</v>
      </c>
      <c r="E1047" s="2">
        <v>240</v>
      </c>
      <c r="F1047" s="2">
        <v>902</v>
      </c>
      <c r="G1047" s="295">
        <f>G1040</f>
        <v>45</v>
      </c>
    </row>
    <row r="1048" spans="1:8" s="343" customFormat="1" ht="23.25" hidden="1" customHeight="1" x14ac:dyDescent="0.25">
      <c r="A1048" s="29" t="s">
        <v>115</v>
      </c>
      <c r="B1048" s="346" t="s">
        <v>628</v>
      </c>
      <c r="C1048" s="341" t="s">
        <v>116</v>
      </c>
      <c r="D1048" s="341"/>
      <c r="E1048" s="2"/>
      <c r="F1048" s="2"/>
      <c r="G1048" s="295">
        <f>G1049</f>
        <v>24.8</v>
      </c>
      <c r="H1048" s="344"/>
    </row>
    <row r="1049" spans="1:8" s="343" customFormat="1" ht="23.25" customHeight="1" x14ac:dyDescent="0.25">
      <c r="A1049" s="29" t="s">
        <v>131</v>
      </c>
      <c r="B1049" s="346" t="s">
        <v>628</v>
      </c>
      <c r="C1049" s="341" t="s">
        <v>116</v>
      </c>
      <c r="D1049" s="341" t="s">
        <v>132</v>
      </c>
      <c r="E1049" s="2"/>
      <c r="F1049" s="2"/>
      <c r="G1049" s="295">
        <f>G1050</f>
        <v>24.8</v>
      </c>
      <c r="H1049" s="344"/>
    </row>
    <row r="1050" spans="1:8" s="343" customFormat="1" ht="23.25" customHeight="1" x14ac:dyDescent="0.25">
      <c r="A1050" s="66" t="s">
        <v>145</v>
      </c>
      <c r="B1050" s="346" t="s">
        <v>429</v>
      </c>
      <c r="C1050" s="341" t="s">
        <v>116</v>
      </c>
      <c r="D1050" s="341" t="s">
        <v>132</v>
      </c>
      <c r="E1050" s="2"/>
      <c r="F1050" s="2"/>
      <c r="G1050" s="295">
        <f>G1051</f>
        <v>24.8</v>
      </c>
      <c r="H1050" s="344"/>
    </row>
    <row r="1051" spans="1:8" s="343" customFormat="1" ht="39" customHeight="1" x14ac:dyDescent="0.25">
      <c r="A1051" s="29" t="s">
        <v>123</v>
      </c>
      <c r="B1051" s="346" t="s">
        <v>429</v>
      </c>
      <c r="C1051" s="341" t="s">
        <v>116</v>
      </c>
      <c r="D1051" s="341" t="s">
        <v>132</v>
      </c>
      <c r="E1051" s="2">
        <v>200</v>
      </c>
      <c r="F1051" s="2"/>
      <c r="G1051" s="295">
        <f>G1052</f>
        <v>24.8</v>
      </c>
      <c r="H1051" s="344"/>
    </row>
    <row r="1052" spans="1:8" s="343" customFormat="1" ht="27.6" customHeight="1" x14ac:dyDescent="0.25">
      <c r="A1052" s="29" t="s">
        <v>125</v>
      </c>
      <c r="B1052" s="346" t="s">
        <v>429</v>
      </c>
      <c r="C1052" s="341" t="s">
        <v>116</v>
      </c>
      <c r="D1052" s="341" t="s">
        <v>132</v>
      </c>
      <c r="E1052" s="2">
        <v>240</v>
      </c>
      <c r="F1052" s="2"/>
      <c r="G1052" s="295">
        <f>G1053</f>
        <v>24.8</v>
      </c>
      <c r="H1052" s="344"/>
    </row>
    <row r="1053" spans="1:8" s="343" customFormat="1" ht="33.6" customHeight="1" x14ac:dyDescent="0.25">
      <c r="A1053" s="20" t="s">
        <v>1360</v>
      </c>
      <c r="B1053" s="346" t="s">
        <v>429</v>
      </c>
      <c r="C1053" s="341" t="s">
        <v>116</v>
      </c>
      <c r="D1053" s="341" t="s">
        <v>132</v>
      </c>
      <c r="E1053" s="2">
        <v>240</v>
      </c>
      <c r="F1053" s="2">
        <v>906</v>
      </c>
      <c r="G1053" s="295">
        <f>'Пр.4 ведом.22'!G686</f>
        <v>24.8</v>
      </c>
      <c r="H1053" s="344"/>
    </row>
    <row r="1054" spans="1:8" s="343" customFormat="1" ht="58.5" customHeight="1" x14ac:dyDescent="0.25">
      <c r="A1054" s="340" t="s">
        <v>1257</v>
      </c>
      <c r="B1054" s="299" t="s">
        <v>1249</v>
      </c>
      <c r="C1054" s="341"/>
      <c r="D1054" s="341"/>
      <c r="E1054" s="2"/>
      <c r="F1054" s="2"/>
      <c r="G1054" s="294">
        <f t="shared" ref="G1054:G1059" si="80">G1055</f>
        <v>30</v>
      </c>
      <c r="H1054" s="344"/>
    </row>
    <row r="1055" spans="1:8" s="343" customFormat="1" ht="47.25" x14ac:dyDescent="0.25">
      <c r="A1055" s="340" t="s">
        <v>1258</v>
      </c>
      <c r="B1055" s="299" t="s">
        <v>1250</v>
      </c>
      <c r="C1055" s="6"/>
      <c r="D1055" s="6"/>
      <c r="E1055" s="3"/>
      <c r="F1055" s="3"/>
      <c r="G1055" s="294">
        <f t="shared" si="80"/>
        <v>30</v>
      </c>
      <c r="H1055" s="344"/>
    </row>
    <row r="1056" spans="1:8" s="343" customFormat="1" ht="23.25" customHeight="1" x14ac:dyDescent="0.25">
      <c r="A1056" s="29" t="s">
        <v>115</v>
      </c>
      <c r="B1056" s="346" t="s">
        <v>1250</v>
      </c>
      <c r="C1056" s="341" t="s">
        <v>116</v>
      </c>
      <c r="D1056" s="341"/>
      <c r="E1056" s="2"/>
      <c r="F1056" s="2"/>
      <c r="G1056" s="295">
        <f t="shared" si="80"/>
        <v>30</v>
      </c>
      <c r="H1056" s="344"/>
    </row>
    <row r="1057" spans="1:8" s="343" customFormat="1" ht="23.25" customHeight="1" x14ac:dyDescent="0.25">
      <c r="A1057" s="29" t="s">
        <v>131</v>
      </c>
      <c r="B1057" s="346" t="s">
        <v>1250</v>
      </c>
      <c r="C1057" s="341" t="s">
        <v>116</v>
      </c>
      <c r="D1057" s="341" t="s">
        <v>132</v>
      </c>
      <c r="E1057" s="2"/>
      <c r="F1057" s="2"/>
      <c r="G1057" s="295">
        <f t="shared" si="80"/>
        <v>30</v>
      </c>
      <c r="H1057" s="344"/>
    </row>
    <row r="1058" spans="1:8" s="343" customFormat="1" ht="31.5" x14ac:dyDescent="0.25">
      <c r="A1058" s="345" t="s">
        <v>1259</v>
      </c>
      <c r="B1058" s="346" t="s">
        <v>1251</v>
      </c>
      <c r="C1058" s="341" t="s">
        <v>116</v>
      </c>
      <c r="D1058" s="341" t="s">
        <v>132</v>
      </c>
      <c r="E1058" s="2"/>
      <c r="F1058" s="2"/>
      <c r="G1058" s="295">
        <f t="shared" si="80"/>
        <v>30</v>
      </c>
      <c r="H1058" s="344"/>
    </row>
    <row r="1059" spans="1:8" s="343" customFormat="1" ht="23.25" customHeight="1" x14ac:dyDescent="0.25">
      <c r="A1059" s="583" t="s">
        <v>177</v>
      </c>
      <c r="B1059" s="346" t="s">
        <v>1251</v>
      </c>
      <c r="C1059" s="341" t="s">
        <v>116</v>
      </c>
      <c r="D1059" s="341" t="s">
        <v>132</v>
      </c>
      <c r="E1059" s="2">
        <v>300</v>
      </c>
      <c r="F1059" s="2"/>
      <c r="G1059" s="295">
        <f t="shared" si="80"/>
        <v>30</v>
      </c>
      <c r="H1059" s="344"/>
    </row>
    <row r="1060" spans="1:8" s="343" customFormat="1" ht="23.25" customHeight="1" x14ac:dyDescent="0.25">
      <c r="A1060" s="345" t="s">
        <v>1260</v>
      </c>
      <c r="B1060" s="346" t="s">
        <v>1251</v>
      </c>
      <c r="C1060" s="341" t="s">
        <v>116</v>
      </c>
      <c r="D1060" s="341" t="s">
        <v>132</v>
      </c>
      <c r="E1060" s="2">
        <v>350</v>
      </c>
      <c r="F1060" s="2"/>
      <c r="G1060" s="295">
        <f>'Пр.4 ведом.22'!G166</f>
        <v>30</v>
      </c>
      <c r="H1060" s="344"/>
    </row>
    <row r="1061" spans="1:8" s="343" customFormat="1" ht="23.25" customHeight="1" x14ac:dyDescent="0.25">
      <c r="A1061" s="20" t="s">
        <v>137</v>
      </c>
      <c r="B1061" s="346" t="s">
        <v>1251</v>
      </c>
      <c r="C1061" s="341" t="s">
        <v>116</v>
      </c>
      <c r="D1061" s="341" t="s">
        <v>132</v>
      </c>
      <c r="E1061" s="2">
        <v>350</v>
      </c>
      <c r="F1061" s="2">
        <v>902</v>
      </c>
      <c r="G1061" s="295">
        <f>G1060</f>
        <v>30</v>
      </c>
      <c r="H1061" s="344"/>
    </row>
    <row r="1062" spans="1:8" ht="63" x14ac:dyDescent="0.25">
      <c r="A1062" s="340" t="s">
        <v>1208</v>
      </c>
      <c r="B1062" s="299" t="s">
        <v>394</v>
      </c>
      <c r="C1062" s="6"/>
      <c r="D1062" s="6"/>
      <c r="E1062" s="3"/>
      <c r="F1062" s="3"/>
      <c r="G1062" s="294">
        <f>G1064</f>
        <v>80</v>
      </c>
    </row>
    <row r="1063" spans="1:8" s="128" customFormat="1" ht="31.5" x14ac:dyDescent="0.25">
      <c r="A1063" s="34" t="s">
        <v>430</v>
      </c>
      <c r="B1063" s="299" t="s">
        <v>438</v>
      </c>
      <c r="C1063" s="6"/>
      <c r="D1063" s="6"/>
      <c r="E1063" s="3"/>
      <c r="F1063" s="3"/>
      <c r="G1063" s="294">
        <f>G1064</f>
        <v>80</v>
      </c>
      <c r="H1063" s="129"/>
    </row>
    <row r="1064" spans="1:8" ht="15.75" x14ac:dyDescent="0.25">
      <c r="A1064" s="29" t="s">
        <v>115</v>
      </c>
      <c r="B1064" s="346" t="s">
        <v>438</v>
      </c>
      <c r="C1064" s="341" t="s">
        <v>116</v>
      </c>
      <c r="D1064" s="341"/>
      <c r="E1064" s="2"/>
      <c r="F1064" s="2"/>
      <c r="G1064" s="295">
        <f>G1065</f>
        <v>80</v>
      </c>
    </row>
    <row r="1065" spans="1:8" ht="15.75" x14ac:dyDescent="0.25">
      <c r="A1065" s="29" t="s">
        <v>131</v>
      </c>
      <c r="B1065" s="346" t="s">
        <v>438</v>
      </c>
      <c r="C1065" s="341" t="s">
        <v>116</v>
      </c>
      <c r="D1065" s="341" t="s">
        <v>132</v>
      </c>
      <c r="E1065" s="2"/>
      <c r="F1065" s="2"/>
      <c r="G1065" s="295">
        <f>G1066</f>
        <v>80</v>
      </c>
    </row>
    <row r="1066" spans="1:8" ht="15.75" x14ac:dyDescent="0.25">
      <c r="A1066" s="29" t="s">
        <v>146</v>
      </c>
      <c r="B1066" s="346" t="s">
        <v>431</v>
      </c>
      <c r="C1066" s="341" t="s">
        <v>116</v>
      </c>
      <c r="D1066" s="341" t="s">
        <v>132</v>
      </c>
      <c r="E1066" s="2"/>
      <c r="F1066" s="2"/>
      <c r="G1066" s="295">
        <f>G1067</f>
        <v>80</v>
      </c>
    </row>
    <row r="1067" spans="1:8" ht="31.5" x14ac:dyDescent="0.25">
      <c r="A1067" s="29" t="s">
        <v>123</v>
      </c>
      <c r="B1067" s="346" t="s">
        <v>431</v>
      </c>
      <c r="C1067" s="341" t="s">
        <v>116</v>
      </c>
      <c r="D1067" s="341" t="s">
        <v>132</v>
      </c>
      <c r="E1067" s="2">
        <v>200</v>
      </c>
      <c r="F1067" s="2"/>
      <c r="G1067" s="295">
        <f>G1068</f>
        <v>80</v>
      </c>
    </row>
    <row r="1068" spans="1:8" ht="31.5" x14ac:dyDescent="0.25">
      <c r="A1068" s="29" t="s">
        <v>125</v>
      </c>
      <c r="B1068" s="346" t="s">
        <v>431</v>
      </c>
      <c r="C1068" s="341" t="s">
        <v>116</v>
      </c>
      <c r="D1068" s="341" t="s">
        <v>132</v>
      </c>
      <c r="E1068" s="2">
        <v>240</v>
      </c>
      <c r="F1068" s="2"/>
      <c r="G1068" s="295">
        <f>'Пр.4 ведом.22'!G171</f>
        <v>80</v>
      </c>
    </row>
    <row r="1069" spans="1:8" ht="23.25" customHeight="1" x14ac:dyDescent="0.25">
      <c r="A1069" s="20" t="s">
        <v>137</v>
      </c>
      <c r="B1069" s="346" t="s">
        <v>431</v>
      </c>
      <c r="C1069" s="341" t="s">
        <v>116</v>
      </c>
      <c r="D1069" s="341" t="s">
        <v>132</v>
      </c>
      <c r="E1069" s="2">
        <v>240</v>
      </c>
      <c r="F1069" s="2">
        <v>902</v>
      </c>
      <c r="G1069" s="295">
        <f>G1062</f>
        <v>80</v>
      </c>
    </row>
    <row r="1070" spans="1:8" s="128" customFormat="1" ht="47.25" x14ac:dyDescent="0.25">
      <c r="A1070" s="298" t="s">
        <v>984</v>
      </c>
      <c r="B1070" s="299" t="s">
        <v>690</v>
      </c>
      <c r="C1070" s="341"/>
      <c r="D1070" s="341"/>
      <c r="E1070" s="2"/>
      <c r="F1070" s="2"/>
      <c r="G1070" s="294">
        <f>G1071</f>
        <v>53.399999999999991</v>
      </c>
      <c r="H1070" s="129"/>
    </row>
    <row r="1071" spans="1:8" s="128" customFormat="1" ht="31.5" x14ac:dyDescent="0.25">
      <c r="A1071" s="298" t="s">
        <v>691</v>
      </c>
      <c r="B1071" s="299" t="s">
        <v>692</v>
      </c>
      <c r="C1071" s="341"/>
      <c r="D1071" s="341"/>
      <c r="E1071" s="2"/>
      <c r="F1071" s="2"/>
      <c r="G1071" s="294">
        <f t="shared" ref="G1071:G1076" si="81">G1072</f>
        <v>53.399999999999991</v>
      </c>
      <c r="H1071" s="129"/>
    </row>
    <row r="1072" spans="1:8" s="128" customFormat="1" ht="15.75" x14ac:dyDescent="0.25">
      <c r="A1072" s="20" t="s">
        <v>231</v>
      </c>
      <c r="B1072" s="346" t="s">
        <v>692</v>
      </c>
      <c r="C1072" s="341" t="s">
        <v>168</v>
      </c>
      <c r="D1072" s="341"/>
      <c r="E1072" s="2"/>
      <c r="F1072" s="2"/>
      <c r="G1072" s="295">
        <f t="shared" si="81"/>
        <v>53.399999999999991</v>
      </c>
      <c r="H1072" s="129"/>
    </row>
    <row r="1073" spans="1:14" s="128" customFormat="1" ht="15.75" x14ac:dyDescent="0.25">
      <c r="A1073" s="20" t="s">
        <v>262</v>
      </c>
      <c r="B1073" s="346" t="s">
        <v>692</v>
      </c>
      <c r="C1073" s="341" t="s">
        <v>168</v>
      </c>
      <c r="D1073" s="341" t="s">
        <v>158</v>
      </c>
      <c r="E1073" s="2"/>
      <c r="F1073" s="2"/>
      <c r="G1073" s="295">
        <f t="shared" si="81"/>
        <v>53.399999999999991</v>
      </c>
      <c r="H1073" s="129"/>
    </row>
    <row r="1074" spans="1:14" s="128" customFormat="1" ht="15.75" x14ac:dyDescent="0.25">
      <c r="A1074" s="20" t="s">
        <v>694</v>
      </c>
      <c r="B1074" s="346" t="s">
        <v>693</v>
      </c>
      <c r="C1074" s="341" t="s">
        <v>168</v>
      </c>
      <c r="D1074" s="341" t="s">
        <v>158</v>
      </c>
      <c r="E1074" s="2"/>
      <c r="F1074" s="2"/>
      <c r="G1074" s="295">
        <f t="shared" si="81"/>
        <v>53.399999999999991</v>
      </c>
      <c r="H1074" s="129"/>
    </row>
    <row r="1075" spans="1:14" s="128" customFormat="1" ht="31.5" x14ac:dyDescent="0.25">
      <c r="A1075" s="29" t="s">
        <v>123</v>
      </c>
      <c r="B1075" s="346" t="s">
        <v>693</v>
      </c>
      <c r="C1075" s="341" t="s">
        <v>168</v>
      </c>
      <c r="D1075" s="341" t="s">
        <v>158</v>
      </c>
      <c r="E1075" s="2">
        <v>200</v>
      </c>
      <c r="F1075" s="2"/>
      <c r="G1075" s="295">
        <f t="shared" si="81"/>
        <v>53.399999999999991</v>
      </c>
      <c r="H1075" s="129"/>
    </row>
    <row r="1076" spans="1:14" s="128" customFormat="1" ht="31.5" x14ac:dyDescent="0.25">
      <c r="A1076" s="29" t="s">
        <v>125</v>
      </c>
      <c r="B1076" s="346" t="s">
        <v>693</v>
      </c>
      <c r="C1076" s="341" t="s">
        <v>168</v>
      </c>
      <c r="D1076" s="341" t="s">
        <v>158</v>
      </c>
      <c r="E1076" s="2">
        <v>240</v>
      </c>
      <c r="F1076" s="2"/>
      <c r="G1076" s="295">
        <f t="shared" si="81"/>
        <v>53.399999999999991</v>
      </c>
      <c r="H1076" s="129"/>
    </row>
    <row r="1077" spans="1:14" s="128" customFormat="1" ht="31.5" x14ac:dyDescent="0.25">
      <c r="A1077" s="29" t="s">
        <v>302</v>
      </c>
      <c r="B1077" s="346" t="s">
        <v>693</v>
      </c>
      <c r="C1077" s="341" t="s">
        <v>168</v>
      </c>
      <c r="D1077" s="341" t="s">
        <v>158</v>
      </c>
      <c r="E1077" s="2">
        <v>240</v>
      </c>
      <c r="F1077" s="2">
        <v>908</v>
      </c>
      <c r="G1077" s="295">
        <f>'Пр.4 ведом.22'!G1195</f>
        <v>53.399999999999991</v>
      </c>
      <c r="H1077" s="129"/>
    </row>
    <row r="1078" spans="1:14" s="343" customFormat="1" ht="57.75" customHeight="1" x14ac:dyDescent="0.25">
      <c r="A1078" s="298" t="s">
        <v>1348</v>
      </c>
      <c r="B1078" s="299" t="s">
        <v>1350</v>
      </c>
      <c r="C1078" s="341"/>
      <c r="D1078" s="341"/>
      <c r="E1078" s="2"/>
      <c r="F1078" s="2"/>
      <c r="G1078" s="294">
        <f t="shared" ref="G1078:G1083" si="82">G1079</f>
        <v>6626.1484</v>
      </c>
      <c r="H1078" s="344"/>
    </row>
    <row r="1079" spans="1:14" s="343" customFormat="1" ht="31.5" x14ac:dyDescent="0.25">
      <c r="A1079" s="24" t="s">
        <v>1054</v>
      </c>
      <c r="B1079" s="299" t="s">
        <v>1350</v>
      </c>
      <c r="C1079" s="6"/>
      <c r="D1079" s="6"/>
      <c r="E1079" s="299"/>
      <c r="F1079" s="3"/>
      <c r="G1079" s="35">
        <f t="shared" si="82"/>
        <v>6626.1484</v>
      </c>
      <c r="H1079" s="344"/>
    </row>
    <row r="1080" spans="1:14" s="343" customFormat="1" ht="15.75" x14ac:dyDescent="0.25">
      <c r="A1080" s="345" t="s">
        <v>1341</v>
      </c>
      <c r="B1080" s="346" t="s">
        <v>1351</v>
      </c>
      <c r="C1080" s="341" t="s">
        <v>118</v>
      </c>
      <c r="D1080" s="341"/>
      <c r="E1080" s="346"/>
      <c r="F1080" s="2"/>
      <c r="G1080" s="9">
        <f t="shared" si="82"/>
        <v>6626.1484</v>
      </c>
      <c r="H1080" s="344"/>
    </row>
    <row r="1081" spans="1:14" s="343" customFormat="1" ht="15.75" x14ac:dyDescent="0.25">
      <c r="A1081" s="345" t="s">
        <v>1342</v>
      </c>
      <c r="B1081" s="346" t="s">
        <v>1351</v>
      </c>
      <c r="C1081" s="341" t="s">
        <v>118</v>
      </c>
      <c r="D1081" s="341" t="s">
        <v>168</v>
      </c>
      <c r="E1081" s="346"/>
      <c r="F1081" s="2"/>
      <c r="G1081" s="9">
        <f t="shared" si="82"/>
        <v>6626.1484</v>
      </c>
      <c r="H1081" s="344"/>
    </row>
    <row r="1082" spans="1:14" s="343" customFormat="1" ht="31.5" x14ac:dyDescent="0.25">
      <c r="A1082" s="22" t="s">
        <v>1315</v>
      </c>
      <c r="B1082" s="346" t="s">
        <v>1352</v>
      </c>
      <c r="C1082" s="341" t="s">
        <v>118</v>
      </c>
      <c r="D1082" s="341" t="s">
        <v>168</v>
      </c>
      <c r="E1082" s="346"/>
      <c r="F1082" s="2"/>
      <c r="G1082" s="9">
        <f t="shared" si="82"/>
        <v>6626.1484</v>
      </c>
      <c r="H1082" s="344"/>
    </row>
    <row r="1083" spans="1:14" s="343" customFormat="1" ht="31.5" x14ac:dyDescent="0.25">
      <c r="A1083" s="345" t="s">
        <v>123</v>
      </c>
      <c r="B1083" s="346" t="s">
        <v>1352</v>
      </c>
      <c r="C1083" s="341" t="s">
        <v>118</v>
      </c>
      <c r="D1083" s="341" t="s">
        <v>168</v>
      </c>
      <c r="E1083" s="346" t="s">
        <v>124</v>
      </c>
      <c r="F1083" s="2"/>
      <c r="G1083" s="9">
        <f t="shared" si="82"/>
        <v>6626.1484</v>
      </c>
      <c r="H1083" s="344"/>
    </row>
    <row r="1084" spans="1:14" s="343" customFormat="1" ht="31.5" x14ac:dyDescent="0.25">
      <c r="A1084" s="345" t="s">
        <v>125</v>
      </c>
      <c r="B1084" s="346" t="s">
        <v>1352</v>
      </c>
      <c r="C1084" s="341" t="s">
        <v>118</v>
      </c>
      <c r="D1084" s="341" t="s">
        <v>168</v>
      </c>
      <c r="E1084" s="346" t="s">
        <v>126</v>
      </c>
      <c r="F1084" s="2"/>
      <c r="G1084" s="9">
        <f>'Пр.4 ведом.22'!G1327</f>
        <v>6626.1484</v>
      </c>
      <c r="H1084" s="344"/>
    </row>
    <row r="1085" spans="1:14" s="343" customFormat="1" ht="31.5" x14ac:dyDescent="0.25">
      <c r="A1085" s="29" t="s">
        <v>302</v>
      </c>
      <c r="B1085" s="346" t="s">
        <v>1352</v>
      </c>
      <c r="C1085" s="341" t="s">
        <v>118</v>
      </c>
      <c r="D1085" s="341" t="s">
        <v>168</v>
      </c>
      <c r="E1085" s="346" t="s">
        <v>126</v>
      </c>
      <c r="F1085" s="2">
        <v>908</v>
      </c>
      <c r="G1085" s="9">
        <f>G1084</f>
        <v>6626.1484</v>
      </c>
      <c r="H1085" s="344"/>
    </row>
    <row r="1086" spans="1:14" ht="15.75" x14ac:dyDescent="0.25">
      <c r="A1086" s="44" t="s">
        <v>309</v>
      </c>
      <c r="B1086" s="44"/>
      <c r="C1086" s="44"/>
      <c r="D1086" s="44"/>
      <c r="E1086" s="44"/>
      <c r="F1086" s="44"/>
      <c r="G1086" s="73">
        <f>G1062+G1040+G1032+G1011+G935+G908+G834+G746+G695+G514+G431+G423+G389+G381+G156+G30+G9+G849+G1070+G1054+G1078</f>
        <v>603368.84469000006</v>
      </c>
      <c r="H1086" s="130"/>
      <c r="I1086" s="15"/>
      <c r="N1086" s="151"/>
    </row>
    <row r="1089" spans="1:7" x14ac:dyDescent="0.25">
      <c r="A1089" s="674" t="s">
        <v>1372</v>
      </c>
      <c r="B1089" s="674"/>
      <c r="C1089" s="674"/>
      <c r="D1089" s="674"/>
      <c r="E1089" s="674"/>
      <c r="F1089" s="674"/>
      <c r="G1089" s="674"/>
    </row>
  </sheetData>
  <mergeCells count="5">
    <mergeCell ref="A5:G5"/>
    <mergeCell ref="F3:G3"/>
    <mergeCell ref="F2:G2"/>
    <mergeCell ref="F1:G1"/>
    <mergeCell ref="A1089:G1089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пр.1дох.22</vt:lpstr>
      <vt:lpstr>Пр.1.1. дох.23-24</vt:lpstr>
      <vt:lpstr>пр.2 Рд,пр 22</vt:lpstr>
      <vt:lpstr>пр.2 Рд,пр 23-24</vt:lpstr>
      <vt:lpstr>Пр.3 Рд,пр, ЦС,ВР 22</vt:lpstr>
      <vt:lpstr>Пр.3.1 Рд,пр, ЦС,ВР 23-24</vt:lpstr>
      <vt:lpstr>Пр.4 ведом.22</vt:lpstr>
      <vt:lpstr>Пр.4.1 ведом.23-24 </vt:lpstr>
      <vt:lpstr>пр.5 МП 22</vt:lpstr>
      <vt:lpstr>пр.5.1. МП 23-24</vt:lpstr>
      <vt:lpstr>пр.6 публ. 22</vt:lpstr>
      <vt:lpstr>пр.6.1 публ. 23-24</vt:lpstr>
      <vt:lpstr>пр.7 ист-ки 22</vt:lpstr>
      <vt:lpstr>пр.8.1.ист-ки 23-24 </vt:lpstr>
      <vt:lpstr>Лист1</vt:lpstr>
      <vt:lpstr>'Пр.1.1. дох.23-24'!Область_печати</vt:lpstr>
      <vt:lpstr>пр.1дох.22!Область_печати</vt:lpstr>
      <vt:lpstr>'пр.2 Рд,пр 22'!Область_печати</vt:lpstr>
      <vt:lpstr>'пр.2 Рд,пр 23-24'!Область_печати</vt:lpstr>
      <vt:lpstr>'Пр.3 Рд,пр, ЦС,ВР 22'!Область_печати</vt:lpstr>
      <vt:lpstr>'Пр.3.1 Рд,пр, ЦС,ВР 23-24'!Область_печати</vt:lpstr>
      <vt:lpstr>'Пр.4 ведом.22'!Область_печати</vt:lpstr>
      <vt:lpstr>'Пр.4.1 ведом.23-24 '!Область_печати</vt:lpstr>
      <vt:lpstr>'пр.5 МП 22'!Область_печати</vt:lpstr>
      <vt:lpstr>'пр.5.1. МП 23-24'!Область_печати</vt:lpstr>
      <vt:lpstr>'пр.6 публ. 22'!Область_печати</vt:lpstr>
      <vt:lpstr>'пр.7 ист-ки 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2022-11-22T22:53:42Z</dcterms:modified>
</cp:coreProperties>
</file>